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612" yWindow="36" windowWidth="4440" windowHeight="6996" tabRatio="816" activeTab="1"/>
  </bookViews>
  <sheets>
    <sheet name="ytd" sheetId="6" r:id="rId1"/>
    <sheet name="Margin" sheetId="3" r:id="rId2"/>
    <sheet name="TSPT_COT" sheetId="5" r:id="rId3"/>
    <sheet name="SLS_COS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1">Margin!$A$14:$AC$173</definedName>
    <definedName name="_xlnm.Print_Area" localSheetId="3">SLS_COS!$D$1:$AZ$46</definedName>
    <definedName name="_xlnm.Print_Area" localSheetId="2">TSPT_COT!$96:$173</definedName>
    <definedName name="_xlnm.Print_Titles" localSheetId="1">Margin!$1:$11</definedName>
    <definedName name="_xlnm.Print_Titles" localSheetId="3">SLS_COS!$A:$C</definedName>
    <definedName name="_xlnm.Print_Titles" localSheetId="2">TSPT_COT!$1:$10</definedName>
  </definedNames>
  <calcPr calcId="92512" fullCalcOnLoad="1"/>
</workbook>
</file>

<file path=xl/calcChain.xml><?xml version="1.0" encoding="utf-8"?>
<calcChain xmlns="http://schemas.openxmlformats.org/spreadsheetml/2006/main">
  <c r="C15" i="3" l="1"/>
  <c r="E15" i="3"/>
  <c r="G15" i="3"/>
  <c r="I15" i="3"/>
  <c r="M15" i="3"/>
  <c r="O15" i="3"/>
  <c r="Q15" i="3"/>
  <c r="S15" i="3"/>
  <c r="U15" i="3"/>
  <c r="W15" i="3"/>
  <c r="AA15" i="3"/>
  <c r="AC15" i="3"/>
  <c r="CB15" i="3"/>
  <c r="CF15" i="3"/>
  <c r="C16" i="3"/>
  <c r="E16" i="3"/>
  <c r="G16" i="3"/>
  <c r="I16" i="3"/>
  <c r="M16" i="3"/>
  <c r="O16" i="3"/>
  <c r="Q16" i="3"/>
  <c r="S16" i="3"/>
  <c r="U16" i="3"/>
  <c r="W16" i="3"/>
  <c r="AA16" i="3"/>
  <c r="AC16" i="3"/>
  <c r="C18" i="3"/>
  <c r="E18" i="3"/>
  <c r="G18" i="3"/>
  <c r="I18" i="3"/>
  <c r="M18" i="3"/>
  <c r="O18" i="3"/>
  <c r="Q18" i="3"/>
  <c r="S18" i="3"/>
  <c r="U18" i="3"/>
  <c r="W18" i="3"/>
  <c r="AA18" i="3"/>
  <c r="AC18" i="3"/>
  <c r="CB18" i="3"/>
  <c r="CF18" i="3"/>
  <c r="A22" i="3"/>
  <c r="A23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AC23" i="3"/>
  <c r="CB23" i="3"/>
  <c r="CF23" i="3"/>
  <c r="A24" i="3"/>
  <c r="C24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BV24" i="3"/>
  <c r="BX24" i="3"/>
  <c r="A25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26" i="3"/>
  <c r="C26" i="3"/>
  <c r="E26" i="3"/>
  <c r="G26" i="3"/>
  <c r="I26" i="3"/>
  <c r="K26" i="3"/>
  <c r="M26" i="3"/>
  <c r="O26" i="3"/>
  <c r="Q26" i="3"/>
  <c r="S26" i="3"/>
  <c r="U26" i="3"/>
  <c r="W26" i="3"/>
  <c r="Y26" i="3"/>
  <c r="AA26" i="3"/>
  <c r="AC26" i="3"/>
  <c r="A27" i="3"/>
  <c r="C27" i="3"/>
  <c r="E27" i="3"/>
  <c r="G27" i="3"/>
  <c r="I27" i="3"/>
  <c r="K27" i="3"/>
  <c r="M27" i="3"/>
  <c r="O27" i="3"/>
  <c r="Q27" i="3"/>
  <c r="S27" i="3"/>
  <c r="U27" i="3"/>
  <c r="W27" i="3"/>
  <c r="Y27" i="3"/>
  <c r="AA27" i="3"/>
  <c r="AC27" i="3"/>
  <c r="A28" i="3"/>
  <c r="C28" i="3"/>
  <c r="E28" i="3"/>
  <c r="G28" i="3"/>
  <c r="I28" i="3"/>
  <c r="K28" i="3"/>
  <c r="M28" i="3"/>
  <c r="O28" i="3"/>
  <c r="Q28" i="3"/>
  <c r="S28" i="3"/>
  <c r="U28" i="3"/>
  <c r="W28" i="3"/>
  <c r="Y28" i="3"/>
  <c r="AA28" i="3"/>
  <c r="AC28" i="3"/>
  <c r="BV28" i="3"/>
  <c r="BX28" i="3"/>
  <c r="CB28" i="3"/>
  <c r="CF28" i="3"/>
  <c r="A30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C30" i="3"/>
  <c r="A31" i="3"/>
  <c r="C31" i="3"/>
  <c r="E31" i="3"/>
  <c r="G31" i="3"/>
  <c r="I31" i="3"/>
  <c r="K31" i="3"/>
  <c r="M31" i="3"/>
  <c r="O31" i="3"/>
  <c r="Q31" i="3"/>
  <c r="S31" i="3"/>
  <c r="U31" i="3"/>
  <c r="W31" i="3"/>
  <c r="Y31" i="3"/>
  <c r="AA31" i="3"/>
  <c r="AC31" i="3"/>
  <c r="A32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33" i="3"/>
  <c r="C33" i="3"/>
  <c r="E33" i="3"/>
  <c r="G33" i="3"/>
  <c r="I33" i="3"/>
  <c r="K33" i="3"/>
  <c r="M33" i="3"/>
  <c r="O33" i="3"/>
  <c r="Q33" i="3"/>
  <c r="S33" i="3"/>
  <c r="U33" i="3"/>
  <c r="W33" i="3"/>
  <c r="Y33" i="3"/>
  <c r="AA33" i="3"/>
  <c r="AC33" i="3"/>
  <c r="A34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35" i="3"/>
  <c r="C35" i="3"/>
  <c r="E35" i="3"/>
  <c r="G35" i="3"/>
  <c r="I35" i="3"/>
  <c r="K35" i="3"/>
  <c r="M35" i="3"/>
  <c r="O35" i="3"/>
  <c r="Q35" i="3"/>
  <c r="S35" i="3"/>
  <c r="U35" i="3"/>
  <c r="W35" i="3"/>
  <c r="Y35" i="3"/>
  <c r="AA35" i="3"/>
  <c r="AC35" i="3"/>
  <c r="C37" i="3"/>
  <c r="E37" i="3"/>
  <c r="G37" i="3"/>
  <c r="I37" i="3"/>
  <c r="K37" i="3"/>
  <c r="M37" i="3"/>
  <c r="O37" i="3"/>
  <c r="Q37" i="3"/>
  <c r="S37" i="3"/>
  <c r="U37" i="3"/>
  <c r="W37" i="3"/>
  <c r="Y37" i="3"/>
  <c r="AA37" i="3"/>
  <c r="AC37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C39" i="3"/>
  <c r="E39" i="3"/>
  <c r="G39" i="3"/>
  <c r="I39" i="3"/>
  <c r="K39" i="3"/>
  <c r="M39" i="3"/>
  <c r="O39" i="3"/>
  <c r="Q39" i="3"/>
  <c r="S39" i="3"/>
  <c r="U39" i="3"/>
  <c r="W39" i="3"/>
  <c r="Y39" i="3"/>
  <c r="AA39" i="3"/>
  <c r="AC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AC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44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45" i="3"/>
  <c r="C45" i="3"/>
  <c r="E45" i="3"/>
  <c r="G45" i="3"/>
  <c r="I45" i="3"/>
  <c r="K45" i="3"/>
  <c r="M45" i="3"/>
  <c r="O45" i="3"/>
  <c r="Q45" i="3"/>
  <c r="S45" i="3"/>
  <c r="U45" i="3"/>
  <c r="W45" i="3"/>
  <c r="Y45" i="3"/>
  <c r="AA45" i="3"/>
  <c r="AC45" i="3"/>
  <c r="A46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47" i="3"/>
  <c r="C47" i="3"/>
  <c r="E47" i="3"/>
  <c r="G47" i="3"/>
  <c r="I47" i="3"/>
  <c r="K47" i="3"/>
  <c r="M47" i="3"/>
  <c r="O47" i="3"/>
  <c r="Q47" i="3"/>
  <c r="S47" i="3"/>
  <c r="U47" i="3"/>
  <c r="W47" i="3"/>
  <c r="Y47" i="3"/>
  <c r="AA47" i="3"/>
  <c r="AC47" i="3"/>
  <c r="A48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49" i="3"/>
  <c r="C49" i="3"/>
  <c r="E49" i="3"/>
  <c r="G49" i="3"/>
  <c r="I49" i="3"/>
  <c r="K49" i="3"/>
  <c r="M49" i="3"/>
  <c r="O49" i="3"/>
  <c r="Q49" i="3"/>
  <c r="S49" i="3"/>
  <c r="U49" i="3"/>
  <c r="W49" i="3"/>
  <c r="Y49" i="3"/>
  <c r="AA49" i="3"/>
  <c r="AC49" i="3"/>
  <c r="A51" i="3"/>
  <c r="C51" i="3"/>
  <c r="E51" i="3"/>
  <c r="G51" i="3"/>
  <c r="I51" i="3"/>
  <c r="K51" i="3"/>
  <c r="M51" i="3"/>
  <c r="O51" i="3"/>
  <c r="Q51" i="3"/>
  <c r="S51" i="3"/>
  <c r="U51" i="3"/>
  <c r="W51" i="3"/>
  <c r="Y51" i="3"/>
  <c r="AA51" i="3"/>
  <c r="AC51" i="3"/>
  <c r="A52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53" i="3"/>
  <c r="C53" i="3"/>
  <c r="E53" i="3"/>
  <c r="G53" i="3"/>
  <c r="I53" i="3"/>
  <c r="K53" i="3"/>
  <c r="M53" i="3"/>
  <c r="O53" i="3"/>
  <c r="Q53" i="3"/>
  <c r="S53" i="3"/>
  <c r="U53" i="3"/>
  <c r="W53" i="3"/>
  <c r="Y53" i="3"/>
  <c r="AA53" i="3"/>
  <c r="AC53" i="3"/>
  <c r="A54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55" i="3"/>
  <c r="C55" i="3"/>
  <c r="E55" i="3"/>
  <c r="G55" i="3"/>
  <c r="I55" i="3"/>
  <c r="K55" i="3"/>
  <c r="M55" i="3"/>
  <c r="O55" i="3"/>
  <c r="Q55" i="3"/>
  <c r="S55" i="3"/>
  <c r="U55" i="3"/>
  <c r="W55" i="3"/>
  <c r="Y55" i="3"/>
  <c r="AA55" i="3"/>
  <c r="AC55" i="3"/>
  <c r="A56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58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60" i="3"/>
  <c r="A61" i="3"/>
  <c r="C61" i="3"/>
  <c r="E61" i="3"/>
  <c r="G61" i="3"/>
  <c r="I61" i="3"/>
  <c r="K61" i="3"/>
  <c r="M61" i="3"/>
  <c r="O61" i="3"/>
  <c r="Q61" i="3"/>
  <c r="S61" i="3"/>
  <c r="U61" i="3"/>
  <c r="W61" i="3"/>
  <c r="Y61" i="3"/>
  <c r="AA61" i="3"/>
  <c r="AC61" i="3"/>
  <c r="A62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63" i="3"/>
  <c r="C63" i="3"/>
  <c r="E63" i="3"/>
  <c r="G63" i="3"/>
  <c r="I63" i="3"/>
  <c r="K63" i="3"/>
  <c r="M63" i="3"/>
  <c r="O63" i="3"/>
  <c r="Q63" i="3"/>
  <c r="S63" i="3"/>
  <c r="U63" i="3"/>
  <c r="W63" i="3"/>
  <c r="Y63" i="3"/>
  <c r="AA63" i="3"/>
  <c r="AC63" i="3"/>
  <c r="A64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65" i="3"/>
  <c r="C65" i="3"/>
  <c r="E65" i="3"/>
  <c r="G65" i="3"/>
  <c r="I65" i="3"/>
  <c r="K65" i="3"/>
  <c r="M65" i="3"/>
  <c r="O65" i="3"/>
  <c r="Q65" i="3"/>
  <c r="S65" i="3"/>
  <c r="U65" i="3"/>
  <c r="W65" i="3"/>
  <c r="Y65" i="3"/>
  <c r="AA65" i="3"/>
  <c r="AC65" i="3"/>
  <c r="A66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68" i="3"/>
  <c r="C68" i="3"/>
  <c r="E68" i="3"/>
  <c r="G68" i="3"/>
  <c r="I68" i="3"/>
  <c r="K68" i="3"/>
  <c r="M68" i="3"/>
  <c r="O68" i="3"/>
  <c r="Q68" i="3"/>
  <c r="S68" i="3"/>
  <c r="U68" i="3"/>
  <c r="W68" i="3"/>
  <c r="Y68" i="3"/>
  <c r="AA68" i="3"/>
  <c r="AC68" i="3"/>
  <c r="A69" i="3"/>
  <c r="C69" i="3"/>
  <c r="E69" i="3"/>
  <c r="G69" i="3"/>
  <c r="I69" i="3"/>
  <c r="K69" i="3"/>
  <c r="M69" i="3"/>
  <c r="O69" i="3"/>
  <c r="Q69" i="3"/>
  <c r="S69" i="3"/>
  <c r="U69" i="3"/>
  <c r="W69" i="3"/>
  <c r="Y69" i="3"/>
  <c r="AA69" i="3"/>
  <c r="AC69" i="3"/>
  <c r="A70" i="3"/>
  <c r="C70" i="3"/>
  <c r="E70" i="3"/>
  <c r="G70" i="3"/>
  <c r="I70" i="3"/>
  <c r="K70" i="3"/>
  <c r="M70" i="3"/>
  <c r="O70" i="3"/>
  <c r="Q70" i="3"/>
  <c r="S70" i="3"/>
  <c r="U70" i="3"/>
  <c r="W70" i="3"/>
  <c r="Y70" i="3"/>
  <c r="AA70" i="3"/>
  <c r="AC70" i="3"/>
  <c r="A71" i="3"/>
  <c r="C71" i="3"/>
  <c r="E71" i="3"/>
  <c r="G71" i="3"/>
  <c r="I71" i="3"/>
  <c r="K71" i="3"/>
  <c r="M71" i="3"/>
  <c r="O71" i="3"/>
  <c r="Q71" i="3"/>
  <c r="S71" i="3"/>
  <c r="U71" i="3"/>
  <c r="W71" i="3"/>
  <c r="Y71" i="3"/>
  <c r="AA71" i="3"/>
  <c r="AC71" i="3"/>
  <c r="A72" i="3"/>
  <c r="C72" i="3"/>
  <c r="E72" i="3"/>
  <c r="G72" i="3"/>
  <c r="I72" i="3"/>
  <c r="K72" i="3"/>
  <c r="M72" i="3"/>
  <c r="O72" i="3"/>
  <c r="Q72" i="3"/>
  <c r="S72" i="3"/>
  <c r="U72" i="3"/>
  <c r="W72" i="3"/>
  <c r="Y72" i="3"/>
  <c r="AA72" i="3"/>
  <c r="AC72" i="3"/>
  <c r="A73" i="3"/>
  <c r="C73" i="3"/>
  <c r="E73" i="3"/>
  <c r="G73" i="3"/>
  <c r="I73" i="3"/>
  <c r="K73" i="3"/>
  <c r="M73" i="3"/>
  <c r="O73" i="3"/>
  <c r="Q73" i="3"/>
  <c r="S73" i="3"/>
  <c r="U73" i="3"/>
  <c r="W73" i="3"/>
  <c r="Y73" i="3"/>
  <c r="AA73" i="3"/>
  <c r="AC73" i="3"/>
  <c r="A74" i="3"/>
  <c r="C74" i="3"/>
  <c r="E74" i="3"/>
  <c r="G74" i="3"/>
  <c r="I74" i="3"/>
  <c r="K74" i="3"/>
  <c r="M74" i="3"/>
  <c r="O74" i="3"/>
  <c r="Q74" i="3"/>
  <c r="S74" i="3"/>
  <c r="U74" i="3"/>
  <c r="W74" i="3"/>
  <c r="Y74" i="3"/>
  <c r="AA74" i="3"/>
  <c r="AC74" i="3"/>
  <c r="C76" i="3"/>
  <c r="E76" i="3"/>
  <c r="G76" i="3"/>
  <c r="I76" i="3"/>
  <c r="K76" i="3"/>
  <c r="M76" i="3"/>
  <c r="O76" i="3"/>
  <c r="Q76" i="3"/>
  <c r="S76" i="3"/>
  <c r="U76" i="3"/>
  <c r="W76" i="3"/>
  <c r="Y76" i="3"/>
  <c r="AA76" i="3"/>
  <c r="AC76" i="3"/>
  <c r="C77" i="3"/>
  <c r="E77" i="3"/>
  <c r="G77" i="3"/>
  <c r="I77" i="3"/>
  <c r="K77" i="3"/>
  <c r="M77" i="3"/>
  <c r="O77" i="3"/>
  <c r="Q77" i="3"/>
  <c r="S77" i="3"/>
  <c r="U77" i="3"/>
  <c r="W77" i="3"/>
  <c r="Y77" i="3"/>
  <c r="AA77" i="3"/>
  <c r="AC77" i="3"/>
  <c r="C78" i="3"/>
  <c r="E78" i="3"/>
  <c r="G78" i="3"/>
  <c r="I78" i="3"/>
  <c r="K78" i="3"/>
  <c r="M78" i="3"/>
  <c r="O78" i="3"/>
  <c r="Q78" i="3"/>
  <c r="S78" i="3"/>
  <c r="U78" i="3"/>
  <c r="W78" i="3"/>
  <c r="Y78" i="3"/>
  <c r="AA78" i="3"/>
  <c r="AC78" i="3"/>
  <c r="C79" i="3"/>
  <c r="E79" i="3"/>
  <c r="G79" i="3"/>
  <c r="I79" i="3"/>
  <c r="K79" i="3"/>
  <c r="M79" i="3"/>
  <c r="O79" i="3"/>
  <c r="Q79" i="3"/>
  <c r="S79" i="3"/>
  <c r="U79" i="3"/>
  <c r="W79" i="3"/>
  <c r="Y79" i="3"/>
  <c r="AA79" i="3"/>
  <c r="AC79" i="3"/>
  <c r="C80" i="3"/>
  <c r="E80" i="3"/>
  <c r="G80" i="3"/>
  <c r="I80" i="3"/>
  <c r="K80" i="3"/>
  <c r="M80" i="3"/>
  <c r="O80" i="3"/>
  <c r="Q80" i="3"/>
  <c r="S80" i="3"/>
  <c r="U80" i="3"/>
  <c r="W80" i="3"/>
  <c r="Y80" i="3"/>
  <c r="AA80" i="3"/>
  <c r="AC80" i="3"/>
  <c r="C81" i="3"/>
  <c r="E81" i="3"/>
  <c r="G81" i="3"/>
  <c r="I81" i="3"/>
  <c r="K81" i="3"/>
  <c r="M81" i="3"/>
  <c r="O81" i="3"/>
  <c r="Q81" i="3"/>
  <c r="S81" i="3"/>
  <c r="U81" i="3"/>
  <c r="W81" i="3"/>
  <c r="Y81" i="3"/>
  <c r="AA81" i="3"/>
  <c r="AC81" i="3"/>
  <c r="C83" i="3"/>
  <c r="E83" i="3"/>
  <c r="G83" i="3"/>
  <c r="I83" i="3"/>
  <c r="K83" i="3"/>
  <c r="M83" i="3"/>
  <c r="O83" i="3"/>
  <c r="Q83" i="3"/>
  <c r="S83" i="3"/>
  <c r="U83" i="3"/>
  <c r="W83" i="3"/>
  <c r="Y83" i="3"/>
  <c r="AA83" i="3"/>
  <c r="AC83" i="3"/>
  <c r="C84" i="3"/>
  <c r="E84" i="3"/>
  <c r="G84" i="3"/>
  <c r="I84" i="3"/>
  <c r="K84" i="3"/>
  <c r="M84" i="3"/>
  <c r="O84" i="3"/>
  <c r="Q84" i="3"/>
  <c r="S84" i="3"/>
  <c r="U84" i="3"/>
  <c r="W84" i="3"/>
  <c r="Y84" i="3"/>
  <c r="AA84" i="3"/>
  <c r="AC84" i="3"/>
  <c r="C85" i="3"/>
  <c r="E85" i="3"/>
  <c r="G85" i="3"/>
  <c r="I85" i="3"/>
  <c r="K85" i="3"/>
  <c r="M85" i="3"/>
  <c r="O85" i="3"/>
  <c r="Q85" i="3"/>
  <c r="S85" i="3"/>
  <c r="U85" i="3"/>
  <c r="W85" i="3"/>
  <c r="Y85" i="3"/>
  <c r="AA85" i="3"/>
  <c r="AC85" i="3"/>
  <c r="C86" i="3"/>
  <c r="E86" i="3"/>
  <c r="G86" i="3"/>
  <c r="I86" i="3"/>
  <c r="K86" i="3"/>
  <c r="M86" i="3"/>
  <c r="O86" i="3"/>
  <c r="Q86" i="3"/>
  <c r="S86" i="3"/>
  <c r="U86" i="3"/>
  <c r="W86" i="3"/>
  <c r="Y86" i="3"/>
  <c r="AA86" i="3"/>
  <c r="AC86" i="3"/>
  <c r="C87" i="3"/>
  <c r="E87" i="3"/>
  <c r="G87" i="3"/>
  <c r="I87" i="3"/>
  <c r="K87" i="3"/>
  <c r="M87" i="3"/>
  <c r="O87" i="3"/>
  <c r="Q87" i="3"/>
  <c r="S87" i="3"/>
  <c r="U87" i="3"/>
  <c r="W87" i="3"/>
  <c r="Y87" i="3"/>
  <c r="AA87" i="3"/>
  <c r="AC87" i="3"/>
  <c r="C88" i="3"/>
  <c r="E88" i="3"/>
  <c r="G88" i="3"/>
  <c r="I88" i="3"/>
  <c r="K88" i="3"/>
  <c r="M88" i="3"/>
  <c r="O88" i="3"/>
  <c r="Q88" i="3"/>
  <c r="S88" i="3"/>
  <c r="U88" i="3"/>
  <c r="W88" i="3"/>
  <c r="Y88" i="3"/>
  <c r="AA88" i="3"/>
  <c r="AC88" i="3"/>
  <c r="A90" i="3"/>
  <c r="C90" i="3"/>
  <c r="E90" i="3"/>
  <c r="G90" i="3"/>
  <c r="I90" i="3"/>
  <c r="K90" i="3"/>
  <c r="M90" i="3"/>
  <c r="O90" i="3"/>
  <c r="Q90" i="3"/>
  <c r="S90" i="3"/>
  <c r="U90" i="3"/>
  <c r="W90" i="3"/>
  <c r="Y90" i="3"/>
  <c r="AA90" i="3"/>
  <c r="AC90" i="3"/>
  <c r="A91" i="3"/>
  <c r="C91" i="3"/>
  <c r="E91" i="3"/>
  <c r="G91" i="3"/>
  <c r="I91" i="3"/>
  <c r="K91" i="3"/>
  <c r="M91" i="3"/>
  <c r="O91" i="3"/>
  <c r="Q91" i="3"/>
  <c r="S91" i="3"/>
  <c r="U91" i="3"/>
  <c r="W91" i="3"/>
  <c r="Y91" i="3"/>
  <c r="AA91" i="3"/>
  <c r="AC91" i="3"/>
  <c r="A92" i="3"/>
  <c r="C92" i="3"/>
  <c r="E92" i="3"/>
  <c r="G92" i="3"/>
  <c r="I92" i="3"/>
  <c r="K92" i="3"/>
  <c r="M92" i="3"/>
  <c r="O92" i="3"/>
  <c r="Q92" i="3"/>
  <c r="S92" i="3"/>
  <c r="U92" i="3"/>
  <c r="W92" i="3"/>
  <c r="Y92" i="3"/>
  <c r="AA92" i="3"/>
  <c r="AC92" i="3"/>
  <c r="A93" i="3"/>
  <c r="C93" i="3"/>
  <c r="E93" i="3"/>
  <c r="G93" i="3"/>
  <c r="I93" i="3"/>
  <c r="K93" i="3"/>
  <c r="M93" i="3"/>
  <c r="O93" i="3"/>
  <c r="Q93" i="3"/>
  <c r="S93" i="3"/>
  <c r="U93" i="3"/>
  <c r="W93" i="3"/>
  <c r="Y93" i="3"/>
  <c r="AA93" i="3"/>
  <c r="AC93" i="3"/>
  <c r="A94" i="3"/>
  <c r="C94" i="3"/>
  <c r="E94" i="3"/>
  <c r="G94" i="3"/>
  <c r="I94" i="3"/>
  <c r="K94" i="3"/>
  <c r="M94" i="3"/>
  <c r="O94" i="3"/>
  <c r="Q94" i="3"/>
  <c r="S94" i="3"/>
  <c r="U94" i="3"/>
  <c r="W94" i="3"/>
  <c r="Y94" i="3"/>
  <c r="AA94" i="3"/>
  <c r="AC94" i="3"/>
  <c r="A95" i="3"/>
  <c r="C95" i="3"/>
  <c r="E95" i="3"/>
  <c r="G95" i="3"/>
  <c r="I95" i="3"/>
  <c r="K95" i="3"/>
  <c r="M95" i="3"/>
  <c r="O95" i="3"/>
  <c r="Q95" i="3"/>
  <c r="S95" i="3"/>
  <c r="U95" i="3"/>
  <c r="W95" i="3"/>
  <c r="Y95" i="3"/>
  <c r="AA95" i="3"/>
  <c r="AC95" i="3"/>
  <c r="A98" i="3"/>
  <c r="C98" i="3"/>
  <c r="E98" i="3"/>
  <c r="G98" i="3"/>
  <c r="I98" i="3"/>
  <c r="K98" i="3"/>
  <c r="M98" i="3"/>
  <c r="O98" i="3"/>
  <c r="Q98" i="3"/>
  <c r="S98" i="3"/>
  <c r="U98" i="3"/>
  <c r="W98" i="3"/>
  <c r="Y98" i="3"/>
  <c r="AA98" i="3"/>
  <c r="AC98" i="3"/>
  <c r="A99" i="3"/>
  <c r="C99" i="3"/>
  <c r="E99" i="3"/>
  <c r="G99" i="3"/>
  <c r="I99" i="3"/>
  <c r="K99" i="3"/>
  <c r="M99" i="3"/>
  <c r="O99" i="3"/>
  <c r="Q99" i="3"/>
  <c r="S99" i="3"/>
  <c r="U99" i="3"/>
  <c r="W99" i="3"/>
  <c r="Y99" i="3"/>
  <c r="AA99" i="3"/>
  <c r="AC99" i="3"/>
  <c r="A100" i="3"/>
  <c r="C100" i="3"/>
  <c r="E100" i="3"/>
  <c r="G100" i="3"/>
  <c r="I100" i="3"/>
  <c r="K100" i="3"/>
  <c r="M100" i="3"/>
  <c r="O100" i="3"/>
  <c r="Q100" i="3"/>
  <c r="S100" i="3"/>
  <c r="U100" i="3"/>
  <c r="W100" i="3"/>
  <c r="Y100" i="3"/>
  <c r="AA100" i="3"/>
  <c r="AC100" i="3"/>
  <c r="A101" i="3"/>
  <c r="C101" i="3"/>
  <c r="E101" i="3"/>
  <c r="G101" i="3"/>
  <c r="I101" i="3"/>
  <c r="K101" i="3"/>
  <c r="M101" i="3"/>
  <c r="O101" i="3"/>
  <c r="Q101" i="3"/>
  <c r="S101" i="3"/>
  <c r="U101" i="3"/>
  <c r="W101" i="3"/>
  <c r="Y101" i="3"/>
  <c r="AA101" i="3"/>
  <c r="AC101" i="3"/>
  <c r="A102" i="3"/>
  <c r="C102" i="3"/>
  <c r="E102" i="3"/>
  <c r="G102" i="3"/>
  <c r="I102" i="3"/>
  <c r="K102" i="3"/>
  <c r="M102" i="3"/>
  <c r="O102" i="3"/>
  <c r="Q102" i="3"/>
  <c r="S102" i="3"/>
  <c r="U102" i="3"/>
  <c r="W102" i="3"/>
  <c r="Y102" i="3"/>
  <c r="AA102" i="3"/>
  <c r="AC102" i="3"/>
  <c r="A103" i="3"/>
  <c r="C103" i="3"/>
  <c r="E103" i="3"/>
  <c r="G103" i="3"/>
  <c r="I103" i="3"/>
  <c r="K103" i="3"/>
  <c r="M103" i="3"/>
  <c r="O103" i="3"/>
  <c r="Q103" i="3"/>
  <c r="S103" i="3"/>
  <c r="U103" i="3"/>
  <c r="W103" i="3"/>
  <c r="Y103" i="3"/>
  <c r="AA103" i="3"/>
  <c r="AC103" i="3"/>
  <c r="A105" i="3"/>
  <c r="C105" i="3"/>
  <c r="E105" i="3"/>
  <c r="G105" i="3"/>
  <c r="I105" i="3"/>
  <c r="K105" i="3"/>
  <c r="M105" i="3"/>
  <c r="O105" i="3"/>
  <c r="Q105" i="3"/>
  <c r="S105" i="3"/>
  <c r="U105" i="3"/>
  <c r="W105" i="3"/>
  <c r="Y105" i="3"/>
  <c r="AA105" i="3"/>
  <c r="AC105" i="3"/>
  <c r="A107" i="3"/>
  <c r="A108" i="3"/>
  <c r="C108" i="3"/>
  <c r="E108" i="3"/>
  <c r="G108" i="3"/>
  <c r="I108" i="3"/>
  <c r="K108" i="3"/>
  <c r="M108" i="3"/>
  <c r="O108" i="3"/>
  <c r="Q108" i="3"/>
  <c r="S108" i="3"/>
  <c r="U108" i="3"/>
  <c r="W108" i="3"/>
  <c r="Y108" i="3"/>
  <c r="AA108" i="3"/>
  <c r="AC108" i="3"/>
  <c r="A109" i="3"/>
  <c r="C109" i="3"/>
  <c r="E109" i="3"/>
  <c r="G109" i="3"/>
  <c r="I109" i="3"/>
  <c r="K109" i="3"/>
  <c r="M109" i="3"/>
  <c r="O109" i="3"/>
  <c r="Q109" i="3"/>
  <c r="S109" i="3"/>
  <c r="U109" i="3"/>
  <c r="W109" i="3"/>
  <c r="Y109" i="3"/>
  <c r="AA109" i="3"/>
  <c r="AC109" i="3"/>
  <c r="A110" i="3"/>
  <c r="C110" i="3"/>
  <c r="E110" i="3"/>
  <c r="G110" i="3"/>
  <c r="I110" i="3"/>
  <c r="K110" i="3"/>
  <c r="M110" i="3"/>
  <c r="O110" i="3"/>
  <c r="Q110" i="3"/>
  <c r="S110" i="3"/>
  <c r="U110" i="3"/>
  <c r="W110" i="3"/>
  <c r="Y110" i="3"/>
  <c r="AA110" i="3"/>
  <c r="AC110" i="3"/>
  <c r="A111" i="3"/>
  <c r="C111" i="3"/>
  <c r="E111" i="3"/>
  <c r="G111" i="3"/>
  <c r="I111" i="3"/>
  <c r="K111" i="3"/>
  <c r="M111" i="3"/>
  <c r="O111" i="3"/>
  <c r="Q111" i="3"/>
  <c r="S111" i="3"/>
  <c r="U111" i="3"/>
  <c r="W111" i="3"/>
  <c r="Y111" i="3"/>
  <c r="AA111" i="3"/>
  <c r="AC111" i="3"/>
  <c r="A112" i="3"/>
  <c r="C112" i="3"/>
  <c r="E112" i="3"/>
  <c r="G112" i="3"/>
  <c r="I112" i="3"/>
  <c r="K112" i="3"/>
  <c r="M112" i="3"/>
  <c r="O112" i="3"/>
  <c r="Q112" i="3"/>
  <c r="S112" i="3"/>
  <c r="U112" i="3"/>
  <c r="W112" i="3"/>
  <c r="Y112" i="3"/>
  <c r="AA112" i="3"/>
  <c r="AC112" i="3"/>
  <c r="A113" i="3"/>
  <c r="C113" i="3"/>
  <c r="E113" i="3"/>
  <c r="G113" i="3"/>
  <c r="I113" i="3"/>
  <c r="K113" i="3"/>
  <c r="M113" i="3"/>
  <c r="O113" i="3"/>
  <c r="Q113" i="3"/>
  <c r="S113" i="3"/>
  <c r="U113" i="3"/>
  <c r="W113" i="3"/>
  <c r="Y113" i="3"/>
  <c r="AA113" i="3"/>
  <c r="AC113" i="3"/>
  <c r="A115" i="3"/>
  <c r="A116" i="3"/>
  <c r="C116" i="3"/>
  <c r="E116" i="3"/>
  <c r="G116" i="3"/>
  <c r="I116" i="3"/>
  <c r="K116" i="3"/>
  <c r="M116" i="3"/>
  <c r="O116" i="3"/>
  <c r="Q116" i="3"/>
  <c r="S116" i="3"/>
  <c r="U116" i="3"/>
  <c r="W116" i="3"/>
  <c r="Y116" i="3"/>
  <c r="AA116" i="3"/>
  <c r="AC116" i="3"/>
  <c r="A117" i="3"/>
  <c r="C117" i="3"/>
  <c r="E117" i="3"/>
  <c r="G117" i="3"/>
  <c r="I117" i="3"/>
  <c r="K117" i="3"/>
  <c r="M117" i="3"/>
  <c r="O117" i="3"/>
  <c r="Q117" i="3"/>
  <c r="S117" i="3"/>
  <c r="U117" i="3"/>
  <c r="W117" i="3"/>
  <c r="Y117" i="3"/>
  <c r="AA117" i="3"/>
  <c r="AC117" i="3"/>
  <c r="A118" i="3"/>
  <c r="C118" i="3"/>
  <c r="E118" i="3"/>
  <c r="G118" i="3"/>
  <c r="I118" i="3"/>
  <c r="K118" i="3"/>
  <c r="M118" i="3"/>
  <c r="O118" i="3"/>
  <c r="Q118" i="3"/>
  <c r="S118" i="3"/>
  <c r="U118" i="3"/>
  <c r="W118" i="3"/>
  <c r="Y118" i="3"/>
  <c r="AA118" i="3"/>
  <c r="AC118" i="3"/>
  <c r="A119" i="3"/>
  <c r="C119" i="3"/>
  <c r="E119" i="3"/>
  <c r="G119" i="3"/>
  <c r="I119" i="3"/>
  <c r="K119" i="3"/>
  <c r="M119" i="3"/>
  <c r="O119" i="3"/>
  <c r="Q119" i="3"/>
  <c r="S119" i="3"/>
  <c r="U119" i="3"/>
  <c r="W119" i="3"/>
  <c r="Y119" i="3"/>
  <c r="AA119" i="3"/>
  <c r="AC119" i="3"/>
  <c r="A120" i="3"/>
  <c r="C120" i="3"/>
  <c r="E120" i="3"/>
  <c r="G120" i="3"/>
  <c r="I120" i="3"/>
  <c r="K120" i="3"/>
  <c r="M120" i="3"/>
  <c r="O120" i="3"/>
  <c r="Q120" i="3"/>
  <c r="S120" i="3"/>
  <c r="U120" i="3"/>
  <c r="W120" i="3"/>
  <c r="Y120" i="3"/>
  <c r="AA120" i="3"/>
  <c r="AC120" i="3"/>
  <c r="A121" i="3"/>
  <c r="C121" i="3"/>
  <c r="E121" i="3"/>
  <c r="G121" i="3"/>
  <c r="I121" i="3"/>
  <c r="K121" i="3"/>
  <c r="M121" i="3"/>
  <c r="O121" i="3"/>
  <c r="Q121" i="3"/>
  <c r="S121" i="3"/>
  <c r="U121" i="3"/>
  <c r="W121" i="3"/>
  <c r="Y121" i="3"/>
  <c r="AA121" i="3"/>
  <c r="AC121" i="3"/>
  <c r="A123" i="3"/>
  <c r="A124" i="3"/>
  <c r="C124" i="3"/>
  <c r="E124" i="3"/>
  <c r="G124" i="3"/>
  <c r="I124" i="3"/>
  <c r="K124" i="3"/>
  <c r="M124" i="3"/>
  <c r="O124" i="3"/>
  <c r="Q124" i="3"/>
  <c r="S124" i="3"/>
  <c r="U124" i="3"/>
  <c r="W124" i="3"/>
  <c r="Y124" i="3"/>
  <c r="AA124" i="3"/>
  <c r="AC124" i="3"/>
  <c r="A125" i="3"/>
  <c r="C125" i="3"/>
  <c r="E125" i="3"/>
  <c r="G125" i="3"/>
  <c r="I125" i="3"/>
  <c r="K125" i="3"/>
  <c r="M125" i="3"/>
  <c r="O125" i="3"/>
  <c r="Q125" i="3"/>
  <c r="S125" i="3"/>
  <c r="U125" i="3"/>
  <c r="W125" i="3"/>
  <c r="Y125" i="3"/>
  <c r="AA125" i="3"/>
  <c r="AC125" i="3"/>
  <c r="A126" i="3"/>
  <c r="C126" i="3"/>
  <c r="E126" i="3"/>
  <c r="G126" i="3"/>
  <c r="I126" i="3"/>
  <c r="K126" i="3"/>
  <c r="M126" i="3"/>
  <c r="O126" i="3"/>
  <c r="Q126" i="3"/>
  <c r="S126" i="3"/>
  <c r="U126" i="3"/>
  <c r="W126" i="3"/>
  <c r="Y126" i="3"/>
  <c r="AA126" i="3"/>
  <c r="AC126" i="3"/>
  <c r="A127" i="3"/>
  <c r="C127" i="3"/>
  <c r="E127" i="3"/>
  <c r="G127" i="3"/>
  <c r="I127" i="3"/>
  <c r="K127" i="3"/>
  <c r="M127" i="3"/>
  <c r="O127" i="3"/>
  <c r="Q127" i="3"/>
  <c r="S127" i="3"/>
  <c r="U127" i="3"/>
  <c r="W127" i="3"/>
  <c r="Y127" i="3"/>
  <c r="AA127" i="3"/>
  <c r="AC127" i="3"/>
  <c r="A128" i="3"/>
  <c r="C128" i="3"/>
  <c r="E128" i="3"/>
  <c r="G128" i="3"/>
  <c r="I128" i="3"/>
  <c r="K128" i="3"/>
  <c r="M128" i="3"/>
  <c r="O128" i="3"/>
  <c r="Q128" i="3"/>
  <c r="S128" i="3"/>
  <c r="U128" i="3"/>
  <c r="W128" i="3"/>
  <c r="Y128" i="3"/>
  <c r="AA128" i="3"/>
  <c r="AC128" i="3"/>
  <c r="A129" i="3"/>
  <c r="C129" i="3"/>
  <c r="E129" i="3"/>
  <c r="G129" i="3"/>
  <c r="I129" i="3"/>
  <c r="K129" i="3"/>
  <c r="M129" i="3"/>
  <c r="O129" i="3"/>
  <c r="Q129" i="3"/>
  <c r="S129" i="3"/>
  <c r="U129" i="3"/>
  <c r="W129" i="3"/>
  <c r="Y129" i="3"/>
  <c r="AA129" i="3"/>
  <c r="AC129" i="3"/>
  <c r="A131" i="3"/>
  <c r="C131" i="3"/>
  <c r="E131" i="3"/>
  <c r="G131" i="3"/>
  <c r="I131" i="3"/>
  <c r="K131" i="3"/>
  <c r="M131" i="3"/>
  <c r="O131" i="3"/>
  <c r="Q131" i="3"/>
  <c r="S131" i="3"/>
  <c r="U131" i="3"/>
  <c r="W131" i="3"/>
  <c r="Y131" i="3"/>
  <c r="AA131" i="3"/>
  <c r="AC131" i="3"/>
  <c r="A132" i="3"/>
  <c r="C132" i="3"/>
  <c r="E132" i="3"/>
  <c r="G132" i="3"/>
  <c r="I132" i="3"/>
  <c r="K132" i="3"/>
  <c r="M132" i="3"/>
  <c r="O132" i="3"/>
  <c r="Q132" i="3"/>
  <c r="S132" i="3"/>
  <c r="U132" i="3"/>
  <c r="W132" i="3"/>
  <c r="Y132" i="3"/>
  <c r="AA132" i="3"/>
  <c r="AC132" i="3"/>
  <c r="A133" i="3"/>
  <c r="C133" i="3"/>
  <c r="E133" i="3"/>
  <c r="G133" i="3"/>
  <c r="I133" i="3"/>
  <c r="K133" i="3"/>
  <c r="M133" i="3"/>
  <c r="O133" i="3"/>
  <c r="Q133" i="3"/>
  <c r="S133" i="3"/>
  <c r="U133" i="3"/>
  <c r="W133" i="3"/>
  <c r="Y133" i="3"/>
  <c r="AA133" i="3"/>
  <c r="AC133" i="3"/>
  <c r="A134" i="3"/>
  <c r="C134" i="3"/>
  <c r="E134" i="3"/>
  <c r="G134" i="3"/>
  <c r="I134" i="3"/>
  <c r="K134" i="3"/>
  <c r="M134" i="3"/>
  <c r="O134" i="3"/>
  <c r="Q134" i="3"/>
  <c r="S134" i="3"/>
  <c r="U134" i="3"/>
  <c r="W134" i="3"/>
  <c r="Y134" i="3"/>
  <c r="AA134" i="3"/>
  <c r="AC134" i="3"/>
  <c r="A135" i="3"/>
  <c r="C135" i="3"/>
  <c r="E135" i="3"/>
  <c r="G135" i="3"/>
  <c r="I135" i="3"/>
  <c r="K135" i="3"/>
  <c r="M135" i="3"/>
  <c r="O135" i="3"/>
  <c r="Q135" i="3"/>
  <c r="S135" i="3"/>
  <c r="U135" i="3"/>
  <c r="W135" i="3"/>
  <c r="Y135" i="3"/>
  <c r="AA135" i="3"/>
  <c r="AC135" i="3"/>
  <c r="A136" i="3"/>
  <c r="C136" i="3"/>
  <c r="E136" i="3"/>
  <c r="G136" i="3"/>
  <c r="I136" i="3"/>
  <c r="K136" i="3"/>
  <c r="M136" i="3"/>
  <c r="O136" i="3"/>
  <c r="Q136" i="3"/>
  <c r="S136" i="3"/>
  <c r="U136" i="3"/>
  <c r="W136" i="3"/>
  <c r="Y136" i="3"/>
  <c r="AA136" i="3"/>
  <c r="AC136" i="3"/>
  <c r="A138" i="3"/>
  <c r="C138" i="3"/>
  <c r="E138" i="3"/>
  <c r="G138" i="3"/>
  <c r="I138" i="3"/>
  <c r="K138" i="3"/>
  <c r="M138" i="3"/>
  <c r="O138" i="3"/>
  <c r="Q138" i="3"/>
  <c r="S138" i="3"/>
  <c r="U138" i="3"/>
  <c r="W138" i="3"/>
  <c r="Y138" i="3"/>
  <c r="AA138" i="3"/>
  <c r="AC138" i="3"/>
  <c r="A140" i="3"/>
  <c r="A141" i="3"/>
  <c r="C141" i="3"/>
  <c r="E141" i="3"/>
  <c r="G141" i="3"/>
  <c r="I141" i="3"/>
  <c r="K141" i="3"/>
  <c r="M141" i="3"/>
  <c r="O141" i="3"/>
  <c r="Q141" i="3"/>
  <c r="S141" i="3"/>
  <c r="U141" i="3"/>
  <c r="W141" i="3"/>
  <c r="Y141" i="3"/>
  <c r="AA141" i="3"/>
  <c r="AC141" i="3"/>
  <c r="A142" i="3"/>
  <c r="C142" i="3"/>
  <c r="E142" i="3"/>
  <c r="G142" i="3"/>
  <c r="I142" i="3"/>
  <c r="K142" i="3"/>
  <c r="M142" i="3"/>
  <c r="O142" i="3"/>
  <c r="Q142" i="3"/>
  <c r="S142" i="3"/>
  <c r="U142" i="3"/>
  <c r="W142" i="3"/>
  <c r="Y142" i="3"/>
  <c r="AA142" i="3"/>
  <c r="AC142" i="3"/>
  <c r="A143" i="3"/>
  <c r="C143" i="3"/>
  <c r="E143" i="3"/>
  <c r="G143" i="3"/>
  <c r="I143" i="3"/>
  <c r="K143" i="3"/>
  <c r="M143" i="3"/>
  <c r="O143" i="3"/>
  <c r="Q143" i="3"/>
  <c r="S143" i="3"/>
  <c r="U143" i="3"/>
  <c r="W143" i="3"/>
  <c r="Y143" i="3"/>
  <c r="AA143" i="3"/>
  <c r="AC143" i="3"/>
  <c r="A144" i="3"/>
  <c r="C144" i="3"/>
  <c r="E144" i="3"/>
  <c r="G144" i="3"/>
  <c r="I144" i="3"/>
  <c r="K144" i="3"/>
  <c r="M144" i="3"/>
  <c r="O144" i="3"/>
  <c r="Q144" i="3"/>
  <c r="S144" i="3"/>
  <c r="U144" i="3"/>
  <c r="W144" i="3"/>
  <c r="Y144" i="3"/>
  <c r="AA144" i="3"/>
  <c r="AC144" i="3"/>
  <c r="A145" i="3"/>
  <c r="C145" i="3"/>
  <c r="E145" i="3"/>
  <c r="G145" i="3"/>
  <c r="I145" i="3"/>
  <c r="K145" i="3"/>
  <c r="M145" i="3"/>
  <c r="O145" i="3"/>
  <c r="Q145" i="3"/>
  <c r="S145" i="3"/>
  <c r="U145" i="3"/>
  <c r="W145" i="3"/>
  <c r="Y145" i="3"/>
  <c r="AA145" i="3"/>
  <c r="AC145" i="3"/>
  <c r="A146" i="3"/>
  <c r="C146" i="3"/>
  <c r="E146" i="3"/>
  <c r="G146" i="3"/>
  <c r="I146" i="3"/>
  <c r="K146" i="3"/>
  <c r="M146" i="3"/>
  <c r="O146" i="3"/>
  <c r="Q146" i="3"/>
  <c r="S146" i="3"/>
  <c r="U146" i="3"/>
  <c r="W146" i="3"/>
  <c r="Y146" i="3"/>
  <c r="AA146" i="3"/>
  <c r="AC146" i="3"/>
  <c r="A148" i="3"/>
  <c r="A149" i="3"/>
  <c r="C149" i="3"/>
  <c r="E149" i="3"/>
  <c r="G149" i="3"/>
  <c r="I149" i="3"/>
  <c r="K149" i="3"/>
  <c r="M149" i="3"/>
  <c r="O149" i="3"/>
  <c r="Q149" i="3"/>
  <c r="S149" i="3"/>
  <c r="U149" i="3"/>
  <c r="W149" i="3"/>
  <c r="Y149" i="3"/>
  <c r="AA149" i="3"/>
  <c r="AC149" i="3"/>
  <c r="A150" i="3"/>
  <c r="C150" i="3"/>
  <c r="E150" i="3"/>
  <c r="G150" i="3"/>
  <c r="I150" i="3"/>
  <c r="K150" i="3"/>
  <c r="M150" i="3"/>
  <c r="O150" i="3"/>
  <c r="Q150" i="3"/>
  <c r="S150" i="3"/>
  <c r="U150" i="3"/>
  <c r="W150" i="3"/>
  <c r="Y150" i="3"/>
  <c r="AA150" i="3"/>
  <c r="AC150" i="3"/>
  <c r="A151" i="3"/>
  <c r="C151" i="3"/>
  <c r="E151" i="3"/>
  <c r="G151" i="3"/>
  <c r="I151" i="3"/>
  <c r="K151" i="3"/>
  <c r="M151" i="3"/>
  <c r="O151" i="3"/>
  <c r="Q151" i="3"/>
  <c r="S151" i="3"/>
  <c r="U151" i="3"/>
  <c r="W151" i="3"/>
  <c r="Y151" i="3"/>
  <c r="AA151" i="3"/>
  <c r="AC151" i="3"/>
  <c r="A152" i="3"/>
  <c r="C152" i="3"/>
  <c r="E152" i="3"/>
  <c r="G152" i="3"/>
  <c r="I152" i="3"/>
  <c r="K152" i="3"/>
  <c r="M152" i="3"/>
  <c r="O152" i="3"/>
  <c r="Q152" i="3"/>
  <c r="S152" i="3"/>
  <c r="U152" i="3"/>
  <c r="W152" i="3"/>
  <c r="Y152" i="3"/>
  <c r="AA152" i="3"/>
  <c r="AC152" i="3"/>
  <c r="A153" i="3"/>
  <c r="C153" i="3"/>
  <c r="E153" i="3"/>
  <c r="G153" i="3"/>
  <c r="I153" i="3"/>
  <c r="K153" i="3"/>
  <c r="M153" i="3"/>
  <c r="O153" i="3"/>
  <c r="Q153" i="3"/>
  <c r="S153" i="3"/>
  <c r="U153" i="3"/>
  <c r="W153" i="3"/>
  <c r="Y153" i="3"/>
  <c r="AA153" i="3"/>
  <c r="AC153" i="3"/>
  <c r="A154" i="3"/>
  <c r="C154" i="3"/>
  <c r="E154" i="3"/>
  <c r="G154" i="3"/>
  <c r="I154" i="3"/>
  <c r="K154" i="3"/>
  <c r="M154" i="3"/>
  <c r="O154" i="3"/>
  <c r="Q154" i="3"/>
  <c r="S154" i="3"/>
  <c r="U154" i="3"/>
  <c r="W154" i="3"/>
  <c r="Y154" i="3"/>
  <c r="AA154" i="3"/>
  <c r="AC154" i="3"/>
  <c r="A157" i="3"/>
  <c r="C157" i="3"/>
  <c r="E157" i="3"/>
  <c r="G157" i="3"/>
  <c r="I157" i="3"/>
  <c r="K157" i="3"/>
  <c r="M157" i="3"/>
  <c r="O157" i="3"/>
  <c r="Q157" i="3"/>
  <c r="S157" i="3"/>
  <c r="U157" i="3"/>
  <c r="W157" i="3"/>
  <c r="Y157" i="3"/>
  <c r="AA157" i="3"/>
  <c r="AC157" i="3"/>
  <c r="A158" i="3"/>
  <c r="C158" i="3"/>
  <c r="E158" i="3"/>
  <c r="G158" i="3"/>
  <c r="I158" i="3"/>
  <c r="K158" i="3"/>
  <c r="M158" i="3"/>
  <c r="O158" i="3"/>
  <c r="Q158" i="3"/>
  <c r="S158" i="3"/>
  <c r="U158" i="3"/>
  <c r="W158" i="3"/>
  <c r="Y158" i="3"/>
  <c r="AA158" i="3"/>
  <c r="AC158" i="3"/>
  <c r="A159" i="3"/>
  <c r="C159" i="3"/>
  <c r="E159" i="3"/>
  <c r="I159" i="3"/>
  <c r="K159" i="3"/>
  <c r="M159" i="3"/>
  <c r="O159" i="3"/>
  <c r="Q159" i="3"/>
  <c r="S159" i="3"/>
  <c r="W159" i="3"/>
  <c r="Y159" i="3"/>
  <c r="AA159" i="3"/>
  <c r="AC159" i="3"/>
  <c r="S160" i="3"/>
  <c r="A161" i="3"/>
  <c r="C161" i="3"/>
  <c r="E161" i="3"/>
  <c r="G161" i="3"/>
  <c r="I161" i="3"/>
  <c r="K161" i="3"/>
  <c r="M161" i="3"/>
  <c r="O161" i="3"/>
  <c r="Q161" i="3"/>
  <c r="S161" i="3"/>
  <c r="U161" i="3"/>
  <c r="W161" i="3"/>
  <c r="Y161" i="3"/>
  <c r="AA161" i="3"/>
  <c r="AC161" i="3"/>
  <c r="A162" i="3"/>
  <c r="C162" i="3"/>
  <c r="E162" i="3"/>
  <c r="G162" i="3"/>
  <c r="I162" i="3"/>
  <c r="K162" i="3"/>
  <c r="M162" i="3"/>
  <c r="O162" i="3"/>
  <c r="U162" i="3"/>
  <c r="W162" i="3"/>
  <c r="Y162" i="3"/>
  <c r="AA162" i="3"/>
  <c r="AC162" i="3"/>
  <c r="A164" i="3"/>
  <c r="C164" i="3"/>
  <c r="E164" i="3"/>
  <c r="I164" i="3"/>
  <c r="K164" i="3"/>
  <c r="M164" i="3"/>
  <c r="O164" i="3"/>
  <c r="Q164" i="3"/>
  <c r="S164" i="3"/>
  <c r="W164" i="3"/>
  <c r="Y164" i="3"/>
  <c r="AA164" i="3"/>
  <c r="AC164" i="3"/>
  <c r="I167" i="3"/>
  <c r="M167" i="3"/>
  <c r="O167" i="3"/>
  <c r="W167" i="3"/>
  <c r="AA167" i="3"/>
  <c r="AC167" i="3"/>
  <c r="C170" i="3"/>
  <c r="E170" i="3"/>
  <c r="I170" i="3"/>
  <c r="K170" i="3"/>
  <c r="M170" i="3"/>
  <c r="O170" i="3"/>
  <c r="Q170" i="3"/>
  <c r="S170" i="3"/>
  <c r="W170" i="3"/>
  <c r="Y170" i="3"/>
  <c r="AA170" i="3"/>
  <c r="AC170" i="3"/>
  <c r="K173" i="3"/>
  <c r="Y173" i="3"/>
  <c r="C178" i="3"/>
  <c r="I178" i="3"/>
  <c r="K178" i="3"/>
  <c r="M178" i="3"/>
  <c r="C179" i="3"/>
  <c r="I179" i="3"/>
  <c r="K179" i="3"/>
  <c r="M179" i="3"/>
  <c r="C180" i="3"/>
  <c r="I180" i="3"/>
  <c r="K180" i="3"/>
  <c r="M180" i="3"/>
  <c r="I181" i="3"/>
  <c r="M181" i="3"/>
  <c r="C182" i="3"/>
  <c r="I182" i="3"/>
  <c r="K182" i="3"/>
  <c r="M182" i="3"/>
  <c r="C183" i="3"/>
  <c r="I183" i="3"/>
  <c r="K183" i="3"/>
  <c r="M183" i="3"/>
  <c r="I186" i="3"/>
  <c r="K186" i="3"/>
  <c r="M186" i="3"/>
  <c r="I187" i="3"/>
  <c r="K187" i="3"/>
  <c r="M187" i="3"/>
  <c r="K188" i="3"/>
  <c r="M188" i="3"/>
  <c r="C191" i="3"/>
  <c r="I191" i="3"/>
  <c r="K191" i="3"/>
  <c r="M191" i="3"/>
  <c r="O191" i="3"/>
  <c r="C192" i="3"/>
  <c r="I192" i="3"/>
  <c r="K192" i="3"/>
  <c r="M192" i="3"/>
  <c r="O192" i="3"/>
  <c r="C193" i="3"/>
  <c r="I193" i="3"/>
  <c r="K193" i="3"/>
  <c r="M193" i="3"/>
  <c r="O193" i="3"/>
  <c r="C194" i="3"/>
  <c r="I194" i="3"/>
  <c r="J194" i="3"/>
  <c r="K194" i="3"/>
  <c r="L194" i="3"/>
  <c r="M194" i="3"/>
  <c r="O194" i="3"/>
  <c r="C195" i="3"/>
  <c r="I195" i="3"/>
  <c r="K195" i="3"/>
  <c r="M195" i="3"/>
  <c r="O195" i="3"/>
  <c r="C196" i="3"/>
  <c r="I196" i="3"/>
  <c r="K196" i="3"/>
  <c r="M196" i="3"/>
  <c r="C197" i="3"/>
  <c r="M198" i="3"/>
  <c r="AX3" i="2"/>
  <c r="AZ3" i="2"/>
  <c r="D6" i="2"/>
  <c r="D11" i="2"/>
  <c r="F11" i="2"/>
  <c r="H11" i="2"/>
  <c r="J11" i="2"/>
  <c r="L11" i="2"/>
  <c r="P11" i="2"/>
  <c r="V11" i="2"/>
  <c r="AF11" i="2"/>
  <c r="AJ11" i="2"/>
  <c r="AP11" i="2"/>
  <c r="AR11" i="2"/>
  <c r="AT11" i="2"/>
  <c r="AV11" i="2"/>
  <c r="AX11" i="2"/>
  <c r="AZ11" i="2"/>
  <c r="F12" i="2"/>
  <c r="L12" i="2"/>
  <c r="P12" i="2"/>
  <c r="R12" i="2"/>
  <c r="V12" i="2"/>
  <c r="AJ12" i="2"/>
  <c r="AL12" i="2"/>
  <c r="AP12" i="2"/>
  <c r="AR12" i="2"/>
  <c r="AT12" i="2"/>
  <c r="AV12" i="2"/>
  <c r="AX12" i="2"/>
  <c r="AZ12" i="2"/>
  <c r="L13" i="2"/>
  <c r="AR13" i="2"/>
  <c r="AT13" i="2"/>
  <c r="AV13" i="2"/>
  <c r="AX13" i="2"/>
  <c r="AZ13" i="2"/>
  <c r="F14" i="2"/>
  <c r="L14" i="2"/>
  <c r="P14" i="2"/>
  <c r="R14" i="2"/>
  <c r="V14" i="2"/>
  <c r="AJ14" i="2"/>
  <c r="AP14" i="2"/>
  <c r="AR14" i="2"/>
  <c r="AT14" i="2"/>
  <c r="AV14" i="2"/>
  <c r="AX14" i="2"/>
  <c r="AZ14" i="2"/>
  <c r="L15" i="2"/>
  <c r="P15" i="2"/>
  <c r="R15" i="2"/>
  <c r="V15" i="2"/>
  <c r="AJ15" i="2"/>
  <c r="AL15" i="2"/>
  <c r="AP15" i="2"/>
  <c r="AR15" i="2"/>
  <c r="AT15" i="2"/>
  <c r="AV15" i="2"/>
  <c r="AX15" i="2"/>
  <c r="AZ15" i="2"/>
  <c r="F16" i="2"/>
  <c r="H16" i="2"/>
  <c r="L16" i="2"/>
  <c r="P16" i="2"/>
  <c r="R16" i="2"/>
  <c r="V16" i="2"/>
  <c r="AF16" i="2"/>
  <c r="AR16" i="2"/>
  <c r="AT16" i="2"/>
  <c r="AV16" i="2"/>
  <c r="AX16" i="2"/>
  <c r="AZ16" i="2"/>
  <c r="D17" i="2"/>
  <c r="F17" i="2"/>
  <c r="H17" i="2"/>
  <c r="J17" i="2"/>
  <c r="L17" i="2"/>
  <c r="N17" i="2"/>
  <c r="P17" i="2"/>
  <c r="R17" i="2"/>
  <c r="T17" i="2"/>
  <c r="V17" i="2"/>
  <c r="X17" i="2"/>
  <c r="Z17" i="2"/>
  <c r="AB17" i="2"/>
  <c r="AD17" i="2"/>
  <c r="AF17" i="2"/>
  <c r="AH17" i="2"/>
  <c r="AJ17" i="2"/>
  <c r="AN17" i="2"/>
  <c r="AP17" i="2"/>
  <c r="AR17" i="2"/>
  <c r="AT17" i="2"/>
  <c r="AV17" i="2"/>
  <c r="AX17" i="2"/>
  <c r="AZ17" i="2"/>
  <c r="F20" i="2"/>
  <c r="L20" i="2"/>
  <c r="P20" i="2"/>
  <c r="R20" i="2"/>
  <c r="V20" i="2"/>
  <c r="AP20" i="2"/>
  <c r="AR20" i="2"/>
  <c r="AT20" i="2"/>
  <c r="AV20" i="2"/>
  <c r="AX20" i="2"/>
  <c r="AZ20" i="2"/>
  <c r="F21" i="2"/>
  <c r="L21" i="2"/>
  <c r="V21" i="2"/>
  <c r="AF21" i="2"/>
  <c r="AP21" i="2"/>
  <c r="AR21" i="2"/>
  <c r="AX21" i="2"/>
  <c r="AZ21" i="2"/>
  <c r="F22" i="2"/>
  <c r="J22" i="2"/>
  <c r="L22" i="2"/>
  <c r="N22" i="2"/>
  <c r="P22" i="2"/>
  <c r="R22" i="2"/>
  <c r="V22" i="2"/>
  <c r="AF22" i="2"/>
  <c r="AH22" i="2"/>
  <c r="AN22" i="2"/>
  <c r="AP22" i="2"/>
  <c r="AR22" i="2"/>
  <c r="AT22" i="2"/>
  <c r="AV22" i="2"/>
  <c r="AX22" i="2"/>
  <c r="AZ22" i="2"/>
  <c r="BC22" i="2"/>
  <c r="F23" i="2"/>
  <c r="H23" i="2"/>
  <c r="L23" i="2"/>
  <c r="P23" i="2"/>
  <c r="R23" i="2"/>
  <c r="V23" i="2"/>
  <c r="AF23" i="2"/>
  <c r="AN23" i="2"/>
  <c r="AP23" i="2"/>
  <c r="AR23" i="2"/>
  <c r="AT23" i="2"/>
  <c r="AV23" i="2"/>
  <c r="AX23" i="2"/>
  <c r="AZ23" i="2"/>
  <c r="F24" i="2"/>
  <c r="H24" i="2"/>
  <c r="L24" i="2"/>
  <c r="P24" i="2"/>
  <c r="R24" i="2"/>
  <c r="V24" i="2"/>
  <c r="AF24" i="2"/>
  <c r="AP24" i="2"/>
  <c r="AR24" i="2"/>
  <c r="AT24" i="2"/>
  <c r="AV24" i="2"/>
  <c r="AX24" i="2"/>
  <c r="AZ24" i="2"/>
  <c r="F25" i="2"/>
  <c r="H25" i="2"/>
  <c r="L25" i="2"/>
  <c r="P25" i="2"/>
  <c r="T25" i="2"/>
  <c r="V25" i="2"/>
  <c r="AF25" i="2"/>
  <c r="AP25" i="2"/>
  <c r="AR25" i="2"/>
  <c r="AT25" i="2"/>
  <c r="AV25" i="2"/>
  <c r="AX25" i="2"/>
  <c r="AZ25" i="2"/>
  <c r="F26" i="2"/>
  <c r="H26" i="2"/>
  <c r="L26" i="2"/>
  <c r="P26" i="2"/>
  <c r="T26" i="2"/>
  <c r="V26" i="2"/>
  <c r="AF26" i="2"/>
  <c r="AP26" i="2"/>
  <c r="AR26" i="2"/>
  <c r="AT26" i="2"/>
  <c r="AV26" i="2"/>
  <c r="AX26" i="2"/>
  <c r="AZ26" i="2"/>
  <c r="F27" i="2"/>
  <c r="L27" i="2"/>
  <c r="V27" i="2"/>
  <c r="AF27" i="2"/>
  <c r="AP27" i="2"/>
  <c r="AX27" i="2"/>
  <c r="AZ27" i="2"/>
  <c r="F28" i="2"/>
  <c r="H28" i="2"/>
  <c r="L28" i="2"/>
  <c r="P28" i="2"/>
  <c r="R28" i="2"/>
  <c r="V28" i="2"/>
  <c r="AF28" i="2"/>
  <c r="AP28" i="2"/>
  <c r="AR28" i="2"/>
  <c r="AT28" i="2"/>
  <c r="AV28" i="2"/>
  <c r="AX28" i="2"/>
  <c r="AZ28" i="2"/>
  <c r="F29" i="2"/>
  <c r="L29" i="2"/>
  <c r="P29" i="2"/>
  <c r="T29" i="2"/>
  <c r="V29" i="2"/>
  <c r="AF29" i="2"/>
  <c r="AJ29" i="2"/>
  <c r="AL29" i="2"/>
  <c r="AP29" i="2"/>
  <c r="AR29" i="2"/>
  <c r="AT29" i="2"/>
  <c r="AV29" i="2"/>
  <c r="AX29" i="2"/>
  <c r="AZ29" i="2"/>
  <c r="F30" i="2"/>
  <c r="L30" i="2"/>
  <c r="P30" i="2"/>
  <c r="T30" i="2"/>
  <c r="V30" i="2"/>
  <c r="AF30" i="2"/>
  <c r="AP30" i="2"/>
  <c r="AR30" i="2"/>
  <c r="AT30" i="2"/>
  <c r="AV30" i="2"/>
  <c r="AX30" i="2"/>
  <c r="AZ30" i="2"/>
  <c r="F31" i="2"/>
  <c r="L31" i="2"/>
  <c r="P31" i="2"/>
  <c r="V31" i="2"/>
  <c r="AF31" i="2"/>
  <c r="AP31" i="2"/>
  <c r="AR31" i="2"/>
  <c r="AT31" i="2"/>
  <c r="AX31" i="2"/>
  <c r="AZ31" i="2"/>
  <c r="F32" i="2"/>
  <c r="L32" i="2"/>
  <c r="P32" i="2"/>
  <c r="V32" i="2"/>
  <c r="AF32" i="2"/>
  <c r="AP32" i="2"/>
  <c r="AR32" i="2"/>
  <c r="AT32" i="2"/>
  <c r="AX32" i="2"/>
  <c r="AZ32" i="2"/>
  <c r="F33" i="2"/>
  <c r="L33" i="2"/>
  <c r="P33" i="2"/>
  <c r="T33" i="2"/>
  <c r="V33" i="2"/>
  <c r="AF33" i="2"/>
  <c r="AP33" i="2"/>
  <c r="AR33" i="2"/>
  <c r="AT33" i="2"/>
  <c r="AX33" i="2"/>
  <c r="AZ33" i="2"/>
  <c r="AX34" i="2"/>
  <c r="AZ34" i="2"/>
  <c r="D35" i="2"/>
  <c r="F35" i="2"/>
  <c r="H35" i="2"/>
  <c r="J35" i="2"/>
  <c r="L35" i="2"/>
  <c r="N35" i="2"/>
  <c r="P35" i="2"/>
  <c r="R35" i="2"/>
  <c r="T35" i="2"/>
  <c r="V35" i="2"/>
  <c r="X35" i="2"/>
  <c r="Z35" i="2"/>
  <c r="AD35" i="2"/>
  <c r="AF35" i="2"/>
  <c r="AH35" i="2"/>
  <c r="AJ35" i="2"/>
  <c r="AN35" i="2"/>
  <c r="AP35" i="2"/>
  <c r="AR35" i="2"/>
  <c r="AT35" i="2"/>
  <c r="AV35" i="2"/>
  <c r="AX35" i="2"/>
  <c r="AZ35" i="2"/>
  <c r="D37" i="2"/>
  <c r="F37" i="2"/>
  <c r="J37" i="2"/>
  <c r="L37" i="2"/>
  <c r="N37" i="2"/>
  <c r="P37" i="2"/>
  <c r="T37" i="2"/>
  <c r="V37" i="2"/>
  <c r="AD37" i="2"/>
  <c r="AF37" i="2"/>
  <c r="AH37" i="2"/>
  <c r="AJ37" i="2"/>
  <c r="AN37" i="2"/>
  <c r="AP37" i="2"/>
  <c r="AR37" i="2"/>
  <c r="AT37" i="2"/>
  <c r="AX37" i="2"/>
  <c r="AZ37" i="2"/>
  <c r="J43" i="2"/>
  <c r="AD43" i="2"/>
  <c r="AN43" i="2"/>
  <c r="AX43" i="2"/>
  <c r="J44" i="2"/>
  <c r="AD48" i="2"/>
  <c r="J56" i="2"/>
  <c r="J57" i="2"/>
  <c r="J58" i="2"/>
  <c r="J59" i="2"/>
  <c r="J64" i="2"/>
  <c r="A1" i="5"/>
  <c r="AW1" i="5"/>
  <c r="AY1" i="5"/>
  <c r="BA1" i="5"/>
  <c r="BC1" i="5"/>
  <c r="AY2" i="5"/>
  <c r="BA2" i="5"/>
  <c r="BC2" i="5"/>
  <c r="A3" i="5"/>
  <c r="BA3" i="5"/>
  <c r="BB3" i="5"/>
  <c r="BC3" i="5"/>
  <c r="BE3" i="5"/>
  <c r="Q6" i="5"/>
  <c r="AE6" i="5"/>
  <c r="AS6" i="5"/>
  <c r="AC12" i="5"/>
  <c r="C13" i="5"/>
  <c r="E13" i="5"/>
  <c r="G13" i="5"/>
  <c r="I13" i="5"/>
  <c r="K13" i="5"/>
  <c r="M13" i="5"/>
  <c r="O13" i="5"/>
  <c r="S13" i="5"/>
  <c r="U13" i="5"/>
  <c r="W13" i="5"/>
  <c r="AA13" i="5"/>
  <c r="AC13" i="5"/>
  <c r="AG13" i="5"/>
  <c r="AI13" i="5"/>
  <c r="AO13" i="5"/>
  <c r="AQ13" i="5"/>
  <c r="AS13" i="5"/>
  <c r="AU13" i="5"/>
  <c r="AW13" i="5"/>
  <c r="AY13" i="5"/>
  <c r="BA13" i="5"/>
  <c r="BC13" i="5"/>
  <c r="BE13" i="5"/>
  <c r="E14" i="5"/>
  <c r="G14" i="5"/>
  <c r="I14" i="5"/>
  <c r="M14" i="5"/>
  <c r="O14" i="5"/>
  <c r="S14" i="5"/>
  <c r="U14" i="5"/>
  <c r="W14" i="5"/>
  <c r="AA14" i="5"/>
  <c r="AC14" i="5"/>
  <c r="AG14" i="5"/>
  <c r="AI14" i="5"/>
  <c r="AO14" i="5"/>
  <c r="AQ14" i="5"/>
  <c r="AS14" i="5"/>
  <c r="AU14" i="5"/>
  <c r="AW14" i="5"/>
  <c r="AY14" i="5"/>
  <c r="BA14" i="5"/>
  <c r="BC14" i="5"/>
  <c r="BE14" i="5"/>
  <c r="E15" i="5"/>
  <c r="G15" i="5"/>
  <c r="I15" i="5"/>
  <c r="M15" i="5"/>
  <c r="O15" i="5"/>
  <c r="S15" i="5"/>
  <c r="U15" i="5"/>
  <c r="W15" i="5"/>
  <c r="AA15" i="5"/>
  <c r="AC15" i="5"/>
  <c r="AG15" i="5"/>
  <c r="AI15" i="5"/>
  <c r="AO15" i="5"/>
  <c r="AQ15" i="5"/>
  <c r="AS15" i="5"/>
  <c r="AU15" i="5"/>
  <c r="AW15" i="5"/>
  <c r="AY15" i="5"/>
  <c r="BA15" i="5"/>
  <c r="BC15" i="5"/>
  <c r="BE15" i="5"/>
  <c r="E16" i="5"/>
  <c r="G16" i="5"/>
  <c r="I16" i="5"/>
  <c r="M16" i="5"/>
  <c r="O16" i="5"/>
  <c r="S16" i="5"/>
  <c r="U16" i="5"/>
  <c r="W16" i="5"/>
  <c r="AY16" i="5"/>
  <c r="BA16" i="5"/>
  <c r="BC16" i="5"/>
  <c r="BE16" i="5"/>
  <c r="E17" i="5"/>
  <c r="G17" i="5"/>
  <c r="I17" i="5"/>
  <c r="M17" i="5"/>
  <c r="O17" i="5"/>
  <c r="S17" i="5"/>
  <c r="U17" i="5"/>
  <c r="AA17" i="5"/>
  <c r="AC17" i="5"/>
  <c r="AG17" i="5"/>
  <c r="AI17" i="5"/>
  <c r="AO17" i="5"/>
  <c r="AQ17" i="5"/>
  <c r="AS17" i="5"/>
  <c r="AU17" i="5"/>
  <c r="AW17" i="5"/>
  <c r="AY17" i="5"/>
  <c r="BA17" i="5"/>
  <c r="BC17" i="5"/>
  <c r="BE17" i="5"/>
  <c r="C18" i="5"/>
  <c r="E18" i="5"/>
  <c r="G18" i="5"/>
  <c r="I18" i="5"/>
  <c r="K18" i="5"/>
  <c r="M18" i="5"/>
  <c r="O18" i="5"/>
  <c r="Q18" i="5"/>
  <c r="S18" i="5"/>
  <c r="U18" i="5"/>
  <c r="W18" i="5"/>
  <c r="Y18" i="5"/>
  <c r="AA18" i="5"/>
  <c r="AC18" i="5"/>
  <c r="AE18" i="5"/>
  <c r="AG18" i="5"/>
  <c r="AI18" i="5"/>
  <c r="AK18" i="5"/>
  <c r="AM18" i="5"/>
  <c r="AO18" i="5"/>
  <c r="AQ18" i="5"/>
  <c r="AS18" i="5"/>
  <c r="AU18" i="5"/>
  <c r="AW18" i="5"/>
  <c r="AY18" i="5"/>
  <c r="BA18" i="5"/>
  <c r="BC18" i="5"/>
  <c r="BE18" i="5"/>
  <c r="E20" i="5"/>
  <c r="G20" i="5"/>
  <c r="I20" i="5"/>
  <c r="M20" i="5"/>
  <c r="O20" i="5"/>
  <c r="S20" i="5"/>
  <c r="U20" i="5"/>
  <c r="AA20" i="5"/>
  <c r="AC20" i="5"/>
  <c r="AG20" i="5"/>
  <c r="AI20" i="5"/>
  <c r="AK20" i="5"/>
  <c r="AO20" i="5"/>
  <c r="AQ20" i="5"/>
  <c r="AS20" i="5"/>
  <c r="AU20" i="5"/>
  <c r="AW20" i="5"/>
  <c r="AY20" i="5"/>
  <c r="BA20" i="5"/>
  <c r="BC20" i="5"/>
  <c r="BE20" i="5"/>
  <c r="E21" i="5"/>
  <c r="G21" i="5"/>
  <c r="I21" i="5"/>
  <c r="M21" i="5"/>
  <c r="O21" i="5"/>
  <c r="S21" i="5"/>
  <c r="U21" i="5"/>
  <c r="W21" i="5"/>
  <c r="AA21" i="5"/>
  <c r="AC21" i="5"/>
  <c r="AG21" i="5"/>
  <c r="AO21" i="5"/>
  <c r="AQ21" i="5"/>
  <c r="AS21" i="5"/>
  <c r="AU21" i="5"/>
  <c r="AW21" i="5"/>
  <c r="AY21" i="5"/>
  <c r="BA21" i="5"/>
  <c r="BC21" i="5"/>
  <c r="BE21" i="5"/>
  <c r="E22" i="5"/>
  <c r="G22" i="5"/>
  <c r="I22" i="5"/>
  <c r="M22" i="5"/>
  <c r="O22" i="5"/>
  <c r="S22" i="5"/>
  <c r="U22" i="5"/>
  <c r="W22" i="5"/>
  <c r="AA22" i="5"/>
  <c r="AC22" i="5"/>
  <c r="AG22" i="5"/>
  <c r="AI22" i="5"/>
  <c r="AO22" i="5"/>
  <c r="AQ22" i="5"/>
  <c r="AS22" i="5"/>
  <c r="AU22" i="5"/>
  <c r="AW22" i="5"/>
  <c r="AY22" i="5"/>
  <c r="BA22" i="5"/>
  <c r="BC22" i="5"/>
  <c r="BE22" i="5"/>
  <c r="E23" i="5"/>
  <c r="G23" i="5"/>
  <c r="I23" i="5"/>
  <c r="M23" i="5"/>
  <c r="O23" i="5"/>
  <c r="S23" i="5"/>
  <c r="U23" i="5"/>
  <c r="W23" i="5"/>
  <c r="AS23" i="5"/>
  <c r="AY23" i="5"/>
  <c r="BA23" i="5"/>
  <c r="BC23" i="5"/>
  <c r="BE23" i="5"/>
  <c r="E24" i="5"/>
  <c r="G24" i="5"/>
  <c r="I24" i="5"/>
  <c r="M24" i="5"/>
  <c r="O24" i="5"/>
  <c r="S24" i="5"/>
  <c r="U24" i="5"/>
  <c r="W24" i="5"/>
  <c r="AA24" i="5"/>
  <c r="AC24" i="5"/>
  <c r="AG24" i="5"/>
  <c r="AI24" i="5"/>
  <c r="AO24" i="5"/>
  <c r="AQ24" i="5"/>
  <c r="AS24" i="5"/>
  <c r="AU24" i="5"/>
  <c r="AW24" i="5"/>
  <c r="AY24" i="5"/>
  <c r="BA24" i="5"/>
  <c r="BC24" i="5"/>
  <c r="BE24" i="5"/>
  <c r="C25" i="5"/>
  <c r="E25" i="5"/>
  <c r="G25" i="5"/>
  <c r="I25" i="5"/>
  <c r="K25" i="5"/>
  <c r="M25" i="5"/>
  <c r="O25" i="5"/>
  <c r="Q25" i="5"/>
  <c r="S25" i="5"/>
  <c r="U25" i="5"/>
  <c r="W25" i="5"/>
  <c r="Y25" i="5"/>
  <c r="AA25" i="5"/>
  <c r="AC25" i="5"/>
  <c r="AE25" i="5"/>
  <c r="AG25" i="5"/>
  <c r="AI25" i="5"/>
  <c r="AK25" i="5"/>
  <c r="AM25" i="5"/>
  <c r="AO25" i="5"/>
  <c r="AQ25" i="5"/>
  <c r="AS25" i="5"/>
  <c r="AU25" i="5"/>
  <c r="AW25" i="5"/>
  <c r="AY25" i="5"/>
  <c r="BA25" i="5"/>
  <c r="BC25" i="5"/>
  <c r="BE25" i="5"/>
  <c r="E27" i="5"/>
  <c r="G27" i="5"/>
  <c r="I27" i="5"/>
  <c r="M27" i="5"/>
  <c r="O27" i="5"/>
  <c r="S27" i="5"/>
  <c r="U27" i="5"/>
  <c r="W27" i="5"/>
  <c r="AA27" i="5"/>
  <c r="AC27" i="5"/>
  <c r="AG27" i="5"/>
  <c r="AI27" i="5"/>
  <c r="AO27" i="5"/>
  <c r="AQ27" i="5"/>
  <c r="AS27" i="5"/>
  <c r="AU27" i="5"/>
  <c r="AW27" i="5"/>
  <c r="AY27" i="5"/>
  <c r="BA27" i="5"/>
  <c r="BC27" i="5"/>
  <c r="BE27" i="5"/>
  <c r="E28" i="5"/>
  <c r="G28" i="5"/>
  <c r="I28" i="5"/>
  <c r="M28" i="5"/>
  <c r="O28" i="5"/>
  <c r="S28" i="5"/>
  <c r="U28" i="5"/>
  <c r="W28" i="5"/>
  <c r="AA28" i="5"/>
  <c r="AC28" i="5"/>
  <c r="AG28" i="5"/>
  <c r="AI28" i="5"/>
  <c r="AO28" i="5"/>
  <c r="AQ28" i="5"/>
  <c r="AS28" i="5"/>
  <c r="AU28" i="5"/>
  <c r="AW28" i="5"/>
  <c r="AY28" i="5"/>
  <c r="BA28" i="5"/>
  <c r="BC28" i="5"/>
  <c r="BE28" i="5"/>
  <c r="E29" i="5"/>
  <c r="G29" i="5"/>
  <c r="I29" i="5"/>
  <c r="M29" i="5"/>
  <c r="O29" i="5"/>
  <c r="S29" i="5"/>
  <c r="U29" i="5"/>
  <c r="W29" i="5"/>
  <c r="AA29" i="5"/>
  <c r="AC29" i="5"/>
  <c r="AG29" i="5"/>
  <c r="AI29" i="5"/>
  <c r="AO29" i="5"/>
  <c r="AQ29" i="5"/>
  <c r="AS29" i="5"/>
  <c r="AU29" i="5"/>
  <c r="AW29" i="5"/>
  <c r="AY29" i="5"/>
  <c r="BA29" i="5"/>
  <c r="BC29" i="5"/>
  <c r="BE29" i="5"/>
  <c r="E30" i="5"/>
  <c r="G30" i="5"/>
  <c r="I30" i="5"/>
  <c r="M30" i="5"/>
  <c r="O30" i="5"/>
  <c r="S30" i="5"/>
  <c r="U30" i="5"/>
  <c r="W30" i="5"/>
  <c r="AY30" i="5"/>
  <c r="BA30" i="5"/>
  <c r="BC30" i="5"/>
  <c r="BE30" i="5"/>
  <c r="E31" i="5"/>
  <c r="G31" i="5"/>
  <c r="I31" i="5"/>
  <c r="M31" i="5"/>
  <c r="O31" i="5"/>
  <c r="S31" i="5"/>
  <c r="U31" i="5"/>
  <c r="W31" i="5"/>
  <c r="AA31" i="5"/>
  <c r="AC31" i="5"/>
  <c r="AG31" i="5"/>
  <c r="AI31" i="5"/>
  <c r="AO31" i="5"/>
  <c r="AQ31" i="5"/>
  <c r="AS31" i="5"/>
  <c r="AU31" i="5"/>
  <c r="AW31" i="5"/>
  <c r="AY31" i="5"/>
  <c r="BA31" i="5"/>
  <c r="BC31" i="5"/>
  <c r="BE31" i="5"/>
  <c r="C32" i="5"/>
  <c r="E32" i="5"/>
  <c r="G32" i="5"/>
  <c r="I32" i="5"/>
  <c r="K32" i="5"/>
  <c r="M32" i="5"/>
  <c r="O32" i="5"/>
  <c r="Q32" i="5"/>
  <c r="S32" i="5"/>
  <c r="U32" i="5"/>
  <c r="W32" i="5"/>
  <c r="Y32" i="5"/>
  <c r="AA32" i="5"/>
  <c r="AC32" i="5"/>
  <c r="AE32" i="5"/>
  <c r="AG32" i="5"/>
  <c r="AI32" i="5"/>
  <c r="AK32" i="5"/>
  <c r="AM32" i="5"/>
  <c r="AO32" i="5"/>
  <c r="AQ32" i="5"/>
  <c r="AS32" i="5"/>
  <c r="AU32" i="5"/>
  <c r="AW32" i="5"/>
  <c r="AY32" i="5"/>
  <c r="BA32" i="5"/>
  <c r="BC32" i="5"/>
  <c r="BE32" i="5"/>
  <c r="C34" i="5"/>
  <c r="E34" i="5"/>
  <c r="G34" i="5"/>
  <c r="I34" i="5"/>
  <c r="M34" i="5"/>
  <c r="O34" i="5"/>
  <c r="Q34" i="5"/>
  <c r="S34" i="5"/>
  <c r="U34" i="5"/>
  <c r="W34" i="5"/>
  <c r="AA34" i="5"/>
  <c r="AC34" i="5"/>
  <c r="AG34" i="5"/>
  <c r="AO34" i="5"/>
  <c r="AQ34" i="5"/>
  <c r="AS34" i="5"/>
  <c r="AU34" i="5"/>
  <c r="AW34" i="5"/>
  <c r="AY34" i="5"/>
  <c r="BA34" i="5"/>
  <c r="BC34" i="5"/>
  <c r="BE34" i="5"/>
  <c r="C35" i="5"/>
  <c r="E35" i="5"/>
  <c r="G35" i="5"/>
  <c r="I35" i="5"/>
  <c r="K35" i="5"/>
  <c r="M35" i="5"/>
  <c r="O35" i="5"/>
  <c r="S35" i="5"/>
  <c r="W35" i="5"/>
  <c r="AA35" i="5"/>
  <c r="AC35" i="5"/>
  <c r="AG35" i="5"/>
  <c r="AI35" i="5"/>
  <c r="AO35" i="5"/>
  <c r="AQ35" i="5"/>
  <c r="AS35" i="5"/>
  <c r="AU35" i="5"/>
  <c r="AW35" i="5"/>
  <c r="AY35" i="5"/>
  <c r="BA35" i="5"/>
  <c r="BC35" i="5"/>
  <c r="BE35" i="5"/>
  <c r="E36" i="5"/>
  <c r="G36" i="5"/>
  <c r="I36" i="5"/>
  <c r="M36" i="5"/>
  <c r="O36" i="5"/>
  <c r="S36" i="5"/>
  <c r="U36" i="5"/>
  <c r="W36" i="5"/>
  <c r="AA36" i="5"/>
  <c r="AC36" i="5"/>
  <c r="AG36" i="5"/>
  <c r="AI36" i="5"/>
  <c r="AO36" i="5"/>
  <c r="AQ36" i="5"/>
  <c r="AS36" i="5"/>
  <c r="AU36" i="5"/>
  <c r="AW36" i="5"/>
  <c r="AY36" i="5"/>
  <c r="BA36" i="5"/>
  <c r="BC36" i="5"/>
  <c r="BE36" i="5"/>
  <c r="E37" i="5"/>
  <c r="G37" i="5"/>
  <c r="I37" i="5"/>
  <c r="M37" i="5"/>
  <c r="O37" i="5"/>
  <c r="S37" i="5"/>
  <c r="U37" i="5"/>
  <c r="W37" i="5"/>
  <c r="AS37" i="5"/>
  <c r="AU37" i="5"/>
  <c r="AW37" i="5"/>
  <c r="AY37" i="5"/>
  <c r="BA37" i="5"/>
  <c r="BC37" i="5"/>
  <c r="BE37" i="5"/>
  <c r="E38" i="5"/>
  <c r="G38" i="5"/>
  <c r="I38" i="5"/>
  <c r="M38" i="5"/>
  <c r="O38" i="5"/>
  <c r="S38" i="5"/>
  <c r="U38" i="5"/>
  <c r="W38" i="5"/>
  <c r="AA38" i="5"/>
  <c r="AC38" i="5"/>
  <c r="AG38" i="5"/>
  <c r="AI38" i="5"/>
  <c r="AO38" i="5"/>
  <c r="AQ38" i="5"/>
  <c r="AS38" i="5"/>
  <c r="AU38" i="5"/>
  <c r="AW38" i="5"/>
  <c r="AY38" i="5"/>
  <c r="BA38" i="5"/>
  <c r="BC38" i="5"/>
  <c r="BE38" i="5"/>
  <c r="C39" i="5"/>
  <c r="E39" i="5"/>
  <c r="G39" i="5"/>
  <c r="I39" i="5"/>
  <c r="K39" i="5"/>
  <c r="M39" i="5"/>
  <c r="O39" i="5"/>
  <c r="Q39" i="5"/>
  <c r="S39" i="5"/>
  <c r="U39" i="5"/>
  <c r="W39" i="5"/>
  <c r="Y39" i="5"/>
  <c r="AA39" i="5"/>
  <c r="AC39" i="5"/>
  <c r="AE39" i="5"/>
  <c r="AG39" i="5"/>
  <c r="AI39" i="5"/>
  <c r="AK39" i="5"/>
  <c r="AM39" i="5"/>
  <c r="AO39" i="5"/>
  <c r="AQ39" i="5"/>
  <c r="AS39" i="5"/>
  <c r="AU39" i="5"/>
  <c r="AW39" i="5"/>
  <c r="AY39" i="5"/>
  <c r="BA39" i="5"/>
  <c r="BC39" i="5"/>
  <c r="BE39" i="5"/>
  <c r="E41" i="5"/>
  <c r="G41" i="5"/>
  <c r="I41" i="5"/>
  <c r="M41" i="5"/>
  <c r="O41" i="5"/>
  <c r="S41" i="5"/>
  <c r="U41" i="5"/>
  <c r="W41" i="5"/>
  <c r="AA41" i="5"/>
  <c r="AC41" i="5"/>
  <c r="AG41" i="5"/>
  <c r="AI41" i="5"/>
  <c r="AO41" i="5"/>
  <c r="AS41" i="5"/>
  <c r="AU41" i="5"/>
  <c r="AW41" i="5"/>
  <c r="AY41" i="5"/>
  <c r="BA41" i="5"/>
  <c r="BC41" i="5"/>
  <c r="BE41" i="5"/>
  <c r="E42" i="5"/>
  <c r="G42" i="5"/>
  <c r="I42" i="5"/>
  <c r="M42" i="5"/>
  <c r="O42" i="5"/>
  <c r="S42" i="5"/>
  <c r="U42" i="5"/>
  <c r="W42" i="5"/>
  <c r="AA42" i="5"/>
  <c r="AC42" i="5"/>
  <c r="AG42" i="5"/>
  <c r="AI42" i="5"/>
  <c r="AO42" i="5"/>
  <c r="AQ42" i="5"/>
  <c r="AS42" i="5"/>
  <c r="AU42" i="5"/>
  <c r="AW42" i="5"/>
  <c r="AY42" i="5"/>
  <c r="BA42" i="5"/>
  <c r="BC42" i="5"/>
  <c r="BE42" i="5"/>
  <c r="E43" i="5"/>
  <c r="G43" i="5"/>
  <c r="I43" i="5"/>
  <c r="M43" i="5"/>
  <c r="O43" i="5"/>
  <c r="S43" i="5"/>
  <c r="U43" i="5"/>
  <c r="W43" i="5"/>
  <c r="AA43" i="5"/>
  <c r="AC43" i="5"/>
  <c r="AG43" i="5"/>
  <c r="AI43" i="5"/>
  <c r="AO43" i="5"/>
  <c r="AQ43" i="5"/>
  <c r="AS43" i="5"/>
  <c r="AU43" i="5"/>
  <c r="AW43" i="5"/>
  <c r="AY43" i="5"/>
  <c r="BA43" i="5"/>
  <c r="BC43" i="5"/>
  <c r="BE43" i="5"/>
  <c r="E44" i="5"/>
  <c r="G44" i="5"/>
  <c r="I44" i="5"/>
  <c r="M44" i="5"/>
  <c r="O44" i="5"/>
  <c r="S44" i="5"/>
  <c r="U44" i="5"/>
  <c r="W44" i="5"/>
  <c r="AY44" i="5"/>
  <c r="BA44" i="5"/>
  <c r="BC44" i="5"/>
  <c r="BE44" i="5"/>
  <c r="E45" i="5"/>
  <c r="G45" i="5"/>
  <c r="I45" i="5"/>
  <c r="M45" i="5"/>
  <c r="O45" i="5"/>
  <c r="S45" i="5"/>
  <c r="U45" i="5"/>
  <c r="W45" i="5"/>
  <c r="AA45" i="5"/>
  <c r="AC45" i="5"/>
  <c r="AG45" i="5"/>
  <c r="AI45" i="5"/>
  <c r="AO45" i="5"/>
  <c r="AQ45" i="5"/>
  <c r="AS45" i="5"/>
  <c r="AU45" i="5"/>
  <c r="AW45" i="5"/>
  <c r="AY45" i="5"/>
  <c r="BA45" i="5"/>
  <c r="BC45" i="5"/>
  <c r="BE45" i="5"/>
  <c r="C46" i="5"/>
  <c r="E46" i="5"/>
  <c r="G46" i="5"/>
  <c r="I46" i="5"/>
  <c r="K46" i="5"/>
  <c r="M46" i="5"/>
  <c r="O46" i="5"/>
  <c r="Q46" i="5"/>
  <c r="S46" i="5"/>
  <c r="U46" i="5"/>
  <c r="W46" i="5"/>
  <c r="Y46" i="5"/>
  <c r="AA46" i="5"/>
  <c r="AC46" i="5"/>
  <c r="AE46" i="5"/>
  <c r="AG46" i="5"/>
  <c r="AI46" i="5"/>
  <c r="AK46" i="5"/>
  <c r="AM46" i="5"/>
  <c r="AO46" i="5"/>
  <c r="AQ46" i="5"/>
  <c r="AS46" i="5"/>
  <c r="AU46" i="5"/>
  <c r="AW46" i="5"/>
  <c r="AY46" i="5"/>
  <c r="BA46" i="5"/>
  <c r="BC46" i="5"/>
  <c r="BE46" i="5"/>
  <c r="C48" i="5"/>
  <c r="E48" i="5"/>
  <c r="G48" i="5"/>
  <c r="I48" i="5"/>
  <c r="K48" i="5"/>
  <c r="M48" i="5"/>
  <c r="O48" i="5"/>
  <c r="Q48" i="5"/>
  <c r="S48" i="5"/>
  <c r="U48" i="5"/>
  <c r="W48" i="5"/>
  <c r="Y48" i="5"/>
  <c r="AA48" i="5"/>
  <c r="AC48" i="5"/>
  <c r="AE48" i="5"/>
  <c r="AG48" i="5"/>
  <c r="AI48" i="5"/>
  <c r="AK48" i="5"/>
  <c r="AM48" i="5"/>
  <c r="AO48" i="5"/>
  <c r="AQ48" i="5"/>
  <c r="AS48" i="5"/>
  <c r="AU48" i="5"/>
  <c r="AW48" i="5"/>
  <c r="AY48" i="5"/>
  <c r="BA48" i="5"/>
  <c r="BC48" i="5"/>
  <c r="BE48" i="5"/>
  <c r="E51" i="5"/>
  <c r="G51" i="5"/>
  <c r="I51" i="5"/>
  <c r="M51" i="5"/>
  <c r="O51" i="5"/>
  <c r="S51" i="5"/>
  <c r="U51" i="5"/>
  <c r="W51" i="5"/>
  <c r="AA51" i="5"/>
  <c r="AC51" i="5"/>
  <c r="AE51" i="5"/>
  <c r="AG51" i="5"/>
  <c r="AI51" i="5"/>
  <c r="AO51" i="5"/>
  <c r="AQ51" i="5"/>
  <c r="AS51" i="5"/>
  <c r="AU51" i="5"/>
  <c r="AW51" i="5"/>
  <c r="AY51" i="5"/>
  <c r="BA51" i="5"/>
  <c r="BC51" i="5"/>
  <c r="BE51" i="5"/>
  <c r="E52" i="5"/>
  <c r="G52" i="5"/>
  <c r="I52" i="5"/>
  <c r="M52" i="5"/>
  <c r="O52" i="5"/>
  <c r="S52" i="5"/>
  <c r="U52" i="5"/>
  <c r="W52" i="5"/>
  <c r="AA52" i="5"/>
  <c r="AC52" i="5"/>
  <c r="AG52" i="5"/>
  <c r="AI52" i="5"/>
  <c r="AO52" i="5"/>
  <c r="AQ52" i="5"/>
  <c r="AS52" i="5"/>
  <c r="AU52" i="5"/>
  <c r="AW52" i="5"/>
  <c r="AY52" i="5"/>
  <c r="BA52" i="5"/>
  <c r="BC52" i="5"/>
  <c r="BE52" i="5"/>
  <c r="E53" i="5"/>
  <c r="G53" i="5"/>
  <c r="I53" i="5"/>
  <c r="M53" i="5"/>
  <c r="O53" i="5"/>
  <c r="S53" i="5"/>
  <c r="U53" i="5"/>
  <c r="W53" i="5"/>
  <c r="AA53" i="5"/>
  <c r="AC53" i="5"/>
  <c r="AG53" i="5"/>
  <c r="AI53" i="5"/>
  <c r="AO53" i="5"/>
  <c r="AQ53" i="5"/>
  <c r="AS53" i="5"/>
  <c r="AU53" i="5"/>
  <c r="AW53" i="5"/>
  <c r="AY53" i="5"/>
  <c r="BA53" i="5"/>
  <c r="BC53" i="5"/>
  <c r="BE53" i="5"/>
  <c r="E54" i="5"/>
  <c r="G54" i="5"/>
  <c r="I54" i="5"/>
  <c r="M54" i="5"/>
  <c r="O54" i="5"/>
  <c r="S54" i="5"/>
  <c r="U54" i="5"/>
  <c r="W54" i="5"/>
  <c r="AY54" i="5"/>
  <c r="BA54" i="5"/>
  <c r="BC54" i="5"/>
  <c r="BE54" i="5"/>
  <c r="E55" i="5"/>
  <c r="G55" i="5"/>
  <c r="I55" i="5"/>
  <c r="M55" i="5"/>
  <c r="O55" i="5"/>
  <c r="S55" i="5"/>
  <c r="U55" i="5"/>
  <c r="W55" i="5"/>
  <c r="AA55" i="5"/>
  <c r="AC55" i="5"/>
  <c r="AG55" i="5"/>
  <c r="AI55" i="5"/>
  <c r="AO55" i="5"/>
  <c r="AS55" i="5"/>
  <c r="AU55" i="5"/>
  <c r="AW55" i="5"/>
  <c r="AY55" i="5"/>
  <c r="BA55" i="5"/>
  <c r="BC55" i="5"/>
  <c r="BE55" i="5"/>
  <c r="C56" i="5"/>
  <c r="E56" i="5"/>
  <c r="I56" i="5"/>
  <c r="K56" i="5"/>
  <c r="M56" i="5"/>
  <c r="O56" i="5"/>
  <c r="Q56" i="5"/>
  <c r="S56" i="5"/>
  <c r="U56" i="5"/>
  <c r="W56" i="5"/>
  <c r="Y56" i="5"/>
  <c r="AA56" i="5"/>
  <c r="AC56" i="5"/>
  <c r="AE56" i="5"/>
  <c r="AG56" i="5"/>
  <c r="AI56" i="5"/>
  <c r="AK56" i="5"/>
  <c r="AM56" i="5"/>
  <c r="AO56" i="5"/>
  <c r="AQ56" i="5"/>
  <c r="AS56" i="5"/>
  <c r="AU56" i="5"/>
  <c r="AW56" i="5"/>
  <c r="AY56" i="5"/>
  <c r="BA56" i="5"/>
  <c r="BC56" i="5"/>
  <c r="BE56" i="5"/>
  <c r="E58" i="5"/>
  <c r="G58" i="5"/>
  <c r="I58" i="5"/>
  <c r="M58" i="5"/>
  <c r="O58" i="5"/>
  <c r="S58" i="5"/>
  <c r="W58" i="5"/>
  <c r="AA58" i="5"/>
  <c r="AC58" i="5"/>
  <c r="AG58" i="5"/>
  <c r="AI58" i="5"/>
  <c r="AK58" i="5"/>
  <c r="AO58" i="5"/>
  <c r="AQ58" i="5"/>
  <c r="AS58" i="5"/>
  <c r="AU58" i="5"/>
  <c r="AW58" i="5"/>
  <c r="AY58" i="5"/>
  <c r="BA58" i="5"/>
  <c r="BC58" i="5"/>
  <c r="BE58" i="5"/>
  <c r="E59" i="5"/>
  <c r="G59" i="5"/>
  <c r="I59" i="5"/>
  <c r="K59" i="5"/>
  <c r="M59" i="5"/>
  <c r="O59" i="5"/>
  <c r="S59" i="5"/>
  <c r="U59" i="5"/>
  <c r="W59" i="5"/>
  <c r="AA59" i="5"/>
  <c r="AC59" i="5"/>
  <c r="AG59" i="5"/>
  <c r="AI59" i="5"/>
  <c r="AK59" i="5"/>
  <c r="AO59" i="5"/>
  <c r="AQ59" i="5"/>
  <c r="AS59" i="5"/>
  <c r="AU59" i="5"/>
  <c r="AW59" i="5"/>
  <c r="AY59" i="5"/>
  <c r="BA59" i="5"/>
  <c r="BC59" i="5"/>
  <c r="BE59" i="5"/>
  <c r="E60" i="5"/>
  <c r="G60" i="5"/>
  <c r="I60" i="5"/>
  <c r="M60" i="5"/>
  <c r="O60" i="5"/>
  <c r="S60" i="5"/>
  <c r="U60" i="5"/>
  <c r="W60" i="5"/>
  <c r="AA60" i="5"/>
  <c r="AC60" i="5"/>
  <c r="AG60" i="5"/>
  <c r="AI60" i="5"/>
  <c r="AO60" i="5"/>
  <c r="AQ60" i="5"/>
  <c r="AS60" i="5"/>
  <c r="AU60" i="5"/>
  <c r="AW60" i="5"/>
  <c r="AY60" i="5"/>
  <c r="BA60" i="5"/>
  <c r="BC60" i="5"/>
  <c r="BE60" i="5"/>
  <c r="E61" i="5"/>
  <c r="G61" i="5"/>
  <c r="I61" i="5"/>
  <c r="M61" i="5"/>
  <c r="O61" i="5"/>
  <c r="S61" i="5"/>
  <c r="U61" i="5"/>
  <c r="W61" i="5"/>
  <c r="AS61" i="5"/>
  <c r="AU61" i="5"/>
  <c r="AW61" i="5"/>
  <c r="AY61" i="5"/>
  <c r="BA61" i="5"/>
  <c r="BC61" i="5"/>
  <c r="BE61" i="5"/>
  <c r="E62" i="5"/>
  <c r="G62" i="5"/>
  <c r="I62" i="5"/>
  <c r="M62" i="5"/>
  <c r="O62" i="5"/>
  <c r="S62" i="5"/>
  <c r="U62" i="5"/>
  <c r="W62" i="5"/>
  <c r="AA62" i="5"/>
  <c r="AC62" i="5"/>
  <c r="AG62" i="5"/>
  <c r="AI62" i="5"/>
  <c r="AO62" i="5"/>
  <c r="AQ62" i="5"/>
  <c r="AS62" i="5"/>
  <c r="AU62" i="5"/>
  <c r="AW62" i="5"/>
  <c r="AY62" i="5"/>
  <c r="BA62" i="5"/>
  <c r="BC62" i="5"/>
  <c r="BE62" i="5"/>
  <c r="E63" i="5"/>
  <c r="I63" i="5"/>
  <c r="M63" i="5"/>
  <c r="O63" i="5"/>
  <c r="W63" i="5"/>
  <c r="AA63" i="5"/>
  <c r="AO63" i="5"/>
  <c r="AQ63" i="5"/>
  <c r="AS63" i="5"/>
  <c r="AU63" i="5"/>
  <c r="AW63" i="5"/>
  <c r="AY63" i="5"/>
  <c r="BA63" i="5"/>
  <c r="BC63" i="5"/>
  <c r="BE63" i="5"/>
  <c r="C64" i="5"/>
  <c r="E64" i="5"/>
  <c r="G64" i="5"/>
  <c r="I64" i="5"/>
  <c r="K64" i="5"/>
  <c r="M64" i="5"/>
  <c r="O64" i="5"/>
  <c r="Q64" i="5"/>
  <c r="S64" i="5"/>
  <c r="U64" i="5"/>
  <c r="W64" i="5"/>
  <c r="Y64" i="5"/>
  <c r="AA64" i="5"/>
  <c r="AC64" i="5"/>
  <c r="AE64" i="5"/>
  <c r="AG64" i="5"/>
  <c r="AI64" i="5"/>
  <c r="AK64" i="5"/>
  <c r="AM64" i="5"/>
  <c r="AO64" i="5"/>
  <c r="AQ64" i="5"/>
  <c r="AS64" i="5"/>
  <c r="AU64" i="5"/>
  <c r="AW64" i="5"/>
  <c r="AY64" i="5"/>
  <c r="BA64" i="5"/>
  <c r="BC64" i="5"/>
  <c r="BE64" i="5"/>
  <c r="C66" i="5"/>
  <c r="E66" i="5"/>
  <c r="G66" i="5"/>
  <c r="I66" i="5"/>
  <c r="M66" i="5"/>
  <c r="O66" i="5"/>
  <c r="S66" i="5"/>
  <c r="U66" i="5"/>
  <c r="W66" i="5"/>
  <c r="AA66" i="5"/>
  <c r="AC66" i="5"/>
  <c r="AG66" i="5"/>
  <c r="AI66" i="5"/>
  <c r="AO66" i="5"/>
  <c r="AQ66" i="5"/>
  <c r="AS66" i="5"/>
  <c r="AU66" i="5"/>
  <c r="AW66" i="5"/>
  <c r="AY66" i="5"/>
  <c r="BA66" i="5"/>
  <c r="BC66" i="5"/>
  <c r="BE66" i="5"/>
  <c r="E67" i="5"/>
  <c r="G67" i="5"/>
  <c r="I67" i="5"/>
  <c r="M67" i="5"/>
  <c r="O67" i="5"/>
  <c r="S67" i="5"/>
  <c r="U67" i="5"/>
  <c r="W67" i="5"/>
  <c r="AA67" i="5"/>
  <c r="AC67" i="5"/>
  <c r="AG67" i="5"/>
  <c r="AI67" i="5"/>
  <c r="AO67" i="5"/>
  <c r="AQ67" i="5"/>
  <c r="AS67" i="5"/>
  <c r="AU67" i="5"/>
  <c r="AW67" i="5"/>
  <c r="AY67" i="5"/>
  <c r="BA67" i="5"/>
  <c r="BC67" i="5"/>
  <c r="BE67" i="5"/>
  <c r="E68" i="5"/>
  <c r="G68" i="5"/>
  <c r="I68" i="5"/>
  <c r="M68" i="5"/>
  <c r="O68" i="5"/>
  <c r="S68" i="5"/>
  <c r="U68" i="5"/>
  <c r="W68" i="5"/>
  <c r="AA68" i="5"/>
  <c r="AC68" i="5"/>
  <c r="AG68" i="5"/>
  <c r="AI68" i="5"/>
  <c r="AO68" i="5"/>
  <c r="AQ68" i="5"/>
  <c r="AS68" i="5"/>
  <c r="AU68" i="5"/>
  <c r="AW68" i="5"/>
  <c r="AY68" i="5"/>
  <c r="BA68" i="5"/>
  <c r="BC68" i="5"/>
  <c r="BE68" i="5"/>
  <c r="E69" i="5"/>
  <c r="G69" i="5"/>
  <c r="I69" i="5"/>
  <c r="M69" i="5"/>
  <c r="O69" i="5"/>
  <c r="S69" i="5"/>
  <c r="U69" i="5"/>
  <c r="W69" i="5"/>
  <c r="BA69" i="5"/>
  <c r="BC69" i="5"/>
  <c r="BE69" i="5"/>
  <c r="E70" i="5"/>
  <c r="G70" i="5"/>
  <c r="I70" i="5"/>
  <c r="M70" i="5"/>
  <c r="O70" i="5"/>
  <c r="S70" i="5"/>
  <c r="U70" i="5"/>
  <c r="W70" i="5"/>
  <c r="AA70" i="5"/>
  <c r="AC70" i="5"/>
  <c r="AG70" i="5"/>
  <c r="AI70" i="5"/>
  <c r="AO70" i="5"/>
  <c r="AQ70" i="5"/>
  <c r="AS70" i="5"/>
  <c r="AU70" i="5"/>
  <c r="AW70" i="5"/>
  <c r="AY70" i="5"/>
  <c r="BA70" i="5"/>
  <c r="BC70" i="5"/>
  <c r="BE70" i="5"/>
  <c r="C71" i="5"/>
  <c r="E71" i="5"/>
  <c r="G71" i="5"/>
  <c r="I71" i="5"/>
  <c r="K71" i="5"/>
  <c r="M71" i="5"/>
  <c r="O71" i="5"/>
  <c r="Q71" i="5"/>
  <c r="S71" i="5"/>
  <c r="U71" i="5"/>
  <c r="W71" i="5"/>
  <c r="Y71" i="5"/>
  <c r="AA71" i="5"/>
  <c r="AC71" i="5"/>
  <c r="AE71" i="5"/>
  <c r="AG71" i="5"/>
  <c r="AI71" i="5"/>
  <c r="AK71" i="5"/>
  <c r="AM71" i="5"/>
  <c r="AO71" i="5"/>
  <c r="AQ71" i="5"/>
  <c r="AS71" i="5"/>
  <c r="AU71" i="5"/>
  <c r="AW71" i="5"/>
  <c r="AY71" i="5"/>
  <c r="BA71" i="5"/>
  <c r="BC71" i="5"/>
  <c r="BE71" i="5"/>
  <c r="C73" i="5"/>
  <c r="E73" i="5"/>
  <c r="G73" i="5"/>
  <c r="I73" i="5"/>
  <c r="M73" i="5"/>
  <c r="O73" i="5"/>
  <c r="S73" i="5"/>
  <c r="U73" i="5"/>
  <c r="W73" i="5"/>
  <c r="AA73" i="5"/>
  <c r="AC73" i="5"/>
  <c r="AG73" i="5"/>
  <c r="AO73" i="5"/>
  <c r="AQ73" i="5"/>
  <c r="AS73" i="5"/>
  <c r="AU73" i="5"/>
  <c r="AW73" i="5"/>
  <c r="AY73" i="5"/>
  <c r="BA73" i="5"/>
  <c r="BC73" i="5"/>
  <c r="BE73" i="5"/>
  <c r="E74" i="5"/>
  <c r="G74" i="5"/>
  <c r="I74" i="5"/>
  <c r="M74" i="5"/>
  <c r="O74" i="5"/>
  <c r="S74" i="5"/>
  <c r="U74" i="5"/>
  <c r="W74" i="5"/>
  <c r="AA74" i="5"/>
  <c r="AC74" i="5"/>
  <c r="AG74" i="5"/>
  <c r="AI74" i="5"/>
  <c r="AO74" i="5"/>
  <c r="AQ74" i="5"/>
  <c r="AS74" i="5"/>
  <c r="AU74" i="5"/>
  <c r="AW74" i="5"/>
  <c r="AY74" i="5"/>
  <c r="BA74" i="5"/>
  <c r="BC74" i="5"/>
  <c r="BE74" i="5"/>
  <c r="E75" i="5"/>
  <c r="G75" i="5"/>
  <c r="I75" i="5"/>
  <c r="M75" i="5"/>
  <c r="O75" i="5"/>
  <c r="S75" i="5"/>
  <c r="U75" i="5"/>
  <c r="W75" i="5"/>
  <c r="AA75" i="5"/>
  <c r="AC75" i="5"/>
  <c r="AG75" i="5"/>
  <c r="AI75" i="5"/>
  <c r="AO75" i="5"/>
  <c r="AQ75" i="5"/>
  <c r="AS75" i="5"/>
  <c r="AU75" i="5"/>
  <c r="AW75" i="5"/>
  <c r="AY75" i="5"/>
  <c r="BA75" i="5"/>
  <c r="BC75" i="5"/>
  <c r="BE75" i="5"/>
  <c r="E76" i="5"/>
  <c r="G76" i="5"/>
  <c r="I76" i="5"/>
  <c r="M76" i="5"/>
  <c r="O76" i="5"/>
  <c r="S76" i="5"/>
  <c r="U76" i="5"/>
  <c r="W76" i="5"/>
  <c r="AS76" i="5"/>
  <c r="AY76" i="5"/>
  <c r="BA76" i="5"/>
  <c r="BC76" i="5"/>
  <c r="BE76" i="5"/>
  <c r="E77" i="5"/>
  <c r="G77" i="5"/>
  <c r="I77" i="5"/>
  <c r="M77" i="5"/>
  <c r="O77" i="5"/>
  <c r="S77" i="5"/>
  <c r="U77" i="5"/>
  <c r="W77" i="5"/>
  <c r="Y77" i="5"/>
  <c r="AA77" i="5"/>
  <c r="AC77" i="5"/>
  <c r="AG77" i="5"/>
  <c r="AI77" i="5"/>
  <c r="AO77" i="5"/>
  <c r="AQ77" i="5"/>
  <c r="AS77" i="5"/>
  <c r="AU77" i="5"/>
  <c r="AW77" i="5"/>
  <c r="AY77" i="5"/>
  <c r="BA77" i="5"/>
  <c r="BC77" i="5"/>
  <c r="BE77" i="5"/>
  <c r="C78" i="5"/>
  <c r="E78" i="5"/>
  <c r="G78" i="5"/>
  <c r="I78" i="5"/>
  <c r="K78" i="5"/>
  <c r="M78" i="5"/>
  <c r="O78" i="5"/>
  <c r="Q78" i="5"/>
  <c r="S78" i="5"/>
  <c r="U78" i="5"/>
  <c r="W78" i="5"/>
  <c r="Y78" i="5"/>
  <c r="AA78" i="5"/>
  <c r="AC78" i="5"/>
  <c r="AE78" i="5"/>
  <c r="AG78" i="5"/>
  <c r="AI78" i="5"/>
  <c r="AK78" i="5"/>
  <c r="AM78" i="5"/>
  <c r="AO78" i="5"/>
  <c r="AQ78" i="5"/>
  <c r="AS78" i="5"/>
  <c r="AU78" i="5"/>
  <c r="AW78" i="5"/>
  <c r="AY78" i="5"/>
  <c r="BA78" i="5"/>
  <c r="BC78" i="5"/>
  <c r="BE78" i="5"/>
  <c r="E80" i="5"/>
  <c r="G80" i="5"/>
  <c r="I80" i="5"/>
  <c r="M80" i="5"/>
  <c r="O80" i="5"/>
  <c r="S80" i="5"/>
  <c r="U80" i="5"/>
  <c r="W80" i="5"/>
  <c r="AA80" i="5"/>
  <c r="AC80" i="5"/>
  <c r="AG80" i="5"/>
  <c r="AI80" i="5"/>
  <c r="AO80" i="5"/>
  <c r="AQ80" i="5"/>
  <c r="AS80" i="5"/>
  <c r="AU80" i="5"/>
  <c r="AW80" i="5"/>
  <c r="AY80" i="5"/>
  <c r="BA80" i="5"/>
  <c r="BC80" i="5"/>
  <c r="BE80" i="5"/>
  <c r="E81" i="5"/>
  <c r="G81" i="5"/>
  <c r="I81" i="5"/>
  <c r="M81" i="5"/>
  <c r="O81" i="5"/>
  <c r="S81" i="5"/>
  <c r="U81" i="5"/>
  <c r="W81" i="5"/>
  <c r="AA81" i="5"/>
  <c r="AC81" i="5"/>
  <c r="AG81" i="5"/>
  <c r="AI81" i="5"/>
  <c r="AO81" i="5"/>
  <c r="AQ81" i="5"/>
  <c r="AS81" i="5"/>
  <c r="AU81" i="5"/>
  <c r="AW81" i="5"/>
  <c r="AY81" i="5"/>
  <c r="BA81" i="5"/>
  <c r="BC81" i="5"/>
  <c r="BE81" i="5"/>
  <c r="E82" i="5"/>
  <c r="G82" i="5"/>
  <c r="I82" i="5"/>
  <c r="M82" i="5"/>
  <c r="O82" i="5"/>
  <c r="S82" i="5"/>
  <c r="U82" i="5"/>
  <c r="W82" i="5"/>
  <c r="AA82" i="5"/>
  <c r="AC82" i="5"/>
  <c r="AG82" i="5"/>
  <c r="AI82" i="5"/>
  <c r="AO82" i="5"/>
  <c r="AQ82" i="5"/>
  <c r="AS82" i="5"/>
  <c r="AU82" i="5"/>
  <c r="AW82" i="5"/>
  <c r="AY82" i="5"/>
  <c r="BA82" i="5"/>
  <c r="BC82" i="5"/>
  <c r="BE82" i="5"/>
  <c r="E83" i="5"/>
  <c r="G83" i="5"/>
  <c r="I83" i="5"/>
  <c r="M83" i="5"/>
  <c r="O83" i="5"/>
  <c r="S83" i="5"/>
  <c r="U83" i="5"/>
  <c r="W83" i="5"/>
  <c r="AY83" i="5"/>
  <c r="BA83" i="5"/>
  <c r="BC83" i="5"/>
  <c r="BE83" i="5"/>
  <c r="E84" i="5"/>
  <c r="G84" i="5"/>
  <c r="I84" i="5"/>
  <c r="M84" i="5"/>
  <c r="O84" i="5"/>
  <c r="S84" i="5"/>
  <c r="U84" i="5"/>
  <c r="W84" i="5"/>
  <c r="AA84" i="5"/>
  <c r="AC84" i="5"/>
  <c r="AG84" i="5"/>
  <c r="AI84" i="5"/>
  <c r="AO84" i="5"/>
  <c r="AQ84" i="5"/>
  <c r="AS84" i="5"/>
  <c r="AU84" i="5"/>
  <c r="AW84" i="5"/>
  <c r="AY84" i="5"/>
  <c r="BA84" i="5"/>
  <c r="BC84" i="5"/>
  <c r="BE84" i="5"/>
  <c r="C85" i="5"/>
  <c r="E85" i="5"/>
  <c r="G85" i="5"/>
  <c r="I85" i="5"/>
  <c r="K85" i="5"/>
  <c r="M85" i="5"/>
  <c r="O85" i="5"/>
  <c r="Q85" i="5"/>
  <c r="S85" i="5"/>
  <c r="U85" i="5"/>
  <c r="W85" i="5"/>
  <c r="Y85" i="5"/>
  <c r="AA85" i="5"/>
  <c r="AC85" i="5"/>
  <c r="AE85" i="5"/>
  <c r="AG85" i="5"/>
  <c r="AI85" i="5"/>
  <c r="AK85" i="5"/>
  <c r="AM85" i="5"/>
  <c r="AO85" i="5"/>
  <c r="AQ85" i="5"/>
  <c r="AS85" i="5"/>
  <c r="AU85" i="5"/>
  <c r="AW85" i="5"/>
  <c r="AY85" i="5"/>
  <c r="BA85" i="5"/>
  <c r="BC85" i="5"/>
  <c r="BE85" i="5"/>
  <c r="E87" i="5"/>
  <c r="G87" i="5"/>
  <c r="I87" i="5"/>
  <c r="M87" i="5"/>
  <c r="O87" i="5"/>
  <c r="S87" i="5"/>
  <c r="U87" i="5"/>
  <c r="AA87" i="5"/>
  <c r="AC87" i="5"/>
  <c r="AG87" i="5"/>
  <c r="AI87" i="5"/>
  <c r="AO87" i="5"/>
  <c r="AQ87" i="5"/>
  <c r="AS87" i="5"/>
  <c r="AU87" i="5"/>
  <c r="AW87" i="5"/>
  <c r="AY87" i="5"/>
  <c r="BA87" i="5"/>
  <c r="BC87" i="5"/>
  <c r="BE87" i="5"/>
  <c r="E88" i="5"/>
  <c r="G88" i="5"/>
  <c r="I88" i="5"/>
  <c r="M88" i="5"/>
  <c r="O88" i="5"/>
  <c r="S88" i="5"/>
  <c r="U88" i="5"/>
  <c r="AA88" i="5"/>
  <c r="AC88" i="5"/>
  <c r="AG88" i="5"/>
  <c r="AI88" i="5"/>
  <c r="AO88" i="5"/>
  <c r="AQ88" i="5"/>
  <c r="AS88" i="5"/>
  <c r="AU88" i="5"/>
  <c r="AW88" i="5"/>
  <c r="AY88" i="5"/>
  <c r="BA88" i="5"/>
  <c r="BC88" i="5"/>
  <c r="BE88" i="5"/>
  <c r="E89" i="5"/>
  <c r="G89" i="5"/>
  <c r="I89" i="5"/>
  <c r="M89" i="5"/>
  <c r="O89" i="5"/>
  <c r="S89" i="5"/>
  <c r="U89" i="5"/>
  <c r="AA89" i="5"/>
  <c r="AC89" i="5"/>
  <c r="AG89" i="5"/>
  <c r="AI89" i="5"/>
  <c r="AO89" i="5"/>
  <c r="AQ89" i="5"/>
  <c r="AS89" i="5"/>
  <c r="AU89" i="5"/>
  <c r="AW89" i="5"/>
  <c r="AY89" i="5"/>
  <c r="BA89" i="5"/>
  <c r="BC89" i="5"/>
  <c r="BE89" i="5"/>
  <c r="E90" i="5"/>
  <c r="G90" i="5"/>
  <c r="I90" i="5"/>
  <c r="M90" i="5"/>
  <c r="O90" i="5"/>
  <c r="S90" i="5"/>
  <c r="U90" i="5"/>
  <c r="AY90" i="5"/>
  <c r="BA90" i="5"/>
  <c r="BC90" i="5"/>
  <c r="BE90" i="5"/>
  <c r="E91" i="5"/>
  <c r="G91" i="5"/>
  <c r="I91" i="5"/>
  <c r="M91" i="5"/>
  <c r="O91" i="5"/>
  <c r="S91" i="5"/>
  <c r="U91" i="5"/>
  <c r="AA91" i="5"/>
  <c r="AC91" i="5"/>
  <c r="AG91" i="5"/>
  <c r="AI91" i="5"/>
  <c r="AO91" i="5"/>
  <c r="AQ91" i="5"/>
  <c r="AS91" i="5"/>
  <c r="AU91" i="5"/>
  <c r="AW91" i="5"/>
  <c r="AY91" i="5"/>
  <c r="BA91" i="5"/>
  <c r="BC91" i="5"/>
  <c r="BE91" i="5"/>
  <c r="C92" i="5"/>
  <c r="E92" i="5"/>
  <c r="G92" i="5"/>
  <c r="I92" i="5"/>
  <c r="K92" i="5"/>
  <c r="M92" i="5"/>
  <c r="O92" i="5"/>
  <c r="Q92" i="5"/>
  <c r="S92" i="5"/>
  <c r="U92" i="5"/>
  <c r="W92" i="5"/>
  <c r="Y92" i="5"/>
  <c r="AA92" i="5"/>
  <c r="AC92" i="5"/>
  <c r="AE92" i="5"/>
  <c r="AG92" i="5"/>
  <c r="AI92" i="5"/>
  <c r="AK92" i="5"/>
  <c r="AM92" i="5"/>
  <c r="AO92" i="5"/>
  <c r="AQ92" i="5"/>
  <c r="AS92" i="5"/>
  <c r="AU92" i="5"/>
  <c r="AW92" i="5"/>
  <c r="AY92" i="5"/>
  <c r="BA92" i="5"/>
  <c r="BC92" i="5"/>
  <c r="BE92" i="5"/>
  <c r="C94" i="5"/>
  <c r="E94" i="5"/>
  <c r="G94" i="5"/>
  <c r="I94" i="5"/>
  <c r="K94" i="5"/>
  <c r="M94" i="5"/>
  <c r="O94" i="5"/>
  <c r="Q94" i="5"/>
  <c r="S94" i="5"/>
  <c r="U94" i="5"/>
  <c r="W94" i="5"/>
  <c r="Y94" i="5"/>
  <c r="AA94" i="5"/>
  <c r="AC94" i="5"/>
  <c r="AE94" i="5"/>
  <c r="AG94" i="5"/>
  <c r="AI94" i="5"/>
  <c r="AK94" i="5"/>
  <c r="AM94" i="5"/>
  <c r="AO94" i="5"/>
  <c r="AQ94" i="5"/>
  <c r="AS94" i="5"/>
  <c r="AU94" i="5"/>
  <c r="AW94" i="5"/>
  <c r="AY94" i="5"/>
  <c r="BA94" i="5"/>
  <c r="BC94" i="5"/>
  <c r="BE94" i="5"/>
  <c r="E97" i="5"/>
  <c r="G97" i="5"/>
  <c r="I97" i="5"/>
  <c r="M97" i="5"/>
  <c r="O97" i="5"/>
  <c r="S97" i="5"/>
  <c r="U97" i="5"/>
  <c r="AA97" i="5"/>
  <c r="AC97" i="5"/>
  <c r="AG97" i="5"/>
  <c r="AI97" i="5"/>
  <c r="AO97" i="5"/>
  <c r="AQ97" i="5"/>
  <c r="AS97" i="5"/>
  <c r="AU97" i="5"/>
  <c r="AW97" i="5"/>
  <c r="AY97" i="5"/>
  <c r="BA97" i="5"/>
  <c r="BC97" i="5"/>
  <c r="BE97" i="5"/>
  <c r="E98" i="5"/>
  <c r="G98" i="5"/>
  <c r="I98" i="5"/>
  <c r="M98" i="5"/>
  <c r="O98" i="5"/>
  <c r="S98" i="5"/>
  <c r="U98" i="5"/>
  <c r="AA98" i="5"/>
  <c r="AC98" i="5"/>
  <c r="AG98" i="5"/>
  <c r="AI98" i="5"/>
  <c r="AO98" i="5"/>
  <c r="AQ98" i="5"/>
  <c r="AS98" i="5"/>
  <c r="AU98" i="5"/>
  <c r="AW98" i="5"/>
  <c r="AY98" i="5"/>
  <c r="BA98" i="5"/>
  <c r="BC98" i="5"/>
  <c r="BE98" i="5"/>
  <c r="E99" i="5"/>
  <c r="G99" i="5"/>
  <c r="I99" i="5"/>
  <c r="M99" i="5"/>
  <c r="O99" i="5"/>
  <c r="S99" i="5"/>
  <c r="U99" i="5"/>
  <c r="AA99" i="5"/>
  <c r="AC99" i="5"/>
  <c r="AG99" i="5"/>
  <c r="AI99" i="5"/>
  <c r="AO99" i="5"/>
  <c r="AQ99" i="5"/>
  <c r="AS99" i="5"/>
  <c r="AU99" i="5"/>
  <c r="AW99" i="5"/>
  <c r="AY99" i="5"/>
  <c r="BA99" i="5"/>
  <c r="BC99" i="5"/>
  <c r="BE99" i="5"/>
  <c r="E100" i="5"/>
  <c r="G100" i="5"/>
  <c r="I100" i="5"/>
  <c r="M100" i="5"/>
  <c r="O100" i="5"/>
  <c r="S100" i="5"/>
  <c r="U100" i="5"/>
  <c r="AY100" i="5"/>
  <c r="BA100" i="5"/>
  <c r="BC100" i="5"/>
  <c r="BE100" i="5"/>
  <c r="E101" i="5"/>
  <c r="G101" i="5"/>
  <c r="I101" i="5"/>
  <c r="M101" i="5"/>
  <c r="O101" i="5"/>
  <c r="S101" i="5"/>
  <c r="U101" i="5"/>
  <c r="AA101" i="5"/>
  <c r="AC101" i="5"/>
  <c r="AG101" i="5"/>
  <c r="AI101" i="5"/>
  <c r="AO101" i="5"/>
  <c r="AQ101" i="5"/>
  <c r="AS101" i="5"/>
  <c r="AU101" i="5"/>
  <c r="AW101" i="5"/>
  <c r="AY101" i="5"/>
  <c r="BA101" i="5"/>
  <c r="BC101" i="5"/>
  <c r="BE101" i="5"/>
  <c r="C102" i="5"/>
  <c r="E102" i="5"/>
  <c r="G102" i="5"/>
  <c r="I102" i="5"/>
  <c r="K102" i="5"/>
  <c r="M102" i="5"/>
  <c r="O102" i="5"/>
  <c r="Q102" i="5"/>
  <c r="S102" i="5"/>
  <c r="U102" i="5"/>
  <c r="W102" i="5"/>
  <c r="Y102" i="5"/>
  <c r="AA102" i="5"/>
  <c r="AC102" i="5"/>
  <c r="AE102" i="5"/>
  <c r="AG102" i="5"/>
  <c r="AI102" i="5"/>
  <c r="AK102" i="5"/>
  <c r="AM102" i="5"/>
  <c r="AO102" i="5"/>
  <c r="AQ102" i="5"/>
  <c r="AS102" i="5"/>
  <c r="AU102" i="5"/>
  <c r="AW102" i="5"/>
  <c r="AY102" i="5"/>
  <c r="BA102" i="5"/>
  <c r="BC102" i="5"/>
  <c r="BE102" i="5"/>
  <c r="M103" i="5"/>
  <c r="E105" i="5"/>
  <c r="G105" i="5"/>
  <c r="I105" i="5"/>
  <c r="M105" i="5"/>
  <c r="O105" i="5"/>
  <c r="S105" i="5"/>
  <c r="U105" i="5"/>
  <c r="AA105" i="5"/>
  <c r="AC105" i="5"/>
  <c r="AG105" i="5"/>
  <c r="AI105" i="5"/>
  <c r="AO105" i="5"/>
  <c r="AQ105" i="5"/>
  <c r="AS105" i="5"/>
  <c r="AU105" i="5"/>
  <c r="AW105" i="5"/>
  <c r="AY105" i="5"/>
  <c r="BA105" i="5"/>
  <c r="BC105" i="5"/>
  <c r="BE105" i="5"/>
  <c r="E106" i="5"/>
  <c r="G106" i="5"/>
  <c r="I106" i="5"/>
  <c r="M106" i="5"/>
  <c r="O106" i="5"/>
  <c r="S106" i="5"/>
  <c r="U106" i="5"/>
  <c r="AA106" i="5"/>
  <c r="AC106" i="5"/>
  <c r="AG106" i="5"/>
  <c r="AI106" i="5"/>
  <c r="AO106" i="5"/>
  <c r="AQ106" i="5"/>
  <c r="AS106" i="5"/>
  <c r="AU106" i="5"/>
  <c r="AW106" i="5"/>
  <c r="AY106" i="5"/>
  <c r="BA106" i="5"/>
  <c r="BC106" i="5"/>
  <c r="BE106" i="5"/>
  <c r="E107" i="5"/>
  <c r="G107" i="5"/>
  <c r="I107" i="5"/>
  <c r="M107" i="5"/>
  <c r="O107" i="5"/>
  <c r="S107" i="5"/>
  <c r="U107" i="5"/>
  <c r="AA107" i="5"/>
  <c r="AC107" i="5"/>
  <c r="AG107" i="5"/>
  <c r="AI107" i="5"/>
  <c r="AO107" i="5"/>
  <c r="AQ107" i="5"/>
  <c r="AS107" i="5"/>
  <c r="AU107" i="5"/>
  <c r="AW107" i="5"/>
  <c r="AY107" i="5"/>
  <c r="BA107" i="5"/>
  <c r="BC107" i="5"/>
  <c r="BE107" i="5"/>
  <c r="E108" i="5"/>
  <c r="G108" i="5"/>
  <c r="I108" i="5"/>
  <c r="M108" i="5"/>
  <c r="O108" i="5"/>
  <c r="S108" i="5"/>
  <c r="U108" i="5"/>
  <c r="AY108" i="5"/>
  <c r="BA108" i="5"/>
  <c r="BC108" i="5"/>
  <c r="BE108" i="5"/>
  <c r="C109" i="5"/>
  <c r="E109" i="5"/>
  <c r="G109" i="5"/>
  <c r="I109" i="5"/>
  <c r="M109" i="5"/>
  <c r="O109" i="5"/>
  <c r="S109" i="5"/>
  <c r="U109" i="5"/>
  <c r="AA109" i="5"/>
  <c r="AC109" i="5"/>
  <c r="AG109" i="5"/>
  <c r="AI109" i="5"/>
  <c r="AO109" i="5"/>
  <c r="AQ109" i="5"/>
  <c r="AS109" i="5"/>
  <c r="AU109" i="5"/>
  <c r="AW109" i="5"/>
  <c r="AY109" i="5"/>
  <c r="BA109" i="5"/>
  <c r="BC109" i="5"/>
  <c r="BE109" i="5"/>
  <c r="C110" i="5"/>
  <c r="E110" i="5"/>
  <c r="G110" i="5"/>
  <c r="I110" i="5"/>
  <c r="K110" i="5"/>
  <c r="M110" i="5"/>
  <c r="O110" i="5"/>
  <c r="Q110" i="5"/>
  <c r="S110" i="5"/>
  <c r="U110" i="5"/>
  <c r="W110" i="5"/>
  <c r="Y110" i="5"/>
  <c r="AA110" i="5"/>
  <c r="AC110" i="5"/>
  <c r="AE110" i="5"/>
  <c r="AG110" i="5"/>
  <c r="AI110" i="5"/>
  <c r="AK110" i="5"/>
  <c r="AM110" i="5"/>
  <c r="AO110" i="5"/>
  <c r="AQ110" i="5"/>
  <c r="AS110" i="5"/>
  <c r="AU110" i="5"/>
  <c r="AW110" i="5"/>
  <c r="AY110" i="5"/>
  <c r="BA110" i="5"/>
  <c r="BC110" i="5"/>
  <c r="BE110" i="5"/>
  <c r="C113" i="5"/>
  <c r="E113" i="5"/>
  <c r="G113" i="5"/>
  <c r="I113" i="5"/>
  <c r="M113" i="5"/>
  <c r="O113" i="5"/>
  <c r="S113" i="5"/>
  <c r="U113" i="5"/>
  <c r="W113" i="5"/>
  <c r="AA113" i="5"/>
  <c r="AC113" i="5"/>
  <c r="AG113" i="5"/>
  <c r="AI113" i="5"/>
  <c r="AO113" i="5"/>
  <c r="AQ113" i="5"/>
  <c r="AS113" i="5"/>
  <c r="AU113" i="5"/>
  <c r="AW113" i="5"/>
  <c r="AY113" i="5"/>
  <c r="BA113" i="5"/>
  <c r="BC113" i="5"/>
  <c r="BE113" i="5"/>
  <c r="C114" i="5"/>
  <c r="E114" i="5"/>
  <c r="G114" i="5"/>
  <c r="I114" i="5"/>
  <c r="K114" i="5"/>
  <c r="M114" i="5"/>
  <c r="O114" i="5"/>
  <c r="S114" i="5"/>
  <c r="U114" i="5"/>
  <c r="W114" i="5"/>
  <c r="AA114" i="5"/>
  <c r="AC114" i="5"/>
  <c r="AG114" i="5"/>
  <c r="AI114" i="5"/>
  <c r="AK114" i="5"/>
  <c r="AO114" i="5"/>
  <c r="AQ114" i="5"/>
  <c r="AS114" i="5"/>
  <c r="AU114" i="5"/>
  <c r="AW114" i="5"/>
  <c r="AY114" i="5"/>
  <c r="BA114" i="5"/>
  <c r="BC114" i="5"/>
  <c r="BE114" i="5"/>
  <c r="C115" i="5"/>
  <c r="E115" i="5"/>
  <c r="G115" i="5"/>
  <c r="I115" i="5"/>
  <c r="K115" i="5"/>
  <c r="M115" i="5"/>
  <c r="O115" i="5"/>
  <c r="S115" i="5"/>
  <c r="U115" i="5"/>
  <c r="AA115" i="5"/>
  <c r="AC115" i="5"/>
  <c r="AG115" i="5"/>
  <c r="AI115" i="5"/>
  <c r="AO115" i="5"/>
  <c r="AQ115" i="5"/>
  <c r="AS115" i="5"/>
  <c r="AU115" i="5"/>
  <c r="AW115" i="5"/>
  <c r="AY115" i="5"/>
  <c r="BA115" i="5"/>
  <c r="BC115" i="5"/>
  <c r="BE115" i="5"/>
  <c r="E116" i="5"/>
  <c r="G116" i="5"/>
  <c r="I116" i="5"/>
  <c r="M116" i="5"/>
  <c r="O116" i="5"/>
  <c r="S116" i="5"/>
  <c r="U116" i="5"/>
  <c r="AY116" i="5"/>
  <c r="BA116" i="5"/>
  <c r="BC116" i="5"/>
  <c r="BE116" i="5"/>
  <c r="C117" i="5"/>
  <c r="E117" i="5"/>
  <c r="G117" i="5"/>
  <c r="I117" i="5"/>
  <c r="K117" i="5"/>
  <c r="M117" i="5"/>
  <c r="O117" i="5"/>
  <c r="S117" i="5"/>
  <c r="AA117" i="5"/>
  <c r="AC117" i="5"/>
  <c r="AG117" i="5"/>
  <c r="AI117" i="5"/>
  <c r="AO117" i="5"/>
  <c r="AQ117" i="5"/>
  <c r="AS117" i="5"/>
  <c r="AU117" i="5"/>
  <c r="AW117" i="5"/>
  <c r="AY117" i="5"/>
  <c r="BA117" i="5"/>
  <c r="BC117" i="5"/>
  <c r="BE117" i="5"/>
  <c r="C118" i="5"/>
  <c r="E118" i="5"/>
  <c r="G118" i="5"/>
  <c r="I118" i="5"/>
  <c r="K118" i="5"/>
  <c r="M118" i="5"/>
  <c r="O118" i="5"/>
  <c r="Q118" i="5"/>
  <c r="S118" i="5"/>
  <c r="U118" i="5"/>
  <c r="W118" i="5"/>
  <c r="Y118" i="5"/>
  <c r="AA118" i="5"/>
  <c r="AC118" i="5"/>
  <c r="AE118" i="5"/>
  <c r="AG118" i="5"/>
  <c r="AI118" i="5"/>
  <c r="AK118" i="5"/>
  <c r="AM118" i="5"/>
  <c r="AO118" i="5"/>
  <c r="AQ118" i="5"/>
  <c r="AS118" i="5"/>
  <c r="AU118" i="5"/>
  <c r="AW118" i="5"/>
  <c r="AY118" i="5"/>
  <c r="BA118" i="5"/>
  <c r="BC118" i="5"/>
  <c r="BE118" i="5"/>
  <c r="E120" i="5"/>
  <c r="G120" i="5"/>
  <c r="I120" i="5"/>
  <c r="M120" i="5"/>
  <c r="O120" i="5"/>
  <c r="S120" i="5"/>
  <c r="U120" i="5"/>
  <c r="AA120" i="5"/>
  <c r="AC120" i="5"/>
  <c r="AG120" i="5"/>
  <c r="AI120" i="5"/>
  <c r="AO120" i="5"/>
  <c r="AQ120" i="5"/>
  <c r="AS120" i="5"/>
  <c r="AU120" i="5"/>
  <c r="AW120" i="5"/>
  <c r="AY120" i="5"/>
  <c r="BA120" i="5"/>
  <c r="BC120" i="5"/>
  <c r="BE120" i="5"/>
  <c r="E121" i="5"/>
  <c r="G121" i="5"/>
  <c r="I121" i="5"/>
  <c r="M121" i="5"/>
  <c r="O121" i="5"/>
  <c r="S121" i="5"/>
  <c r="U121" i="5"/>
  <c r="AA121" i="5"/>
  <c r="AC121" i="5"/>
  <c r="AG121" i="5"/>
  <c r="AI121" i="5"/>
  <c r="AO121" i="5"/>
  <c r="AQ121" i="5"/>
  <c r="AS121" i="5"/>
  <c r="AU121" i="5"/>
  <c r="AW121" i="5"/>
  <c r="AY121" i="5"/>
  <c r="BA121" i="5"/>
  <c r="BC121" i="5"/>
  <c r="BE121" i="5"/>
  <c r="E122" i="5"/>
  <c r="G122" i="5"/>
  <c r="I122" i="5"/>
  <c r="M122" i="5"/>
  <c r="O122" i="5"/>
  <c r="S122" i="5"/>
  <c r="U122" i="5"/>
  <c r="AA122" i="5"/>
  <c r="AC122" i="5"/>
  <c r="AG122" i="5"/>
  <c r="AI122" i="5"/>
  <c r="AO122" i="5"/>
  <c r="AQ122" i="5"/>
  <c r="AS122" i="5"/>
  <c r="AU122" i="5"/>
  <c r="AW122" i="5"/>
  <c r="AY122" i="5"/>
  <c r="BA122" i="5"/>
  <c r="BC122" i="5"/>
  <c r="BE122" i="5"/>
  <c r="E123" i="5"/>
  <c r="G123" i="5"/>
  <c r="I123" i="5"/>
  <c r="M123" i="5"/>
  <c r="O123" i="5"/>
  <c r="S123" i="5"/>
  <c r="U123" i="5"/>
  <c r="AY123" i="5"/>
  <c r="BA123" i="5"/>
  <c r="BC123" i="5"/>
  <c r="BE123" i="5"/>
  <c r="E124" i="5"/>
  <c r="G124" i="5"/>
  <c r="I124" i="5"/>
  <c r="M124" i="5"/>
  <c r="O124" i="5"/>
  <c r="S124" i="5"/>
  <c r="U124" i="5"/>
  <c r="AA124" i="5"/>
  <c r="AC124" i="5"/>
  <c r="AG124" i="5"/>
  <c r="AI124" i="5"/>
  <c r="AO124" i="5"/>
  <c r="AQ124" i="5"/>
  <c r="AS124" i="5"/>
  <c r="AU124" i="5"/>
  <c r="AW124" i="5"/>
  <c r="AY124" i="5"/>
  <c r="BA124" i="5"/>
  <c r="BC124" i="5"/>
  <c r="BE124" i="5"/>
  <c r="C125" i="5"/>
  <c r="E125" i="5"/>
  <c r="G125" i="5"/>
  <c r="I125" i="5"/>
  <c r="K125" i="5"/>
  <c r="M125" i="5"/>
  <c r="O125" i="5"/>
  <c r="Q125" i="5"/>
  <c r="S125" i="5"/>
  <c r="U125" i="5"/>
  <c r="W125" i="5"/>
  <c r="Y125" i="5"/>
  <c r="AA125" i="5"/>
  <c r="AC125" i="5"/>
  <c r="AE125" i="5"/>
  <c r="AG125" i="5"/>
  <c r="AI125" i="5"/>
  <c r="AK125" i="5"/>
  <c r="AM125" i="5"/>
  <c r="AO125" i="5"/>
  <c r="AQ125" i="5"/>
  <c r="AS125" i="5"/>
  <c r="AU125" i="5"/>
  <c r="AW125" i="5"/>
  <c r="AY125" i="5"/>
  <c r="BA125" i="5"/>
  <c r="BC125" i="5"/>
  <c r="BE125" i="5"/>
  <c r="C127" i="5"/>
  <c r="E127" i="5"/>
  <c r="G127" i="5"/>
  <c r="I127" i="5"/>
  <c r="K127" i="5"/>
  <c r="M127" i="5"/>
  <c r="O127" i="5"/>
  <c r="Q127" i="5"/>
  <c r="S127" i="5"/>
  <c r="U127" i="5"/>
  <c r="W127" i="5"/>
  <c r="Y127" i="5"/>
  <c r="AA127" i="5"/>
  <c r="AC127" i="5"/>
  <c r="AE127" i="5"/>
  <c r="AG127" i="5"/>
  <c r="AI127" i="5"/>
  <c r="AK127" i="5"/>
  <c r="AM127" i="5"/>
  <c r="AO127" i="5"/>
  <c r="AQ127" i="5"/>
  <c r="AS127" i="5"/>
  <c r="AU127" i="5"/>
  <c r="AW127" i="5"/>
  <c r="AY127" i="5"/>
  <c r="BA127" i="5"/>
  <c r="BC127" i="5"/>
  <c r="BE127" i="5"/>
  <c r="C130" i="5"/>
  <c r="E130" i="5"/>
  <c r="G130" i="5"/>
  <c r="I130" i="5"/>
  <c r="M130" i="5"/>
  <c r="O130" i="5"/>
  <c r="S130" i="5"/>
  <c r="U130" i="5"/>
  <c r="AA130" i="5"/>
  <c r="AC130" i="5"/>
  <c r="AG130" i="5"/>
  <c r="AI130" i="5"/>
  <c r="AO130" i="5"/>
  <c r="AQ130" i="5"/>
  <c r="AS130" i="5"/>
  <c r="AU130" i="5"/>
  <c r="AW130" i="5"/>
  <c r="AY130" i="5"/>
  <c r="BA130" i="5"/>
  <c r="BC130" i="5"/>
  <c r="BE130" i="5"/>
  <c r="E131" i="5"/>
  <c r="G131" i="5"/>
  <c r="I131" i="5"/>
  <c r="M131" i="5"/>
  <c r="O131" i="5"/>
  <c r="S131" i="5"/>
  <c r="U131" i="5"/>
  <c r="AA131" i="5"/>
  <c r="AC131" i="5"/>
  <c r="AG131" i="5"/>
  <c r="AI131" i="5"/>
  <c r="AO131" i="5"/>
  <c r="AQ131" i="5"/>
  <c r="AS131" i="5"/>
  <c r="AU131" i="5"/>
  <c r="AW131" i="5"/>
  <c r="AY131" i="5"/>
  <c r="BA131" i="5"/>
  <c r="BC131" i="5"/>
  <c r="BE131" i="5"/>
  <c r="E132" i="5"/>
  <c r="G132" i="5"/>
  <c r="I132" i="5"/>
  <c r="M132" i="5"/>
  <c r="O132" i="5"/>
  <c r="S132" i="5"/>
  <c r="AA132" i="5"/>
  <c r="AC132" i="5"/>
  <c r="AG132" i="5"/>
  <c r="AO132" i="5"/>
  <c r="AQ132" i="5"/>
  <c r="AS132" i="5"/>
  <c r="AU132" i="5"/>
  <c r="AW132" i="5"/>
  <c r="AY132" i="5"/>
  <c r="BA132" i="5"/>
  <c r="BC132" i="5"/>
  <c r="BE132" i="5"/>
  <c r="E133" i="5"/>
  <c r="G133" i="5"/>
  <c r="I133" i="5"/>
  <c r="M133" i="5"/>
  <c r="O133" i="5"/>
  <c r="S133" i="5"/>
  <c r="AY133" i="5"/>
  <c r="BA133" i="5"/>
  <c r="BC133" i="5"/>
  <c r="BE133" i="5"/>
  <c r="E134" i="5"/>
  <c r="G134" i="5"/>
  <c r="I134" i="5"/>
  <c r="M134" i="5"/>
  <c r="O134" i="5"/>
  <c r="S134" i="5"/>
  <c r="U134" i="5"/>
  <c r="AA134" i="5"/>
  <c r="AC134" i="5"/>
  <c r="AG134" i="5"/>
  <c r="AI134" i="5"/>
  <c r="AO134" i="5"/>
  <c r="AQ134" i="5"/>
  <c r="AS134" i="5"/>
  <c r="AU134" i="5"/>
  <c r="AW134" i="5"/>
  <c r="AY134" i="5"/>
  <c r="BA134" i="5"/>
  <c r="BC134" i="5"/>
  <c r="BE134" i="5"/>
  <c r="C135" i="5"/>
  <c r="E135" i="5"/>
  <c r="G135" i="5"/>
  <c r="I135" i="5"/>
  <c r="K135" i="5"/>
  <c r="M135" i="5"/>
  <c r="O135" i="5"/>
  <c r="Q135" i="5"/>
  <c r="S135" i="5"/>
  <c r="U135" i="5"/>
  <c r="W135" i="5"/>
  <c r="Y135" i="5"/>
  <c r="AA135" i="5"/>
  <c r="AC135" i="5"/>
  <c r="AE135" i="5"/>
  <c r="AG135" i="5"/>
  <c r="AI135" i="5"/>
  <c r="AK135" i="5"/>
  <c r="AM135" i="5"/>
  <c r="AO135" i="5"/>
  <c r="AQ135" i="5"/>
  <c r="AS135" i="5"/>
  <c r="AU135" i="5"/>
  <c r="AW135" i="5"/>
  <c r="AY135" i="5"/>
  <c r="BA135" i="5"/>
  <c r="BC135" i="5"/>
  <c r="BE135" i="5"/>
  <c r="E138" i="5"/>
  <c r="G138" i="5"/>
  <c r="I138" i="5"/>
  <c r="M138" i="5"/>
  <c r="O138" i="5"/>
  <c r="S138" i="5"/>
  <c r="U138" i="5"/>
  <c r="AA138" i="5"/>
  <c r="AC138" i="5"/>
  <c r="AG138" i="5"/>
  <c r="AI138" i="5"/>
  <c r="AO138" i="5"/>
  <c r="AQ138" i="5"/>
  <c r="AS138" i="5"/>
  <c r="AU138" i="5"/>
  <c r="AW138" i="5"/>
  <c r="AY138" i="5"/>
  <c r="BA138" i="5"/>
  <c r="BC138" i="5"/>
  <c r="BE138" i="5"/>
  <c r="E139" i="5"/>
  <c r="G139" i="5"/>
  <c r="I139" i="5"/>
  <c r="M139" i="5"/>
  <c r="O139" i="5"/>
  <c r="S139" i="5"/>
  <c r="U139" i="5"/>
  <c r="AA139" i="5"/>
  <c r="AC139" i="5"/>
  <c r="AG139" i="5"/>
  <c r="AI139" i="5"/>
  <c r="AO139" i="5"/>
  <c r="AQ139" i="5"/>
  <c r="AS139" i="5"/>
  <c r="AU139" i="5"/>
  <c r="AW139" i="5"/>
  <c r="AY139" i="5"/>
  <c r="BA139" i="5"/>
  <c r="BC139" i="5"/>
  <c r="BE139" i="5"/>
  <c r="E140" i="5"/>
  <c r="G140" i="5"/>
  <c r="I140" i="5"/>
  <c r="M140" i="5"/>
  <c r="O140" i="5"/>
  <c r="S140" i="5"/>
  <c r="U140" i="5"/>
  <c r="AA140" i="5"/>
  <c r="AC140" i="5"/>
  <c r="AG140" i="5"/>
  <c r="AI140" i="5"/>
  <c r="AO140" i="5"/>
  <c r="AQ140" i="5"/>
  <c r="AS140" i="5"/>
  <c r="AU140" i="5"/>
  <c r="AW140" i="5"/>
  <c r="AY140" i="5"/>
  <c r="BA140" i="5"/>
  <c r="BC140" i="5"/>
  <c r="BE140" i="5"/>
  <c r="E141" i="5"/>
  <c r="G141" i="5"/>
  <c r="I141" i="5"/>
  <c r="M141" i="5"/>
  <c r="O141" i="5"/>
  <c r="S141" i="5"/>
  <c r="U141" i="5"/>
  <c r="AA141" i="5"/>
  <c r="AY141" i="5"/>
  <c r="BA141" i="5"/>
  <c r="BC141" i="5"/>
  <c r="BE141" i="5"/>
  <c r="E142" i="5"/>
  <c r="G142" i="5"/>
  <c r="I142" i="5"/>
  <c r="M142" i="5"/>
  <c r="O142" i="5"/>
  <c r="S142" i="5"/>
  <c r="U142" i="5"/>
  <c r="AA142" i="5"/>
  <c r="AC142" i="5"/>
  <c r="AG142" i="5"/>
  <c r="AI142" i="5"/>
  <c r="AO142" i="5"/>
  <c r="AQ142" i="5"/>
  <c r="AS142" i="5"/>
  <c r="AU142" i="5"/>
  <c r="AW142" i="5"/>
  <c r="AY142" i="5"/>
  <c r="BA142" i="5"/>
  <c r="BC142" i="5"/>
  <c r="BE142" i="5"/>
  <c r="C143" i="5"/>
  <c r="E143" i="5"/>
  <c r="G143" i="5"/>
  <c r="I143" i="5"/>
  <c r="K143" i="5"/>
  <c r="M143" i="5"/>
  <c r="O143" i="5"/>
  <c r="Q143" i="5"/>
  <c r="S143" i="5"/>
  <c r="U143" i="5"/>
  <c r="W143" i="5"/>
  <c r="Y143" i="5"/>
  <c r="AA143" i="5"/>
  <c r="AC143" i="5"/>
  <c r="AE143" i="5"/>
  <c r="AG143" i="5"/>
  <c r="AI143" i="5"/>
  <c r="AK143" i="5"/>
  <c r="AM143" i="5"/>
  <c r="AO143" i="5"/>
  <c r="AQ143" i="5"/>
  <c r="AS143" i="5"/>
  <c r="AU143" i="5"/>
  <c r="AW143" i="5"/>
  <c r="AY143" i="5"/>
  <c r="BA143" i="5"/>
  <c r="BC143" i="5"/>
  <c r="BE143" i="5"/>
  <c r="M146" i="5"/>
  <c r="O146" i="5"/>
  <c r="AA146" i="5"/>
  <c r="AC146" i="5"/>
  <c r="AO146" i="5"/>
  <c r="AQ146" i="5"/>
  <c r="AS146" i="5"/>
  <c r="AU146" i="5"/>
  <c r="AY146" i="5"/>
  <c r="BA146" i="5"/>
  <c r="BC146" i="5"/>
  <c r="BE146" i="5"/>
  <c r="M147" i="5"/>
  <c r="O147" i="5"/>
  <c r="AA147" i="5"/>
  <c r="AC147" i="5"/>
  <c r="AO147" i="5"/>
  <c r="AQ147" i="5"/>
  <c r="AS147" i="5"/>
  <c r="AU147" i="5"/>
  <c r="AY147" i="5"/>
  <c r="BA147" i="5"/>
  <c r="BC147" i="5"/>
  <c r="BE147" i="5"/>
  <c r="M148" i="5"/>
  <c r="O148" i="5"/>
  <c r="AA148" i="5"/>
  <c r="AC148" i="5"/>
  <c r="AO148" i="5"/>
  <c r="AQ148" i="5"/>
  <c r="AS148" i="5"/>
  <c r="AU148" i="5"/>
  <c r="AY148" i="5"/>
  <c r="BA148" i="5"/>
  <c r="BC148" i="5"/>
  <c r="BE148" i="5"/>
  <c r="C150" i="5"/>
  <c r="E150" i="5"/>
  <c r="G150" i="5"/>
  <c r="I150" i="5"/>
  <c r="K150" i="5"/>
  <c r="M150" i="5"/>
  <c r="O150" i="5"/>
  <c r="Q150" i="5"/>
  <c r="S150" i="5"/>
  <c r="U150" i="5"/>
  <c r="W150" i="5"/>
  <c r="Y150" i="5"/>
  <c r="AA150" i="5"/>
  <c r="AC150" i="5"/>
  <c r="AE150" i="5"/>
  <c r="AG150" i="5"/>
  <c r="AI150" i="5"/>
  <c r="AK150" i="5"/>
  <c r="AM150" i="5"/>
  <c r="AO150" i="5"/>
  <c r="AQ150" i="5"/>
  <c r="AS150" i="5"/>
  <c r="AU150" i="5"/>
  <c r="AW150" i="5"/>
  <c r="AY150" i="5"/>
  <c r="BA150" i="5"/>
  <c r="BC150" i="5"/>
  <c r="BE150" i="5"/>
  <c r="BC151" i="5"/>
  <c r="I153" i="5"/>
  <c r="M153" i="5"/>
  <c r="O153" i="5"/>
  <c r="AW153" i="5"/>
  <c r="AY153" i="5"/>
  <c r="BA153" i="5"/>
  <c r="BC153" i="5"/>
  <c r="BE153" i="5"/>
  <c r="I154" i="5"/>
  <c r="M154" i="5"/>
  <c r="O154" i="5"/>
  <c r="AY154" i="5"/>
  <c r="BA154" i="5"/>
  <c r="BC154" i="5"/>
  <c r="BE154" i="5"/>
  <c r="BF154" i="5"/>
  <c r="I155" i="5"/>
  <c r="M155" i="5"/>
  <c r="O155" i="5"/>
  <c r="AW155" i="5"/>
  <c r="AY155" i="5"/>
  <c r="BA155" i="5"/>
  <c r="BC155" i="5"/>
  <c r="BE155" i="5"/>
  <c r="M156" i="5"/>
  <c r="O156" i="5"/>
  <c r="AY156" i="5"/>
  <c r="BA156" i="5"/>
  <c r="BC156" i="5"/>
  <c r="BE156" i="5"/>
  <c r="M157" i="5"/>
  <c r="O157" i="5"/>
  <c r="AY157" i="5"/>
  <c r="BA157" i="5"/>
  <c r="BC157" i="5"/>
  <c r="BE157" i="5"/>
  <c r="M158" i="5"/>
  <c r="O158" i="5"/>
  <c r="AY158" i="5"/>
  <c r="BA158" i="5"/>
  <c r="BC158" i="5"/>
  <c r="BE158" i="5"/>
  <c r="BF158" i="5"/>
  <c r="I159" i="5"/>
  <c r="M159" i="5"/>
  <c r="O159" i="5"/>
  <c r="AY159" i="5"/>
  <c r="BA159" i="5"/>
  <c r="BC159" i="5"/>
  <c r="BE159" i="5"/>
  <c r="BF159" i="5"/>
  <c r="I160" i="5"/>
  <c r="M160" i="5"/>
  <c r="O160" i="5"/>
  <c r="AY160" i="5"/>
  <c r="BA160" i="5"/>
  <c r="BC160" i="5"/>
  <c r="BE160" i="5"/>
  <c r="BF160" i="5"/>
  <c r="I161" i="5"/>
  <c r="M161" i="5"/>
  <c r="O161" i="5"/>
  <c r="AY161" i="5"/>
  <c r="BA161" i="5"/>
  <c r="BC161" i="5"/>
  <c r="BE161" i="5"/>
  <c r="I162" i="5"/>
  <c r="M162" i="5"/>
  <c r="O162" i="5"/>
  <c r="AY162" i="5"/>
  <c r="BA162" i="5"/>
  <c r="BC162" i="5"/>
  <c r="BE162" i="5"/>
  <c r="BF162" i="5"/>
  <c r="I163" i="5"/>
  <c r="M163" i="5"/>
  <c r="O163" i="5"/>
  <c r="AY163" i="5"/>
  <c r="BA163" i="5"/>
  <c r="BC163" i="5"/>
  <c r="BE163" i="5"/>
  <c r="I164" i="5"/>
  <c r="M164" i="5"/>
  <c r="O164" i="5"/>
  <c r="AY164" i="5"/>
  <c r="BA164" i="5"/>
  <c r="BC164" i="5"/>
  <c r="BE164" i="5"/>
  <c r="M165" i="5"/>
  <c r="O165" i="5"/>
  <c r="AY165" i="5"/>
  <c r="BA165" i="5"/>
  <c r="BC165" i="5"/>
  <c r="BE165" i="5"/>
  <c r="M166" i="5"/>
  <c r="O166" i="5"/>
  <c r="AY166" i="5"/>
  <c r="BA166" i="5"/>
  <c r="BC166" i="5"/>
  <c r="BE166" i="5"/>
  <c r="M167" i="5"/>
  <c r="O167" i="5"/>
  <c r="AY167" i="5"/>
  <c r="BA167" i="5"/>
  <c r="BC167" i="5"/>
  <c r="BE167" i="5"/>
  <c r="M168" i="5"/>
  <c r="O168" i="5"/>
  <c r="AY168" i="5"/>
  <c r="BA168" i="5"/>
  <c r="BC168" i="5"/>
  <c r="BE168" i="5"/>
  <c r="I169" i="5"/>
  <c r="M169" i="5"/>
  <c r="O169" i="5"/>
  <c r="AY169" i="5"/>
  <c r="BA169" i="5"/>
  <c r="BC169" i="5"/>
  <c r="BE169" i="5"/>
  <c r="I170" i="5"/>
  <c r="M170" i="5"/>
  <c r="O170" i="5"/>
  <c r="AY170" i="5"/>
  <c r="BA170" i="5"/>
  <c r="BC170" i="5"/>
  <c r="BE170" i="5"/>
  <c r="BF170" i="5"/>
  <c r="C171" i="5"/>
  <c r="E171" i="5"/>
  <c r="I171" i="5"/>
  <c r="K171" i="5"/>
  <c r="M171" i="5"/>
  <c r="O171" i="5"/>
  <c r="Q171" i="5"/>
  <c r="S171" i="5"/>
  <c r="U171" i="5"/>
  <c r="W171" i="5"/>
  <c r="Y171" i="5"/>
  <c r="AA171" i="5"/>
  <c r="AC171" i="5"/>
  <c r="AE171" i="5"/>
  <c r="AG171" i="5"/>
  <c r="AI171" i="5"/>
  <c r="AK171" i="5"/>
  <c r="AM171" i="5"/>
  <c r="AO171" i="5"/>
  <c r="AQ171" i="5"/>
  <c r="AS171" i="5"/>
  <c r="AU171" i="5"/>
  <c r="AW171" i="5"/>
  <c r="AY171" i="5"/>
  <c r="BA171" i="5"/>
  <c r="BC171" i="5"/>
  <c r="BE171" i="5"/>
  <c r="C173" i="5"/>
  <c r="E173" i="5"/>
  <c r="G173" i="5"/>
  <c r="I173" i="5"/>
  <c r="K173" i="5"/>
  <c r="M173" i="5"/>
  <c r="O173" i="5"/>
  <c r="Q173" i="5"/>
  <c r="S173" i="5"/>
  <c r="U173" i="5"/>
  <c r="W173" i="5"/>
  <c r="Y173" i="5"/>
  <c r="AA173" i="5"/>
  <c r="AC173" i="5"/>
  <c r="AE173" i="5"/>
  <c r="AG173" i="5"/>
  <c r="AI173" i="5"/>
  <c r="AK173" i="5"/>
  <c r="AM173" i="5"/>
  <c r="AO173" i="5"/>
  <c r="AQ173" i="5"/>
  <c r="AS173" i="5"/>
  <c r="AU173" i="5"/>
  <c r="AW173" i="5"/>
  <c r="AY173" i="5"/>
  <c r="BA173" i="5"/>
  <c r="BC173" i="5"/>
  <c r="BE173" i="5"/>
  <c r="B3" i="6"/>
  <c r="C3" i="6"/>
  <c r="D3" i="6"/>
  <c r="E3" i="6"/>
  <c r="B4" i="6"/>
  <c r="C4" i="6"/>
  <c r="D4" i="6"/>
  <c r="E4" i="6"/>
  <c r="B5" i="6"/>
  <c r="C5" i="6"/>
  <c r="D5" i="6"/>
  <c r="E5" i="6"/>
  <c r="F5" i="6"/>
  <c r="B6" i="6"/>
  <c r="C6" i="6"/>
  <c r="D6" i="6"/>
  <c r="E6" i="6"/>
  <c r="B7" i="6"/>
  <c r="C7" i="6"/>
  <c r="D7" i="6"/>
  <c r="E7" i="6"/>
  <c r="B8" i="6"/>
  <c r="C8" i="6"/>
  <c r="D8" i="6"/>
  <c r="E8" i="6"/>
  <c r="F8" i="6"/>
  <c r="B9" i="6"/>
  <c r="C9" i="6"/>
  <c r="D9" i="6"/>
  <c r="E9" i="6"/>
  <c r="B10" i="6"/>
  <c r="C10" i="6"/>
  <c r="D10" i="6"/>
  <c r="E10" i="6"/>
  <c r="B11" i="6"/>
  <c r="C11" i="6"/>
  <c r="D11" i="6"/>
  <c r="E11" i="6"/>
  <c r="F11" i="6"/>
  <c r="B12" i="6"/>
  <c r="C12" i="6"/>
  <c r="D12" i="6"/>
  <c r="E12" i="6"/>
  <c r="B13" i="6"/>
  <c r="C13" i="6"/>
  <c r="D13" i="6"/>
  <c r="E13" i="6"/>
  <c r="B14" i="6"/>
  <c r="C14" i="6"/>
  <c r="D14" i="6"/>
  <c r="E14" i="6"/>
  <c r="F14" i="6"/>
</calcChain>
</file>

<file path=xl/sharedStrings.xml><?xml version="1.0" encoding="utf-8"?>
<sst xmlns="http://schemas.openxmlformats.org/spreadsheetml/2006/main" count="518" uniqueCount="210">
  <si>
    <t>MMBTU</t>
  </si>
  <si>
    <t>THOREAU</t>
  </si>
  <si>
    <t>Transwestern Pipeline Company</t>
  </si>
  <si>
    <t>Month</t>
  </si>
  <si>
    <t>Current</t>
  </si>
  <si>
    <t xml:space="preserve">Sales/Cost of Sales </t>
  </si>
  <si>
    <t>Previous</t>
  </si>
  <si>
    <t>Prior Avg</t>
  </si>
  <si>
    <t>Prior Periods</t>
  </si>
  <si>
    <t>Accounting Month Total</t>
  </si>
  <si>
    <t>SAP</t>
  </si>
  <si>
    <t xml:space="preserve">  </t>
  </si>
  <si>
    <t>MMBTU/</t>
  </si>
  <si>
    <t>Rounded</t>
  </si>
  <si>
    <t>Day</t>
  </si>
  <si>
    <t>Rate</t>
  </si>
  <si>
    <t>Amount</t>
  </si>
  <si>
    <t>Major</t>
  </si>
  <si>
    <t>Stat</t>
  </si>
  <si>
    <t>Sales:</t>
  </si>
  <si>
    <t xml:space="preserve">LinePack </t>
  </si>
  <si>
    <t>*</t>
  </si>
  <si>
    <t>Hedge</t>
  </si>
  <si>
    <t>Farmtaps</t>
  </si>
  <si>
    <t>40001000, 40004000</t>
  </si>
  <si>
    <t>500001780, 500001792, 500001793</t>
  </si>
  <si>
    <t>Condensate</t>
  </si>
  <si>
    <t>40015000</t>
  </si>
  <si>
    <t>Shortfall Rebate-Sale</t>
  </si>
  <si>
    <t>Total Sales</t>
  </si>
  <si>
    <t>Cost of Sales:</t>
  </si>
  <si>
    <t>Index Differentail</t>
  </si>
  <si>
    <t>Imbalance</t>
  </si>
  <si>
    <t>Imbalance Settlements</t>
  </si>
  <si>
    <t>Gain/Loss Settlements</t>
  </si>
  <si>
    <t>Fuel Retained</t>
  </si>
  <si>
    <t>Fuel Used</t>
  </si>
  <si>
    <t>50001070, 50001090</t>
  </si>
  <si>
    <t>500001883, 500001888</t>
  </si>
  <si>
    <t>Swap Fuel Use</t>
  </si>
  <si>
    <t>Shortfall Rebate-Use</t>
  </si>
  <si>
    <t>UAF</t>
  </si>
  <si>
    <t>LinePack</t>
  </si>
  <si>
    <t>LinePack Revalue</t>
  </si>
  <si>
    <t>Volume OBA Revalue</t>
  </si>
  <si>
    <t>Liquids Cost</t>
  </si>
  <si>
    <t>Total Cost of Sales</t>
  </si>
  <si>
    <t>Sales Margin</t>
  </si>
  <si>
    <t xml:space="preserve"> </t>
  </si>
  <si>
    <t>Variance between estimate &amp; actuals</t>
  </si>
  <si>
    <t>Linepack revalue</t>
  </si>
  <si>
    <t>Net Loss</t>
  </si>
  <si>
    <t>Current Month</t>
  </si>
  <si>
    <t>Year to Date</t>
  </si>
  <si>
    <t>Sur</t>
  </si>
  <si>
    <t>Total</t>
  </si>
  <si>
    <t>Commodity</t>
  </si>
  <si>
    <t>Charges</t>
  </si>
  <si>
    <t>Invoice</t>
  </si>
  <si>
    <t>SALES MARGIN:</t>
  </si>
  <si>
    <t>SALES REVENUE</t>
  </si>
  <si>
    <t>LESS: COST OF SALES</t>
  </si>
  <si>
    <t xml:space="preserve">  SALES MARGIN</t>
  </si>
  <si>
    <t>TRANSPORT MARGIN:</t>
  </si>
  <si>
    <t>WEST-DELIVERY</t>
  </si>
  <si>
    <t xml:space="preserve">   DEMAND</t>
  </si>
  <si>
    <t xml:space="preserve">   IT-SAN JUAN</t>
  </si>
  <si>
    <t xml:space="preserve">   FT-SAN JUAN</t>
  </si>
  <si>
    <t xml:space="preserve">   FTR-SAN JUAN</t>
  </si>
  <si>
    <t xml:space="preserve">     SUB-TOTAL</t>
  </si>
  <si>
    <t xml:space="preserve">   IT-THOREAU</t>
  </si>
  <si>
    <t xml:space="preserve">   FT-THOREAU</t>
  </si>
  <si>
    <t xml:space="preserve">   FTR-THOREAU</t>
  </si>
  <si>
    <t xml:space="preserve">   Demand</t>
  </si>
  <si>
    <t xml:space="preserve">   FT-Ignacio</t>
  </si>
  <si>
    <t xml:space="preserve">   FR-Ignacio</t>
  </si>
  <si>
    <t xml:space="preserve">   LFT-Ignacio</t>
  </si>
  <si>
    <t xml:space="preserve">   IT-Ignacio</t>
  </si>
  <si>
    <t xml:space="preserve">     Sub-Total</t>
  </si>
  <si>
    <t xml:space="preserve">   IT-EAST OF THOREAU</t>
  </si>
  <si>
    <t xml:space="preserve">   FT-EAST OF THOREAU</t>
  </si>
  <si>
    <t xml:space="preserve">   FTR-EAST OF THOREAU</t>
  </si>
  <si>
    <t xml:space="preserve">   IT-WEST OF THOREAU</t>
  </si>
  <si>
    <t xml:space="preserve">   FT-WEST OF THOREAU</t>
  </si>
  <si>
    <t xml:space="preserve">   FTR-WEST OF THOREAU</t>
  </si>
  <si>
    <t xml:space="preserve">     TOTAL WEST</t>
  </si>
  <si>
    <t>EAST</t>
  </si>
  <si>
    <t xml:space="preserve">   FT-SAN JUAN/MRDN/55</t>
  </si>
  <si>
    <t xml:space="preserve">   FT-San Juan</t>
  </si>
  <si>
    <t xml:space="preserve">   FR-San Jaun</t>
  </si>
  <si>
    <t xml:space="preserve">   LFT-San Jaun</t>
  </si>
  <si>
    <t xml:space="preserve">   IT-San Jaun</t>
  </si>
  <si>
    <t xml:space="preserve">   FT-Thoreau</t>
  </si>
  <si>
    <t xml:space="preserve">   FT-Thoreau/Meridian/45</t>
  </si>
  <si>
    <t xml:space="preserve">   FR-Thoreau</t>
  </si>
  <si>
    <t xml:space="preserve">   IT-Thoreau</t>
  </si>
  <si>
    <t xml:space="preserve">     TOTAL EAST</t>
  </si>
  <si>
    <t>IGNACIO TO BLANCO</t>
  </si>
  <si>
    <t xml:space="preserve">   IT</t>
  </si>
  <si>
    <t xml:space="preserve">   FT</t>
  </si>
  <si>
    <t xml:space="preserve">   FTR</t>
  </si>
  <si>
    <t xml:space="preserve">     TOTAL IGNACIO TO BLANCO</t>
  </si>
  <si>
    <t>SAN JUAN</t>
  </si>
  <si>
    <t xml:space="preserve">     TOTAL SAN JUAN</t>
  </si>
  <si>
    <t xml:space="preserve">     TOTAL THOREAU</t>
  </si>
  <si>
    <t>I/B Link</t>
  </si>
  <si>
    <t xml:space="preserve">   IT-San Juan 2</t>
  </si>
  <si>
    <t xml:space="preserve">   FT-San Juan 2</t>
  </si>
  <si>
    <t xml:space="preserve">   FTR-San Jaun 2</t>
  </si>
  <si>
    <t xml:space="preserve">     Total I/B Link</t>
  </si>
  <si>
    <t xml:space="preserve">   FAS/P&amp;G</t>
  </si>
  <si>
    <t xml:space="preserve">   MISC</t>
  </si>
  <si>
    <t>TOTAL TRANSPORT REVENUE</t>
  </si>
  <si>
    <t>LESS COST OF TRANSPORT</t>
  </si>
  <si>
    <t>TRANSPORT MARGIN</t>
  </si>
  <si>
    <t>OTHER OPERATING REVENUE</t>
  </si>
  <si>
    <t>Other Operating Revenue</t>
  </si>
  <si>
    <t>TOTAL MARGIN</t>
  </si>
  <si>
    <t>Total Margin</t>
  </si>
  <si>
    <t>SCS SURCHARGE</t>
  </si>
  <si>
    <t>SCS Surcharge</t>
  </si>
  <si>
    <t>Form 11 Information:</t>
  </si>
  <si>
    <t>Res</t>
  </si>
  <si>
    <t>Fts1</t>
  </si>
  <si>
    <t>LFT</t>
  </si>
  <si>
    <t>Fts2</t>
  </si>
  <si>
    <t>Its</t>
  </si>
  <si>
    <t>Less:</t>
  </si>
  <si>
    <t xml:space="preserve">Fts1 - Santa Fe </t>
  </si>
  <si>
    <t>Res-Engage Fuel Hedge Recls</t>
  </si>
  <si>
    <t>Misc</t>
  </si>
  <si>
    <t>Adjusted Form 11 Information:</t>
  </si>
  <si>
    <t>Transportation/Cost of Transportation</t>
  </si>
  <si>
    <t>.</t>
  </si>
  <si>
    <t>Transport Revenue:</t>
  </si>
  <si>
    <t xml:space="preserve">   LFT-Thoreau</t>
  </si>
  <si>
    <t xml:space="preserve">   FT-East of Thoreau</t>
  </si>
  <si>
    <t xml:space="preserve">   FR-East of Thoreau</t>
  </si>
  <si>
    <t xml:space="preserve">   LFT-East of Thoreau</t>
  </si>
  <si>
    <t xml:space="preserve">   IT-East of Thoreau</t>
  </si>
  <si>
    <t xml:space="preserve">   FR-San Juan</t>
  </si>
  <si>
    <t xml:space="preserve">   LFT-San Juan</t>
  </si>
  <si>
    <t xml:space="preserve">   IT-San Juan</t>
  </si>
  <si>
    <t xml:space="preserve">   FT-West of Thoreau</t>
  </si>
  <si>
    <t xml:space="preserve">   FR-West of Thoreau</t>
  </si>
  <si>
    <t xml:space="preserve">   LFT-West of Thoreau</t>
  </si>
  <si>
    <t xml:space="preserve">   IT-West of Thoreau</t>
  </si>
  <si>
    <t xml:space="preserve">     Total West</t>
  </si>
  <si>
    <t>East</t>
  </si>
  <si>
    <t xml:space="preserve">   FT-West of Thoreau/Window Rock</t>
  </si>
  <si>
    <t xml:space="preserve">   FR-West of Thoreau/Window Rock</t>
  </si>
  <si>
    <t xml:space="preserve">   LFT-West of Thoreau/Window Rock</t>
  </si>
  <si>
    <t xml:space="preserve">   IT-West of Thoreau/Window Rock</t>
  </si>
  <si>
    <t xml:space="preserve">   PNR-East of Thoreau</t>
  </si>
  <si>
    <t xml:space="preserve">   Demand(W of Th/Th)</t>
  </si>
  <si>
    <t xml:space="preserve">   FT(W of Th/Th)</t>
  </si>
  <si>
    <t xml:space="preserve">   FR(W of Th/Th)</t>
  </si>
  <si>
    <t xml:space="preserve">   LFT(W of Th/Th)</t>
  </si>
  <si>
    <t xml:space="preserve">   IT(W of Th/Th)</t>
  </si>
  <si>
    <t xml:space="preserve">     Total East</t>
  </si>
  <si>
    <t>Ignacio to Blanco(I/B LINK-500545 DEL)</t>
  </si>
  <si>
    <t xml:space="preserve">   Demand(SJ2)</t>
  </si>
  <si>
    <t xml:space="preserve">   FT(SJ2)</t>
  </si>
  <si>
    <t xml:space="preserve">   FR(SJ2)</t>
  </si>
  <si>
    <t xml:space="preserve">   LFT(SJ2)</t>
  </si>
  <si>
    <t xml:space="preserve">   IT(SJ2)</t>
  </si>
  <si>
    <t xml:space="preserve">     Sub-Total Ignacio to Blanco</t>
  </si>
  <si>
    <t>Ignacio to El Paso Blanco</t>
  </si>
  <si>
    <t xml:space="preserve">   FR</t>
  </si>
  <si>
    <t xml:space="preserve">   LFT</t>
  </si>
  <si>
    <t xml:space="preserve">     Sub-Total Ignacio to El Paso Blanco</t>
  </si>
  <si>
    <t>San Juan</t>
  </si>
  <si>
    <t xml:space="preserve">   FTR-East of Thoreau</t>
  </si>
  <si>
    <t xml:space="preserve">     Total San Juan</t>
  </si>
  <si>
    <t>Thoreau</t>
  </si>
  <si>
    <t xml:space="preserve">     Total Thoreau</t>
  </si>
  <si>
    <t xml:space="preserve">   LFT-San Juan 2</t>
  </si>
  <si>
    <t xml:space="preserve">   Fuel Hedge Retention Revenue</t>
  </si>
  <si>
    <t xml:space="preserve">   MISC/RES. IGNACIO/SANTA FE</t>
  </si>
  <si>
    <t>Total Transportation Revenue</t>
  </si>
  <si>
    <t>TCR Amortization</t>
  </si>
  <si>
    <t>GRI</t>
  </si>
  <si>
    <t>ACA</t>
  </si>
  <si>
    <t>PGAR Amortization</t>
  </si>
  <si>
    <t>Fuel Use</t>
  </si>
  <si>
    <t>Fuel Use-Swap</t>
  </si>
  <si>
    <t>Fuel Retained-Swap Revenue</t>
  </si>
  <si>
    <t>Other Expense(Minisettlement/Extra Enviro/Sever)</t>
  </si>
  <si>
    <t>Other Expense(Uncollectable)</t>
  </si>
  <si>
    <t>Other Expense(Yate Pre Int)</t>
  </si>
  <si>
    <t>Other Expense(FERC Audit)</t>
  </si>
  <si>
    <t>South Georgia</t>
  </si>
  <si>
    <t>Regulatory Amortization-TT&amp;S</t>
  </si>
  <si>
    <t>Regulatory Commission</t>
  </si>
  <si>
    <t>Total Cost of Transportation</t>
  </si>
  <si>
    <t>Transport Margin</t>
  </si>
  <si>
    <t>Cos to Cot</t>
  </si>
  <si>
    <t>Strge Exp/3rd Party tspt</t>
  </si>
  <si>
    <t>Revaluations-Linepack &amp; Volumetric OBA</t>
  </si>
  <si>
    <t>ENA HEDGE</t>
  </si>
  <si>
    <t>November, 2001</t>
  </si>
  <si>
    <t>November</t>
  </si>
  <si>
    <t>December, 2001</t>
  </si>
  <si>
    <t>November, 2001 Reversal</t>
  </si>
  <si>
    <t>December</t>
  </si>
  <si>
    <t>Hedge Reserve</t>
  </si>
  <si>
    <t xml:space="preserve">Management </t>
  </si>
  <si>
    <t>Report</t>
  </si>
  <si>
    <t>Variance</t>
  </si>
  <si>
    <t>Form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</si>
</sst>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1" formatCode="&quot;$&quot;#,##0.0000_);\(&quot;$&quot;#,##0.0000\)"/>
    <numFmt numFmtId="172" formatCode="#,##0.0000_);\(#,##0.0000\)"/>
    <numFmt numFmtId="173" formatCode="#,##0.000000000_);\(#,##0.000000000\)"/>
    <numFmt numFmtId="175" formatCode="0.0000_)"/>
    <numFmt numFmtId="191" formatCode="&quot;$&quot;#,##0.0000_);[Red]\(&quot;$&quot;#,##0.0000\)"/>
  </numFmts>
  <fonts count="13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</font>
    <font>
      <sz val="10"/>
      <name val="Arial"/>
      <family val="2"/>
    </font>
    <font>
      <sz val="10"/>
      <name val="Arial MT"/>
    </font>
    <font>
      <b/>
      <sz val="10"/>
      <name val="Arial MT"/>
    </font>
    <font>
      <u/>
      <sz val="10"/>
      <name val="Arial MT"/>
    </font>
    <font>
      <sz val="10"/>
      <color indexed="12"/>
      <name val="Arial MT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5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center"/>
    </xf>
    <xf numFmtId="167" fontId="0" fillId="0" borderId="0" xfId="2" applyNumberFormat="1" applyFont="1"/>
    <xf numFmtId="167" fontId="0" fillId="0" borderId="0" xfId="2" applyNumberFormat="1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0" fillId="0" borderId="1" xfId="0" applyBorder="1"/>
    <xf numFmtId="169" fontId="0" fillId="0" borderId="0" xfId="2" applyNumberFormat="1" applyFont="1"/>
    <xf numFmtId="0" fontId="0" fillId="0" borderId="0" xfId="0" applyBorder="1"/>
    <xf numFmtId="0" fontId="5" fillId="0" borderId="0" xfId="0" applyFont="1"/>
    <xf numFmtId="38" fontId="0" fillId="0" borderId="0" xfId="1" applyNumberFormat="1" applyFont="1"/>
    <xf numFmtId="38" fontId="0" fillId="0" borderId="0" xfId="0" applyNumberFormat="1" applyProtection="1"/>
    <xf numFmtId="39" fontId="0" fillId="0" borderId="0" xfId="0" applyNumberFormat="1"/>
    <xf numFmtId="40" fontId="0" fillId="0" borderId="0" xfId="0" applyNumberFormat="1"/>
    <xf numFmtId="38" fontId="0" fillId="0" borderId="0" xfId="0" applyNumberFormat="1"/>
    <xf numFmtId="8" fontId="0" fillId="0" borderId="0" xfId="0" applyNumberFormat="1"/>
    <xf numFmtId="0" fontId="5" fillId="0" borderId="0" xfId="0" quotePrefix="1" applyFont="1" applyAlignment="1">
      <alignment horizontal="left"/>
    </xf>
    <xf numFmtId="38" fontId="0" fillId="0" borderId="1" xfId="0" applyNumberFormat="1" applyBorder="1"/>
    <xf numFmtId="38" fontId="0" fillId="0" borderId="0" xfId="0" applyNumberFormat="1" applyAlignment="1">
      <alignment horizontal="center"/>
    </xf>
    <xf numFmtId="38" fontId="0" fillId="0" borderId="0" xfId="1" applyNumberFormat="1" applyFont="1" applyAlignment="1" applyProtection="1">
      <alignment horizontal="fill"/>
    </xf>
    <xf numFmtId="38" fontId="0" fillId="0" borderId="0" xfId="0" applyNumberFormat="1" applyAlignment="1" applyProtection="1">
      <alignment horizontal="fill"/>
    </xf>
    <xf numFmtId="0" fontId="0" fillId="0" borderId="0" xfId="0" applyAlignment="1">
      <alignment horizontal="fill"/>
    </xf>
    <xf numFmtId="38" fontId="0" fillId="0" borderId="0" xfId="0" applyNumberFormat="1" applyAlignment="1">
      <alignment horizontal="fill"/>
    </xf>
    <xf numFmtId="0" fontId="5" fillId="0" borderId="0" xfId="0" applyFont="1" applyAlignment="1">
      <alignment horizontal="left"/>
    </xf>
    <xf numFmtId="38" fontId="0" fillId="0" borderId="0" xfId="1" applyNumberFormat="1" applyFont="1" applyProtection="1"/>
    <xf numFmtId="3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71" fontId="0" fillId="0" borderId="0" xfId="0" applyNumberFormat="1" applyProtection="1"/>
    <xf numFmtId="39" fontId="0" fillId="0" borderId="0" xfId="0" applyNumberFormat="1" applyProtection="1"/>
    <xf numFmtId="5" fontId="0" fillId="0" borderId="0" xfId="0" applyNumberFormat="1" applyProtection="1"/>
    <xf numFmtId="37" fontId="0" fillId="0" borderId="0" xfId="0" applyNumberFormat="1" applyProtection="1"/>
    <xf numFmtId="37" fontId="0" fillId="0" borderId="0" xfId="0" applyNumberFormat="1" applyAlignment="1" applyProtection="1">
      <alignment horizontal="left"/>
    </xf>
    <xf numFmtId="0" fontId="6" fillId="0" borderId="0" xfId="0" applyFont="1"/>
    <xf numFmtId="38" fontId="6" fillId="0" borderId="2" xfId="1" applyNumberFormat="1" applyFont="1" applyBorder="1" applyProtection="1"/>
    <xf numFmtId="38" fontId="6" fillId="0" borderId="2" xfId="0" applyNumberFormat="1" applyFont="1" applyBorder="1" applyProtection="1"/>
    <xf numFmtId="37" fontId="6" fillId="0" borderId="2" xfId="0" applyNumberFormat="1" applyFont="1" applyBorder="1" applyProtection="1"/>
    <xf numFmtId="37" fontId="6" fillId="0" borderId="0" xfId="0" applyNumberFormat="1" applyFont="1" applyProtection="1"/>
    <xf numFmtId="0" fontId="6" fillId="0" borderId="0" xfId="0" applyFont="1" applyBorder="1"/>
    <xf numFmtId="40" fontId="6" fillId="0" borderId="0" xfId="0" applyNumberFormat="1" applyFont="1"/>
    <xf numFmtId="37" fontId="0" fillId="0" borderId="0" xfId="0" applyNumberFormat="1"/>
    <xf numFmtId="0" fontId="6" fillId="0" borderId="0" xfId="0" quotePrefix="1" applyFont="1" applyAlignment="1">
      <alignment horizontal="left"/>
    </xf>
    <xf numFmtId="38" fontId="0" fillId="0" borderId="0" xfId="1" applyNumberFormat="1" applyFont="1" applyBorder="1" applyProtection="1"/>
    <xf numFmtId="38" fontId="0" fillId="0" borderId="0" xfId="0" applyNumberFormat="1" applyBorder="1" applyProtection="1"/>
    <xf numFmtId="171" fontId="0" fillId="0" borderId="0" xfId="0" applyNumberFormat="1" applyBorder="1" applyProtection="1"/>
    <xf numFmtId="37" fontId="0" fillId="0" borderId="0" xfId="0" applyNumberFormat="1" applyAlignment="1" applyProtection="1">
      <alignment horizontal="fill"/>
    </xf>
    <xf numFmtId="38" fontId="0" fillId="0" borderId="0" xfId="1" applyNumberFormat="1" applyFont="1" applyAlignment="1">
      <alignment horizontal="fill"/>
    </xf>
    <xf numFmtId="38" fontId="0" fillId="0" borderId="1" xfId="0" applyNumberFormat="1" applyBorder="1" applyAlignment="1">
      <alignment horizontal="center"/>
    </xf>
    <xf numFmtId="38" fontId="0" fillId="0" borderId="3" xfId="1" applyNumberFormat="1" applyFont="1" applyBorder="1" applyProtection="1"/>
    <xf numFmtId="38" fontId="0" fillId="0" borderId="3" xfId="0" applyNumberFormat="1" applyBorder="1" applyProtection="1"/>
    <xf numFmtId="5" fontId="0" fillId="0" borderId="3" xfId="0" applyNumberFormat="1" applyBorder="1" applyProtection="1"/>
    <xf numFmtId="37" fontId="0" fillId="0" borderId="3" xfId="0" applyNumberFormat="1" applyBorder="1" applyProtection="1"/>
    <xf numFmtId="171" fontId="0" fillId="0" borderId="3" xfId="0" applyNumberFormat="1" applyBorder="1" applyProtection="1"/>
    <xf numFmtId="0" fontId="5" fillId="0" borderId="0" xfId="0" applyFont="1" applyAlignment="1">
      <alignment horizontal="centerContinuous"/>
    </xf>
    <xf numFmtId="38" fontId="0" fillId="0" borderId="0" xfId="1" applyNumberFormat="1" applyFont="1" applyAlignment="1">
      <alignment horizontal="centerContinuous"/>
    </xf>
    <xf numFmtId="38" fontId="0" fillId="0" borderId="0" xfId="0" applyNumberFormat="1" applyAlignment="1">
      <alignment horizontal="centerContinuous"/>
    </xf>
    <xf numFmtId="44" fontId="0" fillId="0" borderId="0" xfId="0" applyNumberFormat="1"/>
    <xf numFmtId="44" fontId="0" fillId="0" borderId="0" xfId="0" applyNumberFormat="1" applyProtection="1"/>
    <xf numFmtId="44" fontId="0" fillId="0" borderId="0" xfId="0" applyNumberFormat="1" applyAlignment="1" applyProtection="1">
      <alignment horizontal="fill"/>
    </xf>
    <xf numFmtId="44" fontId="0" fillId="0" borderId="0" xfId="0" applyNumberFormat="1" applyAlignment="1">
      <alignment horizontal="fill"/>
    </xf>
    <xf numFmtId="38" fontId="0" fillId="0" borderId="0" xfId="0" applyNumberFormat="1" applyAlignment="1">
      <alignment horizontal="left"/>
    </xf>
    <xf numFmtId="38" fontId="0" fillId="0" borderId="0" xfId="1" applyNumberFormat="1" applyFont="1" applyAlignment="1">
      <alignment horizontal="center"/>
    </xf>
    <xf numFmtId="171" fontId="0" fillId="0" borderId="0" xfId="0" applyNumberFormat="1" applyAlignment="1" applyProtection="1">
      <alignment horizontal="fill"/>
    </xf>
    <xf numFmtId="37" fontId="5" fillId="0" borderId="2" xfId="0" applyNumberFormat="1" applyFont="1" applyBorder="1" applyProtection="1"/>
    <xf numFmtId="8" fontId="6" fillId="0" borderId="0" xfId="0" applyNumberFormat="1" applyFont="1"/>
    <xf numFmtId="44" fontId="6" fillId="0" borderId="0" xfId="0" applyNumberFormat="1" applyFont="1" applyProtection="1"/>
    <xf numFmtId="37" fontId="6" fillId="0" borderId="0" xfId="0" applyNumberFormat="1" applyFont="1"/>
    <xf numFmtId="5" fontId="0" fillId="0" borderId="0" xfId="0" applyNumberFormat="1" applyBorder="1" applyProtection="1"/>
    <xf numFmtId="38" fontId="6" fillId="0" borderId="0" xfId="0" applyNumberFormat="1" applyFont="1"/>
    <xf numFmtId="38" fontId="0" fillId="0" borderId="2" xfId="1" applyNumberFormat="1" applyFont="1" applyBorder="1" applyProtection="1"/>
    <xf numFmtId="38" fontId="0" fillId="0" borderId="2" xfId="0" applyNumberFormat="1" applyBorder="1" applyProtection="1"/>
    <xf numFmtId="171" fontId="0" fillId="0" borderId="2" xfId="0" applyNumberFormat="1" applyBorder="1" applyProtection="1"/>
    <xf numFmtId="5" fontId="0" fillId="0" borderId="2" xfId="0" applyNumberFormat="1" applyBorder="1" applyProtection="1"/>
    <xf numFmtId="37" fontId="0" fillId="0" borderId="2" xfId="0" applyNumberFormat="1" applyBorder="1" applyProtection="1"/>
    <xf numFmtId="38" fontId="6" fillId="0" borderId="0" xfId="1" applyNumberFormat="1" applyFont="1" applyProtection="1"/>
    <xf numFmtId="37" fontId="7" fillId="0" borderId="0" xfId="0" applyNumberFormat="1" applyFont="1" applyProtection="1"/>
    <xf numFmtId="38" fontId="0" fillId="0" borderId="1" xfId="1" applyNumberFormat="1" applyFont="1" applyBorder="1" applyAlignment="1">
      <alignment horizontal="center"/>
    </xf>
    <xf numFmtId="44" fontId="0" fillId="0" borderId="0" xfId="2" applyFont="1" applyAlignment="1">
      <alignment horizontal="centerContinuous"/>
    </xf>
    <xf numFmtId="44" fontId="0" fillId="0" borderId="0" xfId="2" applyFont="1" applyAlignment="1">
      <alignment horizontal="fill"/>
    </xf>
    <xf numFmtId="44" fontId="0" fillId="0" borderId="0" xfId="2" applyFont="1" applyProtection="1"/>
    <xf numFmtId="44" fontId="0" fillId="0" borderId="3" xfId="2" applyFont="1" applyBorder="1" applyProtection="1"/>
    <xf numFmtId="44" fontId="6" fillId="0" borderId="2" xfId="2" applyFont="1" applyBorder="1" applyProtection="1"/>
    <xf numFmtId="44" fontId="6" fillId="0" borderId="0" xfId="2" applyFont="1" applyBorder="1" applyProtection="1"/>
    <xf numFmtId="44" fontId="0" fillId="0" borderId="0" xfId="2" applyFont="1" applyBorder="1" applyProtection="1"/>
    <xf numFmtId="44" fontId="0" fillId="0" borderId="2" xfId="2" applyFont="1" applyBorder="1" applyProtection="1"/>
    <xf numFmtId="44" fontId="5" fillId="0" borderId="0" xfId="2" applyFont="1" applyAlignment="1">
      <alignment horizontal="left"/>
    </xf>
    <xf numFmtId="44" fontId="6" fillId="0" borderId="0" xfId="2" applyFont="1" applyProtection="1"/>
    <xf numFmtId="44" fontId="0" fillId="0" borderId="0" xfId="2" applyFont="1" applyAlignment="1" applyProtection="1">
      <alignment horizontal="fill"/>
    </xf>
    <xf numFmtId="44" fontId="8" fillId="0" borderId="0" xfId="2" applyFont="1" applyProtection="1">
      <protection locked="0"/>
    </xf>
    <xf numFmtId="38" fontId="0" fillId="0" borderId="1" xfId="1" applyNumberFormat="1" applyFont="1" applyBorder="1" applyProtection="1"/>
    <xf numFmtId="38" fontId="0" fillId="0" borderId="1" xfId="0" applyNumberFormat="1" applyBorder="1" applyProtection="1"/>
    <xf numFmtId="171" fontId="0" fillId="0" borderId="1" xfId="0" applyNumberFormat="1" applyBorder="1" applyProtection="1"/>
    <xf numFmtId="44" fontId="8" fillId="0" borderId="1" xfId="2" applyFont="1" applyBorder="1" applyProtection="1">
      <protection locked="0"/>
    </xf>
    <xf numFmtId="5" fontId="0" fillId="0" borderId="1" xfId="0" applyNumberFormat="1" applyBorder="1" applyProtection="1"/>
    <xf numFmtId="44" fontId="0" fillId="0" borderId="1" xfId="2" applyFont="1" applyBorder="1" applyProtection="1"/>
    <xf numFmtId="0" fontId="9" fillId="0" borderId="0" xfId="0" applyFont="1"/>
    <xf numFmtId="38" fontId="5" fillId="0" borderId="4" xfId="1" applyNumberFormat="1" applyFont="1" applyBorder="1" applyProtection="1"/>
    <xf numFmtId="38" fontId="5" fillId="0" borderId="4" xfId="0" applyNumberFormat="1" applyFont="1" applyBorder="1" applyProtection="1"/>
    <xf numFmtId="171" fontId="9" fillId="0" borderId="4" xfId="0" applyNumberFormat="1" applyFont="1" applyBorder="1" applyProtection="1"/>
    <xf numFmtId="44" fontId="9" fillId="0" borderId="4" xfId="2" applyFont="1" applyBorder="1" applyProtection="1"/>
    <xf numFmtId="44" fontId="9" fillId="0" borderId="0" xfId="2" applyFont="1" applyProtection="1"/>
    <xf numFmtId="5" fontId="9" fillId="0" borderId="4" xfId="0" applyNumberFormat="1" applyFont="1" applyBorder="1" applyProtection="1"/>
    <xf numFmtId="37" fontId="5" fillId="0" borderId="4" xfId="0" applyNumberFormat="1" applyFont="1" applyBorder="1" applyProtection="1"/>
    <xf numFmtId="44" fontId="5" fillId="0" borderId="4" xfId="2" applyFont="1" applyBorder="1" applyProtection="1"/>
    <xf numFmtId="44" fontId="5" fillId="0" borderId="0" xfId="2" applyFont="1" applyProtection="1"/>
    <xf numFmtId="5" fontId="5" fillId="0" borderId="0" xfId="0" applyNumberFormat="1" applyFont="1" applyProtection="1"/>
    <xf numFmtId="37" fontId="9" fillId="0" borderId="0" xfId="0" applyNumberFormat="1" applyFont="1" applyProtection="1"/>
    <xf numFmtId="8" fontId="9" fillId="0" borderId="0" xfId="0" applyNumberFormat="1" applyFont="1"/>
    <xf numFmtId="40" fontId="9" fillId="0" borderId="0" xfId="0" applyNumberFormat="1" applyFont="1"/>
    <xf numFmtId="0" fontId="9" fillId="0" borderId="0" xfId="0" applyFont="1" applyBorder="1"/>
    <xf numFmtId="0" fontId="9" fillId="0" borderId="0" xfId="0" applyFont="1" applyAlignment="1">
      <alignment horizontal="left"/>
    </xf>
    <xf numFmtId="44" fontId="9" fillId="0" borderId="0" xfId="0" applyNumberFormat="1" applyFont="1"/>
    <xf numFmtId="37" fontId="9" fillId="0" borderId="0" xfId="0" applyNumberFormat="1" applyFont="1"/>
    <xf numFmtId="0" fontId="1" fillId="0" borderId="0" xfId="0" applyFont="1"/>
    <xf numFmtId="38" fontId="1" fillId="0" borderId="2" xfId="1" applyNumberFormat="1" applyFont="1" applyBorder="1" applyProtection="1"/>
    <xf numFmtId="171" fontId="1" fillId="0" borderId="2" xfId="0" applyNumberFormat="1" applyFont="1" applyBorder="1" applyProtection="1"/>
    <xf numFmtId="44" fontId="1" fillId="0" borderId="2" xfId="2" applyFont="1" applyBorder="1" applyProtection="1"/>
    <xf numFmtId="44" fontId="1" fillId="0" borderId="0" xfId="2" applyFont="1" applyProtection="1"/>
    <xf numFmtId="38" fontId="1" fillId="0" borderId="2" xfId="0" applyNumberFormat="1" applyFont="1" applyBorder="1"/>
    <xf numFmtId="37" fontId="1" fillId="0" borderId="0" xfId="0" applyNumberFormat="1" applyFont="1" applyProtection="1"/>
    <xf numFmtId="8" fontId="1" fillId="0" borderId="0" xfId="0" applyNumberFormat="1" applyFont="1"/>
    <xf numFmtId="40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left"/>
    </xf>
    <xf numFmtId="44" fontId="1" fillId="0" borderId="0" xfId="0" applyNumberFormat="1" applyFont="1" applyProtection="1"/>
    <xf numFmtId="37" fontId="1" fillId="0" borderId="0" xfId="0" applyNumberFormat="1" applyFont="1"/>
    <xf numFmtId="7" fontId="0" fillId="0" borderId="0" xfId="2" applyNumberFormat="1" applyFont="1" applyProtection="1"/>
    <xf numFmtId="7" fontId="0" fillId="0" borderId="1" xfId="2" applyNumberFormat="1" applyFont="1" applyBorder="1" applyProtection="1"/>
    <xf numFmtId="7" fontId="0" fillId="0" borderId="2" xfId="2" applyNumberFormat="1" applyFont="1" applyBorder="1" applyProtection="1"/>
    <xf numFmtId="167" fontId="6" fillId="0" borderId="2" xfId="2" applyNumberFormat="1" applyFont="1" applyBorder="1" applyProtection="1"/>
    <xf numFmtId="169" fontId="6" fillId="0" borderId="2" xfId="2" applyNumberFormat="1" applyFont="1" applyBorder="1" applyProtection="1"/>
    <xf numFmtId="167" fontId="1" fillId="0" borderId="2" xfId="2" applyNumberFormat="1" applyFont="1" applyBorder="1" applyProtection="1"/>
    <xf numFmtId="169" fontId="1" fillId="0" borderId="2" xfId="2" applyNumberFormat="1" applyFont="1" applyBorder="1" applyProtection="1"/>
    <xf numFmtId="7" fontId="0" fillId="0" borderId="0" xfId="2" applyNumberFormat="1" applyFont="1"/>
    <xf numFmtId="167" fontId="0" fillId="0" borderId="2" xfId="2" applyNumberFormat="1" applyFont="1" applyBorder="1" applyProtection="1"/>
    <xf numFmtId="169" fontId="0" fillId="0" borderId="2" xfId="2" applyNumberFormat="1" applyFont="1" applyBorder="1" applyProtection="1"/>
    <xf numFmtId="167" fontId="0" fillId="0" borderId="0" xfId="2" applyNumberFormat="1" applyFont="1" applyProtection="1"/>
    <xf numFmtId="38" fontId="0" fillId="0" borderId="0" xfId="1" applyNumberFormat="1" applyFont="1" applyAlignment="1">
      <alignment horizontal="left"/>
    </xf>
    <xf numFmtId="44" fontId="0" fillId="0" borderId="0" xfId="2" applyFont="1" applyAlignment="1">
      <alignment horizontal="left"/>
    </xf>
    <xf numFmtId="8" fontId="0" fillId="0" borderId="0" xfId="0" applyNumberFormat="1" applyAlignment="1">
      <alignment horizontal="left"/>
    </xf>
    <xf numFmtId="4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44" fontId="0" fillId="0" borderId="0" xfId="0" applyNumberFormat="1" applyAlignment="1">
      <alignment horizontal="left"/>
    </xf>
    <xf numFmtId="37" fontId="0" fillId="0" borderId="0" xfId="0" applyNumberFormat="1" applyAlignment="1">
      <alignment horizontal="left"/>
    </xf>
    <xf numFmtId="44" fontId="0" fillId="0" borderId="0" xfId="0" applyNumberFormat="1" applyAlignment="1" applyProtection="1">
      <alignment horizontal="left"/>
    </xf>
    <xf numFmtId="169" fontId="0" fillId="0" borderId="0" xfId="2" applyNumberFormat="1" applyFont="1" applyProtection="1"/>
    <xf numFmtId="37" fontId="1" fillId="0" borderId="2" xfId="0" applyNumberFormat="1" applyFont="1" applyBorder="1" applyProtection="1"/>
    <xf numFmtId="44" fontId="0" fillId="0" borderId="0" xfId="2" applyNumberFormat="1" applyFont="1"/>
    <xf numFmtId="44" fontId="0" fillId="0" borderId="0" xfId="2" applyFont="1" applyBorder="1"/>
    <xf numFmtId="7" fontId="0" fillId="0" borderId="0" xfId="2" applyNumberFormat="1" applyFont="1" applyBorder="1"/>
    <xf numFmtId="0" fontId="0" fillId="0" borderId="0" xfId="0" applyAlignment="1">
      <alignment horizontal="right"/>
    </xf>
    <xf numFmtId="167" fontId="0" fillId="0" borderId="0" xfId="2" applyNumberFormat="1" applyFont="1" applyAlignment="1">
      <alignment horizontal="fill"/>
    </xf>
    <xf numFmtId="167" fontId="6" fillId="0" borderId="0" xfId="2" applyNumberFormat="1" applyFont="1" applyProtection="1"/>
    <xf numFmtId="167" fontId="0" fillId="0" borderId="3" xfId="2" applyNumberFormat="1" applyFont="1" applyBorder="1" applyProtection="1"/>
    <xf numFmtId="44" fontId="10" fillId="0" borderId="2" xfId="2" applyFont="1" applyBorder="1" applyProtection="1"/>
    <xf numFmtId="44" fontId="0" fillId="0" borderId="0" xfId="2" applyNumberFormat="1" applyFont="1" applyProtection="1"/>
    <xf numFmtId="171" fontId="2" fillId="0" borderId="0" xfId="0" applyNumberFormat="1" applyFont="1" applyBorder="1" applyProtection="1"/>
    <xf numFmtId="169" fontId="6" fillId="0" borderId="0" xfId="2" applyNumberFormat="1" applyFont="1" applyBorder="1" applyProtection="1"/>
    <xf numFmtId="167" fontId="9" fillId="0" borderId="4" xfId="2" applyNumberFormat="1" applyFont="1" applyBorder="1" applyProtection="1"/>
    <xf numFmtId="0" fontId="0" fillId="0" borderId="0" xfId="0" applyFill="1"/>
    <xf numFmtId="44" fontId="0" fillId="0" borderId="0" xfId="2" applyFont="1" applyFill="1"/>
    <xf numFmtId="165" fontId="0" fillId="0" borderId="0" xfId="1" applyNumberFormat="1" applyFont="1" applyFill="1"/>
    <xf numFmtId="167" fontId="0" fillId="0" borderId="0" xfId="2" applyNumberFormat="1" applyFont="1" applyAlignment="1">
      <alignment horizontal="centerContinuous"/>
    </xf>
    <xf numFmtId="167" fontId="0" fillId="0" borderId="0" xfId="2" applyNumberFormat="1" applyFont="1" applyAlignment="1">
      <alignment horizontal="left"/>
    </xf>
    <xf numFmtId="167" fontId="0" fillId="0" borderId="1" xfId="2" quotePrefix="1" applyNumberFormat="1" applyFont="1" applyBorder="1" applyAlignment="1">
      <alignment horizontal="center"/>
    </xf>
    <xf numFmtId="167" fontId="0" fillId="0" borderId="1" xfId="2" applyNumberFormat="1" applyFont="1" applyBorder="1" applyProtection="1"/>
    <xf numFmtId="5" fontId="0" fillId="0" borderId="0" xfId="2" applyNumberFormat="1" applyFont="1" applyProtection="1"/>
    <xf numFmtId="165" fontId="0" fillId="0" borderId="4" xfId="1" applyNumberFormat="1" applyFont="1" applyFill="1" applyBorder="1"/>
    <xf numFmtId="167" fontId="0" fillId="0" borderId="0" xfId="2" applyNumberFormat="1" applyFont="1" applyFill="1"/>
    <xf numFmtId="167" fontId="0" fillId="0" borderId="0" xfId="2" applyNumberFormat="1" applyFont="1" applyFill="1" applyBorder="1" applyProtection="1">
      <protection locked="0"/>
    </xf>
    <xf numFmtId="0" fontId="0" fillId="0" borderId="0" xfId="0" applyFill="1" applyBorder="1"/>
    <xf numFmtId="165" fontId="0" fillId="0" borderId="3" xfId="1" applyNumberFormat="1" applyFont="1" applyFill="1" applyBorder="1"/>
    <xf numFmtId="0" fontId="0" fillId="0" borderId="3" xfId="0" applyFill="1" applyBorder="1"/>
    <xf numFmtId="44" fontId="0" fillId="0" borderId="3" xfId="2" applyFont="1" applyFill="1" applyBorder="1"/>
    <xf numFmtId="0" fontId="0" fillId="0" borderId="1" xfId="0" applyFill="1" applyBorder="1"/>
    <xf numFmtId="0" fontId="0" fillId="0" borderId="4" xfId="0" applyFill="1" applyBorder="1"/>
    <xf numFmtId="44" fontId="0" fillId="0" borderId="4" xfId="2" applyFont="1" applyFill="1" applyBorder="1"/>
    <xf numFmtId="38" fontId="0" fillId="0" borderId="0" xfId="1" applyNumberFormat="1" applyFont="1" applyFill="1"/>
    <xf numFmtId="38" fontId="0" fillId="0" borderId="3" xfId="1" applyNumberFormat="1" applyFont="1" applyFill="1" applyBorder="1"/>
    <xf numFmtId="38" fontId="0" fillId="0" borderId="4" xfId="1" applyNumberFormat="1" applyFont="1" applyFill="1" applyBorder="1"/>
    <xf numFmtId="38" fontId="0" fillId="0" borderId="0" xfId="0" applyNumberFormat="1" applyFill="1"/>
    <xf numFmtId="38" fontId="0" fillId="0" borderId="0" xfId="0" applyNumberFormat="1" applyFill="1" applyBorder="1"/>
    <xf numFmtId="38" fontId="0" fillId="0" borderId="0" xfId="1" applyNumberFormat="1" applyFont="1" applyFill="1" applyBorder="1"/>
    <xf numFmtId="38" fontId="0" fillId="0" borderId="3" xfId="0" applyNumberFormat="1" applyFill="1" applyBorder="1"/>
    <xf numFmtId="38" fontId="0" fillId="0" borderId="0" xfId="0" applyNumberFormat="1" applyBorder="1"/>
    <xf numFmtId="38" fontId="0" fillId="0" borderId="0" xfId="2" applyNumberFormat="1" applyFont="1" applyFill="1" applyBorder="1"/>
    <xf numFmtId="8" fontId="0" fillId="0" borderId="0" xfId="2" applyNumberFormat="1" applyFont="1" applyFill="1"/>
    <xf numFmtId="8" fontId="0" fillId="0" borderId="3" xfId="2" applyNumberFormat="1" applyFont="1" applyFill="1" applyBorder="1"/>
    <xf numFmtId="8" fontId="0" fillId="0" borderId="0" xfId="0" applyNumberFormat="1" applyFill="1"/>
    <xf numFmtId="8" fontId="0" fillId="0" borderId="4" xfId="2" applyNumberFormat="1" applyFont="1" applyFill="1" applyBorder="1"/>
    <xf numFmtId="8" fontId="0" fillId="0" borderId="0" xfId="0" applyNumberFormat="1" applyFill="1" applyBorder="1"/>
    <xf numFmtId="191" fontId="0" fillId="0" borderId="0" xfId="2" applyNumberFormat="1" applyFont="1" applyFill="1"/>
    <xf numFmtId="191" fontId="0" fillId="0" borderId="3" xfId="2" applyNumberFormat="1" applyFont="1" applyFill="1" applyBorder="1"/>
    <xf numFmtId="191" fontId="0" fillId="0" borderId="0" xfId="0" applyNumberFormat="1" applyFill="1"/>
    <xf numFmtId="191" fontId="0" fillId="0" borderId="4" xfId="2" applyNumberFormat="1" applyFont="1" applyFill="1" applyBorder="1"/>
    <xf numFmtId="191" fontId="0" fillId="0" borderId="0" xfId="0" applyNumberFormat="1" applyFill="1" applyBorder="1"/>
    <xf numFmtId="191" fontId="0" fillId="0" borderId="0" xfId="1" applyNumberFormat="1" applyFont="1" applyFill="1"/>
    <xf numFmtId="191" fontId="0" fillId="0" borderId="3" xfId="1" applyNumberFormat="1" applyFont="1" applyFill="1" applyBorder="1"/>
    <xf numFmtId="191" fontId="0" fillId="0" borderId="4" xfId="1" applyNumberFormat="1" applyFont="1" applyFill="1" applyBorder="1"/>
    <xf numFmtId="8" fontId="0" fillId="0" borderId="0" xfId="2" applyNumberFormat="1" applyFont="1" applyFill="1" applyBorder="1"/>
    <xf numFmtId="6" fontId="0" fillId="0" borderId="0" xfId="2" applyNumberFormat="1" applyFont="1" applyFill="1"/>
    <xf numFmtId="6" fontId="0" fillId="0" borderId="3" xfId="2" applyNumberFormat="1" applyFont="1" applyFill="1" applyBorder="1"/>
    <xf numFmtId="6" fontId="4" fillId="0" borderId="3" xfId="2" applyNumberFormat="1" applyFont="1" applyFill="1" applyBorder="1"/>
    <xf numFmtId="6" fontId="0" fillId="0" borderId="4" xfId="2" applyNumberFormat="1" applyFont="1" applyFill="1" applyBorder="1"/>
    <xf numFmtId="6" fontId="0" fillId="0" borderId="0" xfId="0" applyNumberFormat="1" applyFill="1"/>
    <xf numFmtId="191" fontId="0" fillId="0" borderId="0" xfId="1" applyNumberFormat="1" applyFont="1" applyFill="1" applyBorder="1"/>
    <xf numFmtId="38" fontId="1" fillId="0" borderId="0" xfId="1" applyNumberFormat="1" applyFont="1" applyProtection="1"/>
    <xf numFmtId="44" fontId="0" fillId="0" borderId="1" xfId="2" applyFont="1" applyBorder="1"/>
    <xf numFmtId="171" fontId="1" fillId="0" borderId="0" xfId="0" applyNumberFormat="1" applyFont="1" applyBorder="1" applyProtection="1"/>
    <xf numFmtId="7" fontId="0" fillId="0" borderId="0" xfId="2" applyNumberFormat="1" applyFont="1" applyBorder="1" applyProtection="1"/>
    <xf numFmtId="37" fontId="0" fillId="0" borderId="0" xfId="0" applyNumberFormat="1" applyBorder="1" applyProtection="1"/>
    <xf numFmtId="167" fontId="0" fillId="0" borderId="0" xfId="2" applyNumberFormat="1" applyFont="1" applyBorder="1" applyProtection="1"/>
    <xf numFmtId="8" fontId="0" fillId="0" borderId="0" xfId="0" applyNumberFormat="1" applyBorder="1"/>
    <xf numFmtId="40" fontId="0" fillId="0" borderId="0" xfId="0" applyNumberFormat="1" applyBorder="1"/>
    <xf numFmtId="38" fontId="1" fillId="0" borderId="0" xfId="1" applyNumberFormat="1" applyFont="1" applyBorder="1" applyProtection="1"/>
    <xf numFmtId="38" fontId="1" fillId="0" borderId="0" xfId="0" applyNumberFormat="1" applyFont="1" applyBorder="1" applyProtection="1"/>
    <xf numFmtId="7" fontId="1" fillId="0" borderId="0" xfId="2" applyNumberFormat="1" applyFont="1" applyBorder="1" applyProtection="1"/>
    <xf numFmtId="44" fontId="1" fillId="0" borderId="0" xfId="2" applyFont="1" applyBorder="1" applyProtection="1"/>
    <xf numFmtId="5" fontId="1" fillId="0" borderId="0" xfId="0" applyNumberFormat="1" applyFont="1" applyBorder="1" applyProtection="1"/>
    <xf numFmtId="38" fontId="1" fillId="0" borderId="0" xfId="0" applyNumberFormat="1" applyFont="1" applyBorder="1"/>
    <xf numFmtId="37" fontId="1" fillId="0" borderId="0" xfId="0" applyNumberFormat="1" applyFont="1" applyBorder="1" applyProtection="1"/>
    <xf numFmtId="167" fontId="1" fillId="0" borderId="0" xfId="2" applyNumberFormat="1" applyFont="1" applyBorder="1" applyProtection="1"/>
    <xf numFmtId="37" fontId="0" fillId="0" borderId="1" xfId="0" applyNumberFormat="1" applyBorder="1" applyProtection="1"/>
    <xf numFmtId="167" fontId="1" fillId="0" borderId="0" xfId="2" applyNumberFormat="1" applyFont="1" applyProtection="1"/>
    <xf numFmtId="171" fontId="2" fillId="0" borderId="1" xfId="0" applyNumberFormat="1" applyFont="1" applyBorder="1" applyProtection="1"/>
    <xf numFmtId="44" fontId="0" fillId="0" borderId="1" xfId="2" applyNumberFormat="1" applyFont="1" applyBorder="1" applyProtection="1"/>
    <xf numFmtId="44" fontId="0" fillId="0" borderId="1" xfId="2" applyNumberFormat="1" applyFont="1" applyBorder="1"/>
    <xf numFmtId="167" fontId="0" fillId="0" borderId="1" xfId="2" applyNumberFormat="1" applyFont="1" applyBorder="1"/>
    <xf numFmtId="44" fontId="5" fillId="0" borderId="1" xfId="2" applyFont="1" applyBorder="1" applyAlignment="1">
      <alignment horizontal="left"/>
    </xf>
    <xf numFmtId="169" fontId="6" fillId="0" borderId="1" xfId="2" applyNumberFormat="1" applyFont="1" applyBorder="1" applyProtection="1"/>
    <xf numFmtId="171" fontId="10" fillId="0" borderId="2" xfId="0" applyNumberFormat="1" applyFont="1" applyBorder="1" applyProtection="1"/>
    <xf numFmtId="171" fontId="1" fillId="0" borderId="0" xfId="0" applyNumberFormat="1" applyFont="1" applyProtection="1"/>
    <xf numFmtId="171" fontId="10" fillId="0" borderId="0" xfId="0" applyNumberFormat="1" applyFont="1" applyProtection="1"/>
    <xf numFmtId="7" fontId="10" fillId="0" borderId="0" xfId="2" applyNumberFormat="1" applyFont="1" applyProtection="1"/>
    <xf numFmtId="165" fontId="0" fillId="0" borderId="1" xfId="0" applyNumberFormat="1" applyBorder="1"/>
    <xf numFmtId="44" fontId="0" fillId="0" borderId="0" xfId="2" applyNumberFormat="1" applyFont="1" applyBorder="1"/>
    <xf numFmtId="44" fontId="0" fillId="0" borderId="4" xfId="2" applyNumberFormat="1" applyFont="1" applyBorder="1"/>
    <xf numFmtId="38" fontId="0" fillId="0" borderId="4" xfId="0" applyNumberFormat="1" applyBorder="1"/>
    <xf numFmtId="8" fontId="0" fillId="0" borderId="4" xfId="0" applyNumberFormat="1" applyFill="1" applyBorder="1"/>
    <xf numFmtId="165" fontId="5" fillId="0" borderId="0" xfId="1" applyNumberFormat="1" applyFont="1" applyAlignment="1">
      <alignment horizontal="left"/>
    </xf>
    <xf numFmtId="165" fontId="5" fillId="0" borderId="1" xfId="1" applyNumberFormat="1" applyFont="1" applyBorder="1" applyAlignment="1">
      <alignment horizontal="left"/>
    </xf>
    <xf numFmtId="165" fontId="0" fillId="0" borderId="0" xfId="1" applyNumberFormat="1" applyFont="1" applyFill="1" applyBorder="1"/>
    <xf numFmtId="169" fontId="0" fillId="0" borderId="0" xfId="2" applyNumberFormat="1" applyFont="1" applyFill="1" applyBorder="1"/>
    <xf numFmtId="5" fontId="0" fillId="0" borderId="0" xfId="0" applyNumberFormat="1"/>
    <xf numFmtId="44" fontId="0" fillId="0" borderId="0" xfId="2" applyFont="1" applyFill="1" applyProtection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2" applyNumberFormat="1" applyFont="1" applyFill="1" applyBorder="1"/>
    <xf numFmtId="44" fontId="0" fillId="0" borderId="0" xfId="2" applyFont="1" applyFill="1" applyBorder="1"/>
    <xf numFmtId="8" fontId="0" fillId="0" borderId="1" xfId="2" applyNumberFormat="1" applyFont="1" applyFill="1" applyBorder="1"/>
    <xf numFmtId="175" fontId="0" fillId="0" borderId="0" xfId="0" applyNumberFormat="1" applyFill="1" applyProtection="1"/>
    <xf numFmtId="4" fontId="0" fillId="0" borderId="0" xfId="0" applyNumberFormat="1" applyFill="1" applyProtection="1"/>
    <xf numFmtId="44" fontId="0" fillId="0" borderId="0" xfId="2" applyNumberFormat="1" applyFont="1" applyFill="1" applyBorder="1"/>
    <xf numFmtId="38" fontId="0" fillId="0" borderId="0" xfId="1" applyNumberFormat="1" applyFont="1" applyFill="1" applyProtection="1"/>
    <xf numFmtId="44" fontId="0" fillId="0" borderId="1" xfId="2" applyFont="1" applyFill="1" applyBorder="1" applyProtection="1"/>
    <xf numFmtId="38" fontId="0" fillId="0" borderId="5" xfId="1" quotePrefix="1" applyNumberFormat="1" applyFont="1" applyFill="1" applyBorder="1" applyAlignment="1">
      <alignment horizontal="left"/>
    </xf>
    <xf numFmtId="0" fontId="0" fillId="0" borderId="2" xfId="0" applyFill="1" applyBorder="1"/>
    <xf numFmtId="38" fontId="0" fillId="0" borderId="2" xfId="0" applyNumberFormat="1" applyFill="1" applyBorder="1"/>
    <xf numFmtId="0" fontId="3" fillId="0" borderId="2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38" fontId="0" fillId="0" borderId="7" xfId="1" applyNumberFormat="1" applyFont="1" applyFill="1" applyBorder="1"/>
    <xf numFmtId="0" fontId="3" fillId="0" borderId="0" xfId="0" applyFont="1" applyFill="1" applyBorder="1" applyProtection="1">
      <protection locked="0"/>
    </xf>
    <xf numFmtId="0" fontId="3" fillId="0" borderId="8" xfId="0" applyFont="1" applyFill="1" applyBorder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38" fontId="0" fillId="0" borderId="9" xfId="1" applyNumberFormat="1" applyFont="1" applyFill="1" applyBorder="1"/>
    <xf numFmtId="38" fontId="0" fillId="0" borderId="1" xfId="0" applyNumberFormat="1" applyFill="1" applyBorder="1"/>
    <xf numFmtId="0" fontId="3" fillId="0" borderId="1" xfId="0" applyFont="1" applyFill="1" applyBorder="1" applyProtection="1">
      <protection locked="0"/>
    </xf>
    <xf numFmtId="1" fontId="3" fillId="0" borderId="10" xfId="0" applyNumberFormat="1" applyFont="1" applyFill="1" applyBorder="1" applyProtection="1">
      <protection locked="0"/>
    </xf>
    <xf numFmtId="38" fontId="3" fillId="0" borderId="1" xfId="1" applyNumberFormat="1" applyFont="1" applyFill="1" applyBorder="1" applyAlignment="1" applyProtection="1">
      <alignment horizontal="centerContinuous"/>
      <protection locked="0"/>
    </xf>
    <xf numFmtId="165" fontId="0" fillId="0" borderId="1" xfId="1" applyNumberFormat="1" applyFont="1" applyFill="1" applyBorder="1" applyAlignment="1">
      <alignment horizontal="centerContinuous"/>
    </xf>
    <xf numFmtId="38" fontId="0" fillId="0" borderId="1" xfId="0" applyNumberFormat="1" applyFill="1" applyBorder="1" applyAlignment="1">
      <alignment horizontal="centerContinuous"/>
    </xf>
    <xf numFmtId="0" fontId="0" fillId="0" borderId="1" xfId="0" applyFill="1" applyBorder="1" applyAlignment="1">
      <alignment horizontal="centerContinuous"/>
    </xf>
    <xf numFmtId="191" fontId="0" fillId="0" borderId="1" xfId="0" applyNumberFormat="1" applyFill="1" applyBorder="1" applyAlignment="1">
      <alignment horizontal="centerContinuous"/>
    </xf>
    <xf numFmtId="8" fontId="0" fillId="0" borderId="1" xfId="2" applyNumberFormat="1" applyFont="1" applyFill="1" applyBorder="1" applyAlignment="1">
      <alignment horizontal="centerContinuous"/>
    </xf>
    <xf numFmtId="44" fontId="0" fillId="0" borderId="1" xfId="2" applyFont="1" applyFill="1" applyBorder="1" applyAlignment="1">
      <alignment horizontal="centerContinuous"/>
    </xf>
    <xf numFmtId="6" fontId="0" fillId="0" borderId="1" xfId="2" applyNumberFormat="1" applyFont="1" applyFill="1" applyBorder="1" applyAlignment="1">
      <alignment horizontal="centerContinuous"/>
    </xf>
    <xf numFmtId="167" fontId="0" fillId="0" borderId="0" xfId="2" applyNumberFormat="1" applyFont="1" applyFill="1" applyBorder="1" applyAlignment="1" applyProtection="1">
      <alignment horizontal="centerContinuous"/>
      <protection locked="0"/>
    </xf>
    <xf numFmtId="191" fontId="0" fillId="0" borderId="1" xfId="1" applyNumberFormat="1" applyFont="1" applyFill="1" applyBorder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 applyBorder="1" applyAlignment="1">
      <alignment horizontal="centerContinuous"/>
    </xf>
    <xf numFmtId="38" fontId="0" fillId="0" borderId="1" xfId="1" applyNumberFormat="1" applyFont="1" applyFill="1" applyBorder="1" applyAlignment="1">
      <alignment horizontal="centerContinuous"/>
    </xf>
    <xf numFmtId="6" fontId="0" fillId="0" borderId="1" xfId="0" applyNumberFormat="1" applyFill="1" applyBorder="1" applyAlignment="1">
      <alignment horizontal="centerContinuous"/>
    </xf>
    <xf numFmtId="0" fontId="0" fillId="0" borderId="0" xfId="0" applyFill="1" applyAlignment="1">
      <alignment horizontal="center"/>
    </xf>
    <xf numFmtId="38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38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91" fontId="0" fillId="0" borderId="0" xfId="0" applyNumberFormat="1" applyFill="1" applyAlignment="1">
      <alignment horizontal="center"/>
    </xf>
    <xf numFmtId="8" fontId="0" fillId="0" borderId="0" xfId="2" applyNumberFormat="1" applyFont="1" applyFill="1" applyAlignment="1">
      <alignment horizontal="center"/>
    </xf>
    <xf numFmtId="44" fontId="0" fillId="0" borderId="0" xfId="2" applyFont="1" applyFill="1" applyAlignment="1">
      <alignment horizontal="center"/>
    </xf>
    <xf numFmtId="6" fontId="0" fillId="0" borderId="0" xfId="2" applyNumberFormat="1" applyFont="1" applyFill="1" applyAlignment="1">
      <alignment horizontal="center"/>
    </xf>
    <xf numFmtId="167" fontId="0" fillId="0" borderId="0" xfId="2" applyNumberFormat="1" applyFont="1" applyFill="1" applyBorder="1" applyAlignment="1" applyProtection="1">
      <alignment horizontal="center"/>
      <protection locked="0"/>
    </xf>
    <xf numFmtId="191" fontId="0" fillId="0" borderId="0" xfId="1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6" fontId="0" fillId="0" borderId="0" xfId="0" applyNumberFormat="1" applyFill="1" applyAlignment="1">
      <alignment horizontal="center"/>
    </xf>
    <xf numFmtId="38" fontId="0" fillId="0" borderId="1" xfId="1" applyNumberFormat="1" applyFont="1" applyFill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191" fontId="0" fillId="0" borderId="1" xfId="0" applyNumberFormat="1" applyFill="1" applyBorder="1" applyAlignment="1">
      <alignment horizontal="center"/>
    </xf>
    <xf numFmtId="8" fontId="0" fillId="0" borderId="1" xfId="2" applyNumberFormat="1" applyFont="1" applyFill="1" applyBorder="1" applyAlignment="1">
      <alignment horizontal="center"/>
    </xf>
    <xf numFmtId="6" fontId="0" fillId="0" borderId="1" xfId="2" applyNumberFormat="1" applyFont="1" applyFill="1" applyBorder="1" applyAlignment="1">
      <alignment horizontal="center"/>
    </xf>
    <xf numFmtId="191" fontId="0" fillId="0" borderId="1" xfId="1" applyNumberFormat="1" applyFont="1" applyFill="1" applyBorder="1" applyAlignment="1">
      <alignment horizontal="center"/>
    </xf>
    <xf numFmtId="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2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3" fontId="0" fillId="0" borderId="0" xfId="0" applyNumberFormat="1" applyFill="1"/>
    <xf numFmtId="0" fontId="0" fillId="0" borderId="0" xfId="0" quotePrefix="1" applyFill="1"/>
    <xf numFmtId="191" fontId="12" fillId="0" borderId="0" xfId="2" applyNumberFormat="1" applyFont="1" applyFill="1"/>
    <xf numFmtId="0" fontId="0" fillId="0" borderId="0" xfId="0" quotePrefix="1" applyFill="1" applyAlignment="1">
      <alignment horizontal="left"/>
    </xf>
    <xf numFmtId="168" fontId="0" fillId="0" borderId="0" xfId="2" applyNumberFormat="1" applyFont="1" applyFill="1" applyBorder="1"/>
    <xf numFmtId="191" fontId="0" fillId="0" borderId="0" xfId="2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" fontId="0" fillId="0" borderId="10" xfId="0" applyNumberFormat="1" applyFill="1" applyBorder="1"/>
    <xf numFmtId="38" fontId="0" fillId="0" borderId="0" xfId="0" applyNumberFormat="1" applyFill="1" applyProtection="1"/>
    <xf numFmtId="39" fontId="0" fillId="0" borderId="0" xfId="0" applyNumberFormat="1" applyFill="1"/>
    <xf numFmtId="40" fontId="0" fillId="0" borderId="0" xfId="0" applyNumberFormat="1" applyFill="1"/>
    <xf numFmtId="38" fontId="0" fillId="0" borderId="1" xfId="0" applyNumberFormat="1" applyFill="1" applyBorder="1" applyAlignment="1" applyProtection="1">
      <alignment horizontal="centerContinuous"/>
    </xf>
    <xf numFmtId="39" fontId="0" fillId="0" borderId="1" xfId="0" applyNumberFormat="1" applyFill="1" applyBorder="1" applyAlignment="1">
      <alignment horizontal="centerContinuous"/>
    </xf>
    <xf numFmtId="40" fontId="0" fillId="0" borderId="1" xfId="0" applyNumberFormat="1" applyFill="1" applyBorder="1" applyAlignment="1">
      <alignment horizontal="centerContinuous"/>
    </xf>
    <xf numFmtId="8" fontId="0" fillId="0" borderId="1" xfId="0" applyNumberFormat="1" applyFill="1" applyBorder="1" applyAlignment="1">
      <alignment horizontal="centerContinuous"/>
    </xf>
    <xf numFmtId="167" fontId="0" fillId="0" borderId="1" xfId="2" applyNumberFormat="1" applyFont="1" applyFill="1" applyBorder="1" applyAlignment="1">
      <alignment horizontal="centerContinuous"/>
    </xf>
    <xf numFmtId="38" fontId="0" fillId="0" borderId="0" xfId="1" applyNumberFormat="1" applyFont="1" applyFill="1" applyAlignment="1" applyProtection="1">
      <alignment horizontal="center"/>
    </xf>
    <xf numFmtId="38" fontId="0" fillId="0" borderId="0" xfId="0" applyNumberFormat="1" applyFill="1" applyAlignment="1" applyProtection="1">
      <alignment horizontal="center"/>
    </xf>
    <xf numFmtId="40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center"/>
    </xf>
    <xf numFmtId="43" fontId="0" fillId="0" borderId="0" xfId="1" applyFont="1" applyFill="1"/>
    <xf numFmtId="38" fontId="0" fillId="0" borderId="1" xfId="1" applyNumberFormat="1" applyFont="1" applyFill="1" applyBorder="1" applyAlignment="1" applyProtection="1">
      <alignment horizontal="center"/>
    </xf>
    <xf numFmtId="38" fontId="0" fillId="0" borderId="1" xfId="0" applyNumberFormat="1" applyFill="1" applyBorder="1" applyAlignment="1" applyProtection="1">
      <alignment horizontal="center"/>
    </xf>
    <xf numFmtId="39" fontId="0" fillId="0" borderId="0" xfId="0" applyNumberFormat="1" applyFill="1" applyAlignment="1">
      <alignment horizontal="center"/>
    </xf>
    <xf numFmtId="43" fontId="0" fillId="0" borderId="1" xfId="1" applyFont="1" applyFill="1" applyBorder="1" applyAlignment="1">
      <alignment horizontal="center"/>
    </xf>
    <xf numFmtId="40" fontId="0" fillId="0" borderId="1" xfId="0" applyNumberFormat="1" applyFill="1" applyBorder="1" applyAlignment="1">
      <alignment horizontal="center"/>
    </xf>
    <xf numFmtId="167" fontId="0" fillId="0" borderId="1" xfId="2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38" fontId="0" fillId="0" borderId="0" xfId="1" applyNumberFormat="1" applyFont="1" applyFill="1" applyAlignment="1" applyProtection="1">
      <alignment horizontal="fill"/>
    </xf>
    <xf numFmtId="38" fontId="0" fillId="0" borderId="0" xfId="0" applyNumberFormat="1" applyFill="1" applyAlignment="1" applyProtection="1">
      <alignment horizontal="fill"/>
    </xf>
    <xf numFmtId="0" fontId="0" fillId="0" borderId="0" xfId="0" applyFill="1" applyAlignment="1">
      <alignment horizontal="fill"/>
    </xf>
    <xf numFmtId="44" fontId="0" fillId="0" borderId="0" xfId="2" applyFont="1" applyFill="1" applyAlignment="1">
      <alignment horizontal="fill"/>
    </xf>
    <xf numFmtId="39" fontId="0" fillId="0" borderId="0" xfId="0" applyNumberFormat="1" applyFill="1" applyAlignment="1">
      <alignment horizontal="fill"/>
    </xf>
    <xf numFmtId="40" fontId="0" fillId="0" borderId="0" xfId="0" applyNumberFormat="1" applyFill="1" applyAlignment="1">
      <alignment horizontal="fill"/>
    </xf>
    <xf numFmtId="38" fontId="0" fillId="0" borderId="0" xfId="0" applyNumberFormat="1" applyFill="1" applyAlignment="1">
      <alignment horizontal="fill"/>
    </xf>
    <xf numFmtId="8" fontId="0" fillId="0" borderId="0" xfId="0" applyNumberFormat="1" applyFill="1" applyAlignment="1">
      <alignment horizontal="fill"/>
    </xf>
    <xf numFmtId="167" fontId="0" fillId="0" borderId="0" xfId="2" applyNumberFormat="1" applyFont="1" applyFill="1" applyAlignment="1">
      <alignment horizontal="fill"/>
    </xf>
    <xf numFmtId="44" fontId="0" fillId="0" borderId="0" xfId="2" applyFont="1" applyFill="1" applyAlignment="1">
      <alignment horizontal="left"/>
    </xf>
    <xf numFmtId="39" fontId="0" fillId="0" borderId="0" xfId="0" applyNumberFormat="1" applyFill="1" applyAlignment="1">
      <alignment horizontal="left"/>
    </xf>
    <xf numFmtId="0" fontId="6" fillId="0" borderId="0" xfId="0" applyFont="1" applyFill="1" applyAlignment="1">
      <alignment horizontal="left"/>
    </xf>
    <xf numFmtId="171" fontId="0" fillId="0" borderId="0" xfId="0" applyNumberFormat="1" applyFill="1" applyProtection="1"/>
    <xf numFmtId="39" fontId="0" fillId="0" borderId="0" xfId="0" applyNumberFormat="1" applyFill="1" applyProtection="1"/>
    <xf numFmtId="5" fontId="0" fillId="0" borderId="0" xfId="0" applyNumberFormat="1" applyFill="1" applyProtection="1"/>
    <xf numFmtId="37" fontId="0" fillId="0" borderId="0" xfId="0" applyNumberFormat="1" applyFill="1" applyProtection="1"/>
    <xf numFmtId="40" fontId="0" fillId="0" borderId="0" xfId="0" applyNumberFormat="1" applyFill="1" applyProtection="1"/>
    <xf numFmtId="37" fontId="0" fillId="0" borderId="0" xfId="0" quotePrefix="1" applyNumberFormat="1" applyFill="1" applyAlignment="1" applyProtection="1">
      <alignment horizontal="right"/>
    </xf>
    <xf numFmtId="7" fontId="0" fillId="0" borderId="0" xfId="0" applyNumberFormat="1" applyFill="1" applyProtection="1"/>
    <xf numFmtId="167" fontId="0" fillId="0" borderId="0" xfId="2" applyNumberFormat="1" applyFont="1" applyFill="1" applyProtection="1"/>
    <xf numFmtId="0" fontId="5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/>
    <xf numFmtId="38" fontId="6" fillId="0" borderId="2" xfId="1" applyNumberFormat="1" applyFont="1" applyFill="1" applyBorder="1" applyProtection="1"/>
    <xf numFmtId="38" fontId="6" fillId="0" borderId="2" xfId="0" applyNumberFormat="1" applyFont="1" applyFill="1" applyBorder="1" applyProtection="1"/>
    <xf numFmtId="171" fontId="0" fillId="0" borderId="2" xfId="0" applyNumberFormat="1" applyFill="1" applyBorder="1" applyProtection="1"/>
    <xf numFmtId="44" fontId="6" fillId="0" borderId="2" xfId="2" applyFont="1" applyFill="1" applyBorder="1" applyProtection="1"/>
    <xf numFmtId="40" fontId="6" fillId="0" borderId="0" xfId="0" applyNumberFormat="1" applyFont="1" applyFill="1" applyBorder="1" applyProtection="1"/>
    <xf numFmtId="44" fontId="0" fillId="0" borderId="0" xfId="0" applyNumberFormat="1" applyFill="1" applyProtection="1"/>
    <xf numFmtId="39" fontId="6" fillId="0" borderId="0" xfId="0" applyNumberFormat="1" applyFont="1" applyFill="1" applyBorder="1" applyProtection="1"/>
    <xf numFmtId="37" fontId="6" fillId="0" borderId="2" xfId="0" applyNumberFormat="1" applyFont="1" applyFill="1" applyBorder="1" applyProtection="1"/>
    <xf numFmtId="40" fontId="6" fillId="0" borderId="2" xfId="0" applyNumberFormat="1" applyFont="1" applyFill="1" applyBorder="1" applyProtection="1"/>
    <xf numFmtId="172" fontId="6" fillId="0" borderId="2" xfId="0" applyNumberFormat="1" applyFont="1" applyFill="1" applyBorder="1" applyProtection="1"/>
    <xf numFmtId="167" fontId="6" fillId="0" borderId="2" xfId="2" applyNumberFormat="1" applyFont="1" applyFill="1" applyBorder="1" applyProtection="1"/>
    <xf numFmtId="38" fontId="6" fillId="0" borderId="0" xfId="1" applyNumberFormat="1" applyFont="1" applyFill="1" applyBorder="1" applyProtection="1"/>
    <xf numFmtId="38" fontId="6" fillId="0" borderId="0" xfId="0" applyNumberFormat="1" applyFont="1" applyFill="1" applyBorder="1" applyProtection="1"/>
    <xf numFmtId="171" fontId="6" fillId="0" borderId="0" xfId="0" applyNumberFormat="1" applyFont="1" applyFill="1" applyBorder="1" applyProtection="1"/>
    <xf numFmtId="44" fontId="6" fillId="0" borderId="0" xfId="2" applyFont="1" applyFill="1" applyBorder="1" applyProtection="1"/>
    <xf numFmtId="37" fontId="6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167" fontId="6" fillId="0" borderId="0" xfId="2" applyNumberFormat="1" applyFont="1" applyFill="1" applyBorder="1" applyProtection="1"/>
    <xf numFmtId="0" fontId="6" fillId="0" borderId="0" xfId="0" applyFont="1" applyFill="1" applyBorder="1"/>
    <xf numFmtId="5" fontId="10" fillId="0" borderId="2" xfId="0" applyNumberFormat="1" applyFont="1" applyFill="1" applyBorder="1" applyProtection="1"/>
    <xf numFmtId="165" fontId="6" fillId="0" borderId="2" xfId="1" applyNumberFormat="1" applyFont="1" applyFill="1" applyBorder="1" applyProtection="1"/>
    <xf numFmtId="44" fontId="6" fillId="0" borderId="0" xfId="2" applyFont="1" applyFill="1"/>
    <xf numFmtId="5" fontId="6" fillId="0" borderId="0" xfId="0" applyNumberFormat="1" applyFont="1" applyFill="1" applyProtection="1"/>
    <xf numFmtId="38" fontId="6" fillId="0" borderId="0" xfId="0" applyNumberFormat="1" applyFont="1" applyFill="1" applyProtection="1"/>
    <xf numFmtId="37" fontId="6" fillId="0" borderId="0" xfId="0" applyNumberFormat="1" applyFont="1" applyFill="1" applyProtection="1"/>
    <xf numFmtId="44" fontId="6" fillId="0" borderId="0" xfId="2" applyFont="1" applyFill="1" applyProtection="1"/>
    <xf numFmtId="40" fontId="6" fillId="0" borderId="0" xfId="0" applyNumberFormat="1" applyFont="1" applyFill="1" applyProtection="1"/>
    <xf numFmtId="39" fontId="6" fillId="0" borderId="0" xfId="0" applyNumberFormat="1" applyFont="1" applyFill="1" applyProtection="1"/>
    <xf numFmtId="40" fontId="6" fillId="0" borderId="0" xfId="0" applyNumberFormat="1" applyFont="1" applyFill="1"/>
    <xf numFmtId="171" fontId="6" fillId="0" borderId="0" xfId="0" applyNumberFormat="1" applyFont="1" applyFill="1" applyProtection="1"/>
    <xf numFmtId="7" fontId="6" fillId="0" borderId="0" xfId="0" applyNumberFormat="1" applyFont="1" applyFill="1" applyProtection="1"/>
    <xf numFmtId="44" fontId="6" fillId="0" borderId="0" xfId="0" applyNumberFormat="1" applyFont="1" applyFill="1" applyProtection="1"/>
    <xf numFmtId="167" fontId="6" fillId="0" borderId="0" xfId="2" applyNumberFormat="1" applyFont="1" applyFill="1" applyProtection="1"/>
    <xf numFmtId="38" fontId="0" fillId="0" borderId="1" xfId="1" applyNumberFormat="1" applyFont="1" applyFill="1" applyBorder="1" applyProtection="1"/>
    <xf numFmtId="38" fontId="0" fillId="0" borderId="1" xfId="0" applyNumberFormat="1" applyFill="1" applyBorder="1" applyProtection="1"/>
    <xf numFmtId="44" fontId="5" fillId="0" borderId="1" xfId="2" applyFont="1" applyFill="1" applyBorder="1" applyProtection="1"/>
    <xf numFmtId="44" fontId="0" fillId="0" borderId="1" xfId="2" applyFont="1" applyFill="1" applyBorder="1"/>
    <xf numFmtId="5" fontId="0" fillId="0" borderId="1" xfId="0" applyNumberFormat="1" applyFill="1" applyBorder="1" applyProtection="1"/>
    <xf numFmtId="38" fontId="5" fillId="0" borderId="1" xfId="1" applyNumberFormat="1" applyFont="1" applyFill="1" applyBorder="1" applyProtection="1"/>
    <xf numFmtId="38" fontId="6" fillId="0" borderId="1" xfId="0" applyNumberFormat="1" applyFont="1" applyFill="1" applyBorder="1" applyProtection="1"/>
    <xf numFmtId="43" fontId="6" fillId="0" borderId="1" xfId="1" applyFont="1" applyFill="1" applyBorder="1" applyProtection="1"/>
    <xf numFmtId="40" fontId="0" fillId="0" borderId="1" xfId="0" applyNumberFormat="1" applyFill="1" applyBorder="1" applyProtection="1"/>
    <xf numFmtId="167" fontId="6" fillId="0" borderId="1" xfId="2" applyNumberFormat="1" applyFont="1" applyFill="1" applyBorder="1" applyProtection="1"/>
    <xf numFmtId="43" fontId="5" fillId="0" borderId="1" xfId="1" applyFont="1" applyFill="1" applyBorder="1" applyProtection="1"/>
    <xf numFmtId="40" fontId="0" fillId="0" borderId="1" xfId="0" applyNumberFormat="1" applyFill="1" applyBorder="1"/>
    <xf numFmtId="171" fontId="0" fillId="0" borderId="1" xfId="0" applyNumberFormat="1" applyFill="1" applyBorder="1" applyProtection="1"/>
    <xf numFmtId="7" fontId="0" fillId="0" borderId="1" xfId="0" applyNumberFormat="1" applyFill="1" applyBorder="1" applyProtection="1"/>
    <xf numFmtId="167" fontId="0" fillId="0" borderId="1" xfId="2" applyNumberFormat="1" applyFont="1" applyFill="1" applyBorder="1" applyProtection="1"/>
    <xf numFmtId="38" fontId="1" fillId="0" borderId="0" xfId="1" applyNumberFormat="1" applyFont="1" applyFill="1" applyProtection="1"/>
    <xf numFmtId="7" fontId="6" fillId="0" borderId="0" xfId="2" applyNumberFormat="1" applyFont="1" applyFill="1" applyBorder="1" applyProtection="1"/>
    <xf numFmtId="0" fontId="1" fillId="0" borderId="0" xfId="0" applyFont="1" applyFill="1"/>
    <xf numFmtId="43" fontId="6" fillId="0" borderId="0" xfId="1" applyFont="1" applyFill="1" applyBorder="1" applyProtection="1"/>
    <xf numFmtId="43" fontId="6" fillId="0" borderId="2" xfId="1" applyFont="1" applyFill="1" applyBorder="1" applyProtection="1"/>
    <xf numFmtId="7" fontId="6" fillId="0" borderId="2" xfId="1" applyNumberFormat="1" applyFont="1" applyFill="1" applyBorder="1" applyProtection="1"/>
    <xf numFmtId="171" fontId="6" fillId="0" borderId="2" xfId="0" applyNumberFormat="1" applyFont="1" applyFill="1" applyBorder="1" applyProtection="1"/>
    <xf numFmtId="39" fontId="6" fillId="0" borderId="2" xfId="0" applyNumberFormat="1" applyFont="1" applyFill="1" applyBorder="1" applyProtection="1"/>
    <xf numFmtId="169" fontId="6" fillId="0" borderId="2" xfId="2" applyNumberFormat="1" applyFont="1" applyFill="1" applyBorder="1" applyProtection="1"/>
    <xf numFmtId="44" fontId="6" fillId="0" borderId="2" xfId="2" applyNumberFormat="1" applyFont="1" applyFill="1" applyBorder="1" applyProtection="1"/>
    <xf numFmtId="0" fontId="5" fillId="0" borderId="0" xfId="0" applyFont="1" applyFill="1"/>
    <xf numFmtId="37" fontId="0" fillId="0" borderId="0" xfId="0" applyNumberFormat="1" applyFill="1" applyAlignment="1" applyProtection="1">
      <alignment horizontal="fill"/>
    </xf>
    <xf numFmtId="39" fontId="0" fillId="0" borderId="0" xfId="0" applyNumberFormat="1" applyFill="1" applyAlignment="1" applyProtection="1">
      <alignment horizontal="fill"/>
    </xf>
    <xf numFmtId="44" fontId="0" fillId="0" borderId="0" xfId="2" applyFont="1" applyFill="1" applyAlignment="1" applyProtection="1">
      <alignment horizontal="fill"/>
    </xf>
    <xf numFmtId="173" fontId="0" fillId="0" borderId="0" xfId="0" applyNumberFormat="1" applyFill="1" applyAlignment="1" applyProtection="1">
      <alignment horizontal="fill"/>
    </xf>
    <xf numFmtId="40" fontId="0" fillId="0" borderId="0" xfId="0" applyNumberFormat="1" applyFill="1" applyAlignment="1" applyProtection="1">
      <alignment horizontal="fill"/>
    </xf>
    <xf numFmtId="8" fontId="0" fillId="0" borderId="0" xfId="0" applyNumberFormat="1" applyFill="1" applyAlignment="1" applyProtection="1">
      <alignment horizontal="fill"/>
    </xf>
    <xf numFmtId="37" fontId="0" fillId="0" borderId="0" xfId="0" applyNumberFormat="1" applyFill="1" applyAlignment="1" applyProtection="1"/>
    <xf numFmtId="167" fontId="0" fillId="0" borderId="0" xfId="2" applyNumberFormat="1" applyFont="1" applyFill="1" applyAlignment="1" applyProtection="1">
      <alignment horizontal="fill"/>
    </xf>
    <xf numFmtId="38" fontId="0" fillId="0" borderId="3" xfId="1" applyNumberFormat="1" applyFont="1" applyFill="1" applyBorder="1" applyProtection="1"/>
    <xf numFmtId="171" fontId="0" fillId="0" borderId="3" xfId="0" applyNumberFormat="1" applyFill="1" applyBorder="1" applyProtection="1"/>
    <xf numFmtId="44" fontId="0" fillId="0" borderId="3" xfId="2" applyFont="1" applyFill="1" applyBorder="1" applyProtection="1"/>
    <xf numFmtId="167" fontId="0" fillId="0" borderId="3" xfId="2" applyNumberFormat="1" applyFont="1" applyFill="1" applyBorder="1" applyProtection="1"/>
    <xf numFmtId="44" fontId="0" fillId="0" borderId="0" xfId="2" applyFont="1" applyFill="1" applyAlignment="1" applyProtection="1"/>
    <xf numFmtId="38" fontId="0" fillId="0" borderId="0" xfId="0" applyNumberFormat="1" applyFill="1" applyAlignment="1" applyProtection="1"/>
    <xf numFmtId="43" fontId="0" fillId="0" borderId="0" xfId="0" applyNumberFormat="1" applyFill="1" applyAlignment="1" applyProtection="1"/>
    <xf numFmtId="44" fontId="0" fillId="0" borderId="0" xfId="0" applyNumberFormat="1" applyFill="1" applyAlignment="1" applyProtection="1">
      <alignment horizontal="fill"/>
    </xf>
    <xf numFmtId="173" fontId="0" fillId="0" borderId="0" xfId="0" applyNumberFormat="1" applyFill="1" applyProtection="1"/>
    <xf numFmtId="37" fontId="0" fillId="0" borderId="0" xfId="0" applyNumberFormat="1" applyFill="1"/>
    <xf numFmtId="7" fontId="0" fillId="0" borderId="0" xfId="0" applyNumberFormat="1" applyFill="1"/>
    <xf numFmtId="44" fontId="0" fillId="0" borderId="0" xfId="0" applyNumberFormat="1" applyFill="1"/>
    <xf numFmtId="7" fontId="0" fillId="0" borderId="0" xfId="0" applyNumberFormat="1" applyFill="1" applyBorder="1"/>
    <xf numFmtId="8" fontId="0" fillId="0" borderId="0" xfId="2" applyNumberFormat="1" applyFont="1" applyFill="1" applyProtection="1"/>
    <xf numFmtId="37" fontId="0" fillId="0" borderId="0" xfId="0" applyNumberFormat="1" applyFill="1" applyAlignment="1" applyProtection="1">
      <alignment horizontal="left"/>
    </xf>
    <xf numFmtId="38" fontId="0" fillId="0" borderId="0" xfId="0" applyNumberFormat="1" applyFill="1" applyAlignment="1" applyProtection="1">
      <alignment horizontal="left"/>
    </xf>
    <xf numFmtId="167" fontId="0" fillId="0" borderId="0" xfId="0" applyNumberFormat="1" applyFill="1" applyBorder="1"/>
    <xf numFmtId="167" fontId="0" fillId="0" borderId="0" xfId="0" applyNumberFormat="1" applyFill="1"/>
    <xf numFmtId="8" fontId="0" fillId="0" borderId="0" xfId="0" applyNumberFormat="1" applyFill="1" applyProtection="1"/>
    <xf numFmtId="38" fontId="0" fillId="0" borderId="0" xfId="1" applyNumberFormat="1" applyFont="1" applyFill="1" applyAlignment="1">
      <alignment horizontal="fill"/>
    </xf>
    <xf numFmtId="38" fontId="0" fillId="0" borderId="3" xfId="0" applyNumberFormat="1" applyFill="1" applyBorder="1" applyProtection="1"/>
    <xf numFmtId="7" fontId="0" fillId="0" borderId="3" xfId="0" applyNumberFormat="1" applyFill="1" applyBorder="1" applyProtection="1"/>
    <xf numFmtId="40" fontId="0" fillId="0" borderId="3" xfId="0" applyNumberFormat="1" applyFill="1" applyBorder="1" applyProtection="1"/>
    <xf numFmtId="5" fontId="0" fillId="0" borderId="3" xfId="0" applyNumberFormat="1" applyFill="1" applyBorder="1" applyProtection="1"/>
    <xf numFmtId="37" fontId="0" fillId="0" borderId="3" xfId="0" applyNumberFormat="1" applyFill="1" applyBorder="1" applyProtection="1"/>
    <xf numFmtId="8" fontId="0" fillId="0" borderId="3" xfId="0" applyNumberFormat="1" applyFill="1" applyBorder="1" applyProtection="1"/>
    <xf numFmtId="43" fontId="0" fillId="0" borderId="0" xfId="1" applyFont="1" applyFill="1" applyAlignment="1" applyProtection="1">
      <alignment horizontal="fill"/>
    </xf>
    <xf numFmtId="38" fontId="0" fillId="0" borderId="4" xfId="1" applyNumberFormat="1" applyFont="1" applyFill="1" applyBorder="1" applyProtection="1"/>
    <xf numFmtId="38" fontId="0" fillId="0" borderId="4" xfId="0" applyNumberFormat="1" applyFill="1" applyBorder="1" applyProtection="1"/>
    <xf numFmtId="44" fontId="0" fillId="0" borderId="4" xfId="2" applyFont="1" applyFill="1" applyBorder="1" applyProtection="1"/>
    <xf numFmtId="5" fontId="0" fillId="0" borderId="4" xfId="0" applyNumberFormat="1" applyFill="1" applyBorder="1" applyProtection="1"/>
    <xf numFmtId="37" fontId="0" fillId="0" borderId="4" xfId="0" applyNumberFormat="1" applyFill="1" applyBorder="1" applyProtection="1"/>
    <xf numFmtId="39" fontId="0" fillId="0" borderId="4" xfId="0" applyNumberFormat="1" applyFill="1" applyBorder="1" applyProtection="1"/>
    <xf numFmtId="167" fontId="0" fillId="0" borderId="4" xfId="2" applyNumberFormat="1" applyFont="1" applyFill="1" applyBorder="1" applyProtection="1"/>
    <xf numFmtId="44" fontId="0" fillId="0" borderId="0" xfId="2" applyFont="1" applyFill="1" applyAlignment="1"/>
    <xf numFmtId="7" fontId="0" fillId="0" borderId="0" xfId="0" applyNumberFormat="1" applyFill="1" applyAlignment="1">
      <alignment horizontal="fill"/>
    </xf>
    <xf numFmtId="39" fontId="0" fillId="0" borderId="0" xfId="0" applyNumberFormat="1" applyFill="1" applyBorder="1"/>
    <xf numFmtId="44" fontId="0" fillId="0" borderId="0" xfId="2" applyNumberFormat="1" applyFont="1" applyFill="1"/>
    <xf numFmtId="38" fontId="0" fillId="2" borderId="0" xfId="1" applyNumberFormat="1" applyFont="1" applyFill="1"/>
    <xf numFmtId="17" fontId="0" fillId="0" borderId="0" xfId="0" applyNumberForma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701/0701MGMT(A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1001/1001MGMT(A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1101/1101MGMT(A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FORM_2/2001/2001FRM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101/0101MGMT(a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201/0201MGMT(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301/0301MGMT(a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401/0401MGMT(a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501/0501MGMT(A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601/0601MGMT(A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801/0801MGMT(A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901/0901MGMT(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56786610</v>
          </cell>
          <cell r="Q161">
            <v>397508732</v>
          </cell>
        </row>
      </sheetData>
      <sheetData sheetId="1" refreshError="1"/>
      <sheetData sheetId="2">
        <row r="26">
          <cell r="AX2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56260392</v>
          </cell>
          <cell r="Q161">
            <v>564913173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53272832</v>
          </cell>
          <cell r="Q161">
            <v>618186005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4TH"/>
      <sheetName val="Sheet3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38">
          <cell r="B38">
            <v>161173.24800000002</v>
          </cell>
          <cell r="I38">
            <v>179548.87399999998</v>
          </cell>
          <cell r="P38">
            <v>167930.65899999999</v>
          </cell>
          <cell r="W38">
            <v>161829.22399999999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55579061</v>
          </cell>
          <cell r="Q161">
            <v>55579061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50424929</v>
          </cell>
          <cell r="Q161">
            <v>106003990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55169258</v>
          </cell>
          <cell r="Q161">
            <v>161173248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60576297</v>
          </cell>
          <cell r="Q161">
            <v>221749545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61068725</v>
          </cell>
          <cell r="Q161">
            <v>282818270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57903852</v>
          </cell>
          <cell r="Q161">
            <v>340722122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57136793</v>
          </cell>
          <cell r="Q161">
            <v>454645525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54007256</v>
          </cell>
          <cell r="Q161">
            <v>508652781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5" sqref="F15"/>
    </sheetView>
  </sheetViews>
  <sheetFormatPr defaultRowHeight="13.2"/>
  <cols>
    <col min="1" max="1" width="9.109375" style="470" customWidth="1"/>
    <col min="2" max="2" width="12.6640625" bestFit="1" customWidth="1"/>
    <col min="3" max="4" width="11.6640625" bestFit="1" customWidth="1"/>
    <col min="5" max="5" width="9.6640625" bestFit="1" customWidth="1"/>
    <col min="6" max="6" width="8.6640625" bestFit="1" customWidth="1"/>
  </cols>
  <sheetData>
    <row r="1" spans="1:6">
      <c r="D1" t="s">
        <v>206</v>
      </c>
    </row>
    <row r="2" spans="1:6">
      <c r="B2" t="s">
        <v>52</v>
      </c>
      <c r="C2" t="s">
        <v>53</v>
      </c>
      <c r="D2" t="s">
        <v>207</v>
      </c>
      <c r="E2" t="s">
        <v>208</v>
      </c>
      <c r="F2" t="s">
        <v>209</v>
      </c>
    </row>
    <row r="3" spans="1:6">
      <c r="A3" s="470">
        <v>36892</v>
      </c>
      <c r="B3" s="44">
        <f>+[2]Margin!$C$161</f>
        <v>55579061</v>
      </c>
      <c r="C3" s="44">
        <f>+[2]Margin!$Q$161</f>
        <v>55579061</v>
      </c>
      <c r="D3" s="44">
        <f>+[2]Margin!$Q$161</f>
        <v>55579061</v>
      </c>
      <c r="E3" s="44">
        <f>+C3-D3</f>
        <v>0</v>
      </c>
    </row>
    <row r="4" spans="1:6">
      <c r="A4" s="470">
        <v>36923</v>
      </c>
      <c r="B4" s="44">
        <f>+[3]Margin!$C$161</f>
        <v>50424929</v>
      </c>
      <c r="C4" s="44">
        <f>+C3+B4</f>
        <v>106003990</v>
      </c>
      <c r="D4" s="44">
        <f>+[3]Margin!$Q$161</f>
        <v>106003990</v>
      </c>
      <c r="E4" s="44">
        <f t="shared" ref="E4:E14" si="0">+C4-D4</f>
        <v>0</v>
      </c>
    </row>
    <row r="5" spans="1:6">
      <c r="A5" s="470">
        <v>36951</v>
      </c>
      <c r="B5" s="44">
        <f>+[4]Margin!$C$161</f>
        <v>55169258</v>
      </c>
      <c r="C5" s="44">
        <f t="shared" ref="C5:C14" si="1">+C4+B5</f>
        <v>161173248</v>
      </c>
      <c r="D5" s="44">
        <f>+[4]Margin!$Q$161</f>
        <v>161173248</v>
      </c>
      <c r="E5" s="44">
        <f t="shared" si="0"/>
        <v>0</v>
      </c>
      <c r="F5" s="3">
        <f>+'[12]1ST-4TH'!$B$38</f>
        <v>161173.24800000002</v>
      </c>
    </row>
    <row r="6" spans="1:6">
      <c r="A6" s="470">
        <v>36982</v>
      </c>
      <c r="B6" s="44">
        <f>+[5]Margin!$C$161</f>
        <v>60576297</v>
      </c>
      <c r="C6" s="44">
        <f t="shared" si="1"/>
        <v>221749545</v>
      </c>
      <c r="D6" s="44">
        <f>+[5]Margin!$Q$161</f>
        <v>221749545</v>
      </c>
      <c r="E6" s="44">
        <f t="shared" si="0"/>
        <v>0</v>
      </c>
    </row>
    <row r="7" spans="1:6">
      <c r="A7" s="470">
        <v>37012</v>
      </c>
      <c r="B7" s="44">
        <f>+[6]Margin!$C$161</f>
        <v>61068725</v>
      </c>
      <c r="C7" s="44">
        <f t="shared" si="1"/>
        <v>282818270</v>
      </c>
      <c r="D7" s="44">
        <f>+[6]Margin!$Q$161</f>
        <v>282818270</v>
      </c>
      <c r="E7" s="44">
        <f t="shared" si="0"/>
        <v>0</v>
      </c>
    </row>
    <row r="8" spans="1:6">
      <c r="A8" s="470">
        <v>37043</v>
      </c>
      <c r="B8" s="44">
        <f>+[7]Margin!$C$161</f>
        <v>57903852</v>
      </c>
      <c r="C8" s="44">
        <f t="shared" si="1"/>
        <v>340722122</v>
      </c>
      <c r="D8" s="44">
        <f>+[7]Margin!$Q$161</f>
        <v>340722122</v>
      </c>
      <c r="E8" s="44">
        <f t="shared" si="0"/>
        <v>0</v>
      </c>
      <c r="F8" s="3">
        <f>+'[12]1ST-4TH'!$B$38+'[12]1ST-4TH'!$I$38</f>
        <v>340722.12199999997</v>
      </c>
    </row>
    <row r="9" spans="1:6">
      <c r="A9" s="470">
        <v>37073</v>
      </c>
      <c r="B9" s="44">
        <f>+[1]Margin!$C$161</f>
        <v>56786610</v>
      </c>
      <c r="C9" s="44">
        <f t="shared" si="1"/>
        <v>397508732</v>
      </c>
      <c r="D9" s="44">
        <f>+[1]Margin!$Q$161</f>
        <v>397508732</v>
      </c>
      <c r="E9" s="44">
        <f t="shared" si="0"/>
        <v>0</v>
      </c>
    </row>
    <row r="10" spans="1:6">
      <c r="A10" s="470">
        <v>37104</v>
      </c>
      <c r="B10" s="44">
        <f>+[8]Margin!$C$161</f>
        <v>57136793</v>
      </c>
      <c r="C10" s="44">
        <f t="shared" si="1"/>
        <v>454645525</v>
      </c>
      <c r="D10" s="44">
        <f>+[8]Margin!$Q$161</f>
        <v>454645525</v>
      </c>
      <c r="E10" s="44">
        <f t="shared" si="0"/>
        <v>0</v>
      </c>
    </row>
    <row r="11" spans="1:6">
      <c r="A11" s="470">
        <v>37135</v>
      </c>
      <c r="B11" s="44">
        <f>+[9]Margin!$C$161</f>
        <v>54007256</v>
      </c>
      <c r="C11" s="44">
        <f t="shared" si="1"/>
        <v>508652781</v>
      </c>
      <c r="D11" s="44">
        <f>+[9]Margin!$Q$161</f>
        <v>508652781</v>
      </c>
      <c r="E11" s="44">
        <f t="shared" si="0"/>
        <v>0</v>
      </c>
      <c r="F11" s="3">
        <f>+'[12]1ST-4TH'!$B$38+'[12]1ST-4TH'!$I$38+'[12]1ST-4TH'!$P$38</f>
        <v>508652.78099999996</v>
      </c>
    </row>
    <row r="12" spans="1:6">
      <c r="A12" s="470">
        <v>37165</v>
      </c>
      <c r="B12" s="44">
        <f>+[10]Margin!$C$161</f>
        <v>56260392</v>
      </c>
      <c r="C12" s="44">
        <f t="shared" si="1"/>
        <v>564913173</v>
      </c>
      <c r="D12" s="44">
        <f>+[10]Margin!$Q$161</f>
        <v>564913173</v>
      </c>
      <c r="E12" s="44">
        <f t="shared" si="0"/>
        <v>0</v>
      </c>
    </row>
    <row r="13" spans="1:6">
      <c r="A13" s="470">
        <v>37196</v>
      </c>
      <c r="B13" s="44">
        <f>+[11]Margin!$C$161</f>
        <v>53272832</v>
      </c>
      <c r="C13" s="44">
        <f t="shared" si="1"/>
        <v>618186005</v>
      </c>
      <c r="D13" s="44">
        <f>+[11]Margin!$Q$161</f>
        <v>618186005</v>
      </c>
      <c r="E13" s="44">
        <f t="shared" si="0"/>
        <v>0</v>
      </c>
    </row>
    <row r="14" spans="1:6">
      <c r="A14" s="470">
        <v>37226</v>
      </c>
      <c r="B14" s="44">
        <f>+Margin!C161</f>
        <v>52295758</v>
      </c>
      <c r="C14" s="44">
        <f t="shared" si="1"/>
        <v>670481763</v>
      </c>
      <c r="D14" s="44">
        <f>+Margin!Q161</f>
        <v>670480763</v>
      </c>
      <c r="E14" s="44">
        <f t="shared" si="0"/>
        <v>1000</v>
      </c>
      <c r="F14" s="3">
        <f>+'[12]1ST-4TH'!$B$38+'[12]1ST-4TH'!$I$38+'[12]1ST-4TH'!$P$38+'[12]1ST-4TH'!$W$38</f>
        <v>670482.00499999989</v>
      </c>
    </row>
    <row r="15" spans="1:6">
      <c r="F15" s="47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98"/>
  <sheetViews>
    <sheetView tabSelected="1" topLeftCell="A158" workbookViewId="0">
      <pane xSplit="1" topLeftCell="V1" activePane="topRight" state="frozen"/>
      <selection pane="topRight" activeCell="AC158" sqref="AC158"/>
    </sheetView>
  </sheetViews>
  <sheetFormatPr defaultRowHeight="13.2"/>
  <cols>
    <col min="1" max="1" width="28.109375" customWidth="1"/>
    <col min="2" max="2" width="1.6640625" customWidth="1"/>
    <col min="3" max="3" width="12.33203125" customWidth="1"/>
    <col min="4" max="4" width="1.6640625" customWidth="1"/>
    <col min="5" max="5" width="11.6640625" customWidth="1"/>
    <col min="6" max="6" width="1.6640625" customWidth="1"/>
    <col min="7" max="7" width="12.6640625" customWidth="1"/>
    <col min="8" max="8" width="1.6640625" customWidth="1"/>
    <col min="9" max="9" width="16.6640625" style="4" customWidth="1"/>
    <col min="10" max="10" width="1.6640625" style="4" customWidth="1"/>
    <col min="11" max="11" width="14.6640625" style="4" customWidth="1"/>
    <col min="12" max="12" width="1.6640625" style="4" customWidth="1"/>
    <col min="13" max="13" width="16.6640625" style="4" customWidth="1"/>
    <col min="14" max="14" width="1.6640625" customWidth="1"/>
    <col min="15" max="15" width="14.88671875" customWidth="1"/>
    <col min="16" max="16" width="1.6640625" customWidth="1"/>
    <col min="17" max="17" width="12.6640625" customWidth="1"/>
    <col min="18" max="18" width="1.6640625" customWidth="1"/>
    <col min="19" max="19" width="10.6640625" customWidth="1"/>
    <col min="20" max="20" width="1.6640625" customWidth="1"/>
    <col min="21" max="21" width="12.6640625" customWidth="1"/>
    <col min="22" max="22" width="1.6640625" customWidth="1"/>
    <col min="23" max="23" width="16.6640625" style="4" customWidth="1"/>
    <col min="24" max="24" width="1.6640625" style="4" customWidth="1"/>
    <col min="25" max="25" width="16.6640625" style="4" customWidth="1"/>
    <col min="26" max="26" width="1.6640625" style="4" customWidth="1"/>
    <col min="27" max="27" width="16.6640625" style="4" customWidth="1"/>
    <col min="28" max="28" width="1.6640625" customWidth="1"/>
    <col min="29" max="29" width="12.33203125" style="6" customWidth="1"/>
    <col min="73" max="73" width="29.88671875" customWidth="1"/>
    <col min="74" max="74" width="14.88671875" customWidth="1"/>
    <col min="76" max="76" width="13.88671875" customWidth="1"/>
    <col min="78" max="78" width="8.109375" customWidth="1"/>
    <col min="80" max="80" width="14.88671875" customWidth="1"/>
    <col min="82" max="82" width="14.88671875" customWidth="1"/>
    <col min="84" max="84" width="14.88671875" style="4" customWidth="1"/>
    <col min="86" max="86" width="11.33203125" customWidth="1"/>
  </cols>
  <sheetData>
    <row r="1" spans="1:86" s="30" customFormat="1">
      <c r="A1" s="57"/>
      <c r="B1" s="2"/>
      <c r="C1" s="58"/>
      <c r="D1" s="2"/>
      <c r="E1" s="59"/>
      <c r="F1" s="2"/>
      <c r="G1" s="2"/>
      <c r="H1" s="2"/>
      <c r="I1" s="81"/>
      <c r="J1" s="81"/>
      <c r="K1" s="81"/>
      <c r="L1" s="81"/>
      <c r="M1" s="81"/>
      <c r="N1" s="2"/>
      <c r="O1" s="2"/>
      <c r="P1" s="2"/>
      <c r="Q1" s="59"/>
      <c r="R1" s="2"/>
      <c r="S1" s="2"/>
      <c r="T1" s="2" t="s">
        <v>48</v>
      </c>
      <c r="U1" s="2"/>
      <c r="V1" s="2"/>
      <c r="W1" s="81"/>
      <c r="X1" s="81"/>
      <c r="Y1" s="81"/>
      <c r="Z1" s="81"/>
      <c r="AA1" s="81"/>
      <c r="AB1" s="2"/>
      <c r="AC1" s="166"/>
      <c r="AU1" s="143"/>
      <c r="AW1" s="144"/>
      <c r="AY1" s="144"/>
      <c r="BM1" s="145"/>
      <c r="BU1" s="36"/>
      <c r="BW1" s="36"/>
      <c r="BX1" s="36"/>
      <c r="CA1" s="29"/>
      <c r="CB1" s="146"/>
      <c r="CC1" s="146"/>
      <c r="CD1" s="146"/>
      <c r="CE1" s="146"/>
      <c r="CF1" s="142"/>
      <c r="CG1" s="147"/>
      <c r="CH1" s="146"/>
    </row>
    <row r="2" spans="1:86" s="30" customFormat="1">
      <c r="A2" s="57"/>
      <c r="B2" s="2"/>
      <c r="C2" s="58"/>
      <c r="D2" s="2"/>
      <c r="E2" s="59"/>
      <c r="F2" s="2"/>
      <c r="G2" s="2"/>
      <c r="H2" s="2"/>
      <c r="I2" s="81"/>
      <c r="J2" s="81"/>
      <c r="K2" s="81"/>
      <c r="L2" s="81"/>
      <c r="M2" s="81"/>
      <c r="N2" s="2"/>
      <c r="O2" s="2"/>
      <c r="P2" s="2"/>
      <c r="Q2" s="59"/>
      <c r="R2" s="2"/>
      <c r="S2" s="2"/>
      <c r="T2" s="2"/>
      <c r="U2" s="2"/>
      <c r="V2" s="2"/>
      <c r="W2" s="81"/>
      <c r="X2" s="81"/>
      <c r="Y2" s="81"/>
      <c r="Z2" s="81"/>
      <c r="AA2" s="81"/>
      <c r="AB2" s="2"/>
      <c r="AC2" s="166"/>
      <c r="AU2" s="143"/>
      <c r="AW2" s="144"/>
      <c r="AY2" s="144"/>
      <c r="BM2" s="145"/>
      <c r="BU2" s="36"/>
      <c r="BW2" s="36"/>
      <c r="BY2" s="36"/>
      <c r="CA2" s="36"/>
      <c r="CB2" s="146"/>
      <c r="CC2" s="148"/>
      <c r="CD2" s="146"/>
      <c r="CE2" s="148"/>
      <c r="CF2" s="142"/>
      <c r="CG2" s="147"/>
      <c r="CH2" s="146"/>
    </row>
    <row r="3" spans="1:86" s="30" customFormat="1">
      <c r="A3" s="57"/>
      <c r="B3" s="2"/>
      <c r="C3" s="58"/>
      <c r="D3" s="2"/>
      <c r="E3" s="59"/>
      <c r="F3" s="2"/>
      <c r="G3" s="2"/>
      <c r="H3" s="2"/>
      <c r="I3" s="81"/>
      <c r="J3" s="81"/>
      <c r="K3" s="81"/>
      <c r="L3" s="81"/>
      <c r="M3" s="81"/>
      <c r="N3" s="2"/>
      <c r="O3" s="2"/>
      <c r="P3" s="2"/>
      <c r="Q3" s="59"/>
      <c r="R3" s="2"/>
      <c r="S3" s="2"/>
      <c r="T3" s="2"/>
      <c r="U3" s="2"/>
      <c r="V3" s="2"/>
      <c r="W3" s="81"/>
      <c r="X3" s="81"/>
      <c r="Y3" s="81"/>
      <c r="Z3" s="81"/>
      <c r="AA3" s="81"/>
      <c r="AB3" s="2"/>
      <c r="AC3" s="166"/>
      <c r="AU3" s="143"/>
      <c r="AW3" s="144"/>
      <c r="AY3" s="144"/>
      <c r="BM3" s="145"/>
      <c r="BU3" s="36"/>
      <c r="BW3" s="36"/>
      <c r="BY3" s="36"/>
      <c r="CA3" s="36"/>
      <c r="CB3" s="146"/>
      <c r="CC3" s="148"/>
      <c r="CD3" s="146"/>
      <c r="CE3" s="148"/>
      <c r="CF3" s="142"/>
      <c r="CG3" s="147"/>
      <c r="CH3" s="146"/>
    </row>
    <row r="4" spans="1:86" s="30" customFormat="1">
      <c r="A4" s="27"/>
      <c r="C4" s="141"/>
      <c r="E4" s="64"/>
      <c r="I4" s="142"/>
      <c r="J4" s="142"/>
      <c r="K4" s="142"/>
      <c r="L4" s="142"/>
      <c r="M4" s="142"/>
      <c r="Q4" s="64"/>
      <c r="W4" s="142"/>
      <c r="X4" s="142"/>
      <c r="Y4" s="142"/>
      <c r="Z4" s="142"/>
      <c r="AA4" s="142"/>
      <c r="AC4" s="167"/>
      <c r="AU4" s="143"/>
      <c r="AW4" s="144"/>
      <c r="AY4" s="144"/>
      <c r="BM4" s="145"/>
      <c r="BU4" s="36"/>
      <c r="BW4" s="36"/>
      <c r="BY4" s="36"/>
      <c r="CA4" s="36"/>
      <c r="CB4" s="146"/>
      <c r="CC4" s="148"/>
      <c r="CD4" s="146"/>
      <c r="CE4" s="146"/>
      <c r="CF4" s="142"/>
      <c r="CG4" s="147"/>
      <c r="CH4" s="146"/>
    </row>
    <row r="5" spans="1:86">
      <c r="A5" s="13"/>
      <c r="B5" s="2"/>
      <c r="C5" s="58"/>
      <c r="D5" s="2"/>
      <c r="E5" s="59"/>
      <c r="F5" s="2"/>
      <c r="G5" s="2"/>
      <c r="H5" s="2"/>
      <c r="I5" s="81" t="s">
        <v>48</v>
      </c>
      <c r="J5" s="81"/>
      <c r="K5" s="81"/>
      <c r="L5" s="81"/>
      <c r="M5" s="81"/>
      <c r="N5" s="2"/>
      <c r="O5" s="2"/>
      <c r="P5" s="2"/>
      <c r="Q5" s="59"/>
      <c r="R5" s="2"/>
      <c r="S5" s="2"/>
      <c r="T5" s="2"/>
      <c r="U5" s="2"/>
      <c r="V5" s="2"/>
      <c r="W5" s="81"/>
      <c r="X5" s="81"/>
      <c r="Y5" s="81"/>
      <c r="Z5" s="81"/>
      <c r="AA5" s="81"/>
      <c r="AB5" s="2"/>
      <c r="AC5" s="166"/>
      <c r="AJ5" s="30"/>
      <c r="AU5" s="19"/>
      <c r="AW5" s="17"/>
      <c r="AY5" s="17"/>
      <c r="BM5" s="12"/>
      <c r="BS5" s="30"/>
      <c r="BU5" s="35"/>
      <c r="BW5" s="35"/>
      <c r="BY5" s="35"/>
      <c r="CA5" s="35"/>
      <c r="CB5" s="60"/>
      <c r="CC5" s="61"/>
      <c r="CD5" s="60"/>
      <c r="CE5" s="61"/>
      <c r="CG5" s="44"/>
      <c r="CH5" s="60"/>
    </row>
    <row r="6" spans="1:86">
      <c r="A6" s="13"/>
      <c r="B6" s="2"/>
      <c r="C6" s="58"/>
      <c r="D6" s="2"/>
      <c r="E6" s="59"/>
      <c r="F6" s="2"/>
      <c r="G6" s="2"/>
      <c r="H6" s="2"/>
      <c r="I6" s="81"/>
      <c r="J6" s="81"/>
      <c r="K6" s="81"/>
      <c r="L6" s="81"/>
      <c r="M6" s="81"/>
      <c r="N6" s="2"/>
      <c r="O6" s="2"/>
      <c r="P6" s="2"/>
      <c r="Q6" s="59"/>
      <c r="R6" s="2"/>
      <c r="S6" s="2"/>
      <c r="T6" s="2"/>
      <c r="U6" s="2"/>
      <c r="V6" s="2"/>
      <c r="W6" s="81"/>
      <c r="X6" s="81"/>
      <c r="Y6" s="81"/>
      <c r="Z6" s="81"/>
      <c r="AA6" s="81"/>
      <c r="AB6" s="2"/>
      <c r="AC6" s="166"/>
      <c r="AU6" s="19"/>
      <c r="AW6" s="17"/>
      <c r="AY6" s="17"/>
      <c r="BM6" s="12"/>
      <c r="BU6" s="49"/>
      <c r="BW6" s="49"/>
      <c r="BY6" s="49"/>
      <c r="CA6" s="49"/>
      <c r="CB6" s="60"/>
      <c r="CC6" s="62"/>
      <c r="CD6" s="60"/>
      <c r="CE6" s="63"/>
      <c r="CG6" s="44"/>
      <c r="CH6" s="60"/>
    </row>
    <row r="7" spans="1:86">
      <c r="A7" s="13"/>
      <c r="B7" s="2"/>
      <c r="C7" s="58"/>
      <c r="D7" s="2"/>
      <c r="E7" s="59"/>
      <c r="F7" s="2"/>
      <c r="G7" s="2"/>
      <c r="H7" s="2"/>
      <c r="I7" s="81"/>
      <c r="J7" s="81"/>
      <c r="K7" s="81"/>
      <c r="L7" s="81"/>
      <c r="M7" s="81"/>
      <c r="N7" s="2"/>
      <c r="O7" s="2"/>
      <c r="P7" s="2"/>
      <c r="Q7" s="59"/>
      <c r="R7" s="2"/>
      <c r="S7" s="2"/>
      <c r="T7" s="2"/>
      <c r="U7" s="2"/>
      <c r="V7" s="2"/>
      <c r="W7" s="81"/>
      <c r="X7" s="81"/>
      <c r="Y7" s="81"/>
      <c r="Z7" s="81"/>
      <c r="AA7" s="81"/>
      <c r="AB7" s="2"/>
      <c r="AC7" s="166"/>
      <c r="AU7" s="19"/>
      <c r="AW7" s="17"/>
      <c r="AY7" s="17"/>
      <c r="BM7" s="12"/>
      <c r="CA7" s="33"/>
      <c r="CB7" s="60"/>
      <c r="CC7" s="60"/>
      <c r="CD7" s="60"/>
      <c r="CE7" s="60"/>
      <c r="CG7" s="44"/>
      <c r="CH7" s="60"/>
    </row>
    <row r="8" spans="1:86">
      <c r="A8" s="13"/>
      <c r="C8" s="58" t="s">
        <v>52</v>
      </c>
      <c r="D8" s="2"/>
      <c r="E8" s="59"/>
      <c r="F8" s="2"/>
      <c r="G8" s="2"/>
      <c r="H8" s="2"/>
      <c r="I8" s="81"/>
      <c r="J8" s="81"/>
      <c r="K8" s="81"/>
      <c r="L8" s="81"/>
      <c r="M8" s="81"/>
      <c r="N8" s="2"/>
      <c r="O8" s="2"/>
      <c r="Q8" s="59" t="s">
        <v>53</v>
      </c>
      <c r="R8" s="2"/>
      <c r="S8" s="2"/>
      <c r="T8" s="2"/>
      <c r="U8" s="2"/>
      <c r="V8" s="2"/>
      <c r="W8" s="81"/>
      <c r="X8" s="81"/>
      <c r="Y8" s="81"/>
      <c r="Z8" s="81"/>
      <c r="AA8" s="81"/>
      <c r="AB8" s="2"/>
      <c r="AC8" s="166"/>
      <c r="AU8" s="19"/>
      <c r="AW8" s="17"/>
      <c r="AY8" s="17"/>
      <c r="BM8" s="12"/>
      <c r="BS8" s="30"/>
      <c r="CA8" s="33"/>
      <c r="CB8" s="60"/>
      <c r="CC8" s="60"/>
      <c r="CD8" s="60"/>
      <c r="CE8" s="60"/>
      <c r="CG8" s="44"/>
      <c r="CH8" s="60"/>
    </row>
    <row r="9" spans="1:86">
      <c r="A9" s="13"/>
      <c r="C9" s="14"/>
      <c r="E9" s="18"/>
      <c r="Q9" s="18"/>
      <c r="AU9" s="19"/>
      <c r="AW9" s="17"/>
      <c r="AY9" s="17"/>
      <c r="BM9" s="12"/>
      <c r="BS9" s="30"/>
      <c r="BU9" s="35"/>
      <c r="BW9" s="35"/>
      <c r="BX9" s="35"/>
      <c r="BY9" s="35"/>
      <c r="BZ9" s="35"/>
      <c r="CA9" s="35"/>
      <c r="CB9" s="61"/>
      <c r="CC9" s="61"/>
      <c r="CD9" s="60"/>
      <c r="CE9" s="61"/>
      <c r="CG9" s="44"/>
      <c r="CH9" s="60"/>
    </row>
    <row r="10" spans="1:86">
      <c r="A10" s="13"/>
      <c r="C10" s="65"/>
      <c r="E10" s="22" t="s">
        <v>12</v>
      </c>
      <c r="G10" s="32"/>
      <c r="K10" s="5" t="s">
        <v>54</v>
      </c>
      <c r="L10" s="5"/>
      <c r="M10" s="5" t="s">
        <v>55</v>
      </c>
      <c r="O10" s="1" t="s">
        <v>13</v>
      </c>
      <c r="Q10" s="22"/>
      <c r="S10" s="1" t="s">
        <v>12</v>
      </c>
      <c r="U10" s="32"/>
      <c r="Y10" s="5" t="s">
        <v>54</v>
      </c>
      <c r="Z10" s="5"/>
      <c r="AA10" s="5" t="s">
        <v>55</v>
      </c>
      <c r="AC10" s="7" t="s">
        <v>13</v>
      </c>
      <c r="AE10" s="1"/>
      <c r="AG10" s="1"/>
      <c r="AU10" s="19"/>
      <c r="AW10" s="17"/>
      <c r="AY10" s="17"/>
      <c r="BM10" s="12"/>
      <c r="BS10" s="30"/>
      <c r="BU10" s="35"/>
      <c r="BW10" s="35"/>
      <c r="BX10" s="35"/>
      <c r="BY10" s="35"/>
      <c r="BZ10" s="35"/>
      <c r="CA10" s="35"/>
      <c r="CB10" s="61"/>
      <c r="CC10" s="61"/>
      <c r="CD10" s="60"/>
      <c r="CE10" s="61"/>
      <c r="CG10" s="44"/>
      <c r="CH10" s="60"/>
    </row>
    <row r="11" spans="1:86">
      <c r="A11" s="13"/>
      <c r="C11" s="80" t="s">
        <v>0</v>
      </c>
      <c r="E11" s="51" t="s">
        <v>14</v>
      </c>
      <c r="G11" s="8" t="s">
        <v>15</v>
      </c>
      <c r="I11" s="9" t="s">
        <v>56</v>
      </c>
      <c r="J11" s="5"/>
      <c r="K11" s="9" t="s">
        <v>57</v>
      </c>
      <c r="L11" s="5"/>
      <c r="M11" s="9" t="s">
        <v>58</v>
      </c>
      <c r="O11" s="8" t="s">
        <v>16</v>
      </c>
      <c r="Q11" s="51" t="s">
        <v>0</v>
      </c>
      <c r="S11" s="8" t="s">
        <v>14</v>
      </c>
      <c r="U11" s="8" t="s">
        <v>15</v>
      </c>
      <c r="W11" s="9" t="s">
        <v>56</v>
      </c>
      <c r="X11" s="5"/>
      <c r="Y11" s="9" t="s">
        <v>57</v>
      </c>
      <c r="Z11" s="5"/>
      <c r="AA11" s="9" t="s">
        <v>58</v>
      </c>
      <c r="AC11" s="168" t="s">
        <v>16</v>
      </c>
      <c r="AU11" s="19"/>
      <c r="AW11" s="17"/>
      <c r="AY11" s="17"/>
      <c r="BM11" s="12"/>
      <c r="BS11" s="30"/>
      <c r="BU11" s="35"/>
      <c r="BW11" s="35"/>
      <c r="BX11" s="35"/>
      <c r="BY11" s="35"/>
      <c r="BZ11" s="35"/>
      <c r="CA11" s="35"/>
      <c r="CB11" s="61"/>
      <c r="CC11" s="61"/>
      <c r="CD11" s="60"/>
      <c r="CE11" s="61"/>
      <c r="CG11" s="44"/>
      <c r="CH11" s="60"/>
    </row>
    <row r="12" spans="1:86">
      <c r="A12" s="13"/>
      <c r="C12" s="50"/>
      <c r="E12" s="26"/>
      <c r="G12" s="25"/>
      <c r="I12" s="82"/>
      <c r="J12" s="82"/>
      <c r="K12" s="82"/>
      <c r="L12" s="82"/>
      <c r="M12" s="82"/>
      <c r="O12" s="25"/>
      <c r="Q12" s="26"/>
      <c r="S12" s="25"/>
      <c r="U12" s="25"/>
      <c r="W12" s="82"/>
      <c r="X12" s="82"/>
      <c r="Y12" s="82"/>
      <c r="Z12" s="82"/>
      <c r="AA12" s="82"/>
      <c r="AC12" s="155"/>
      <c r="AU12" s="19"/>
      <c r="AW12" s="17"/>
      <c r="AY12" s="17"/>
      <c r="BM12" s="12"/>
      <c r="BS12" s="30"/>
      <c r="BU12" s="35"/>
      <c r="BW12" s="35"/>
      <c r="BX12" s="35"/>
      <c r="BY12" s="35"/>
      <c r="BZ12" s="35"/>
      <c r="CA12" s="35"/>
      <c r="CB12" s="61"/>
      <c r="CC12" s="61"/>
      <c r="CD12" s="60"/>
      <c r="CE12" s="61"/>
      <c r="CG12" s="44"/>
      <c r="CH12" s="60"/>
    </row>
    <row r="13" spans="1:86">
      <c r="A13" s="13"/>
      <c r="C13" s="28"/>
      <c r="E13" s="15"/>
      <c r="G13" s="32"/>
      <c r="I13" s="83"/>
      <c r="J13" s="83"/>
      <c r="K13" s="83"/>
      <c r="L13" s="83"/>
      <c r="O13" s="34"/>
      <c r="Q13" s="18"/>
      <c r="U13" s="32"/>
      <c r="AU13" s="19"/>
      <c r="AW13" s="17"/>
      <c r="AY13" s="17"/>
      <c r="BM13" s="12"/>
      <c r="BO13" s="30"/>
      <c r="BS13" s="30"/>
      <c r="BU13" s="35"/>
      <c r="BW13" s="35"/>
      <c r="BX13" s="35"/>
      <c r="BY13" s="35"/>
      <c r="BZ13" s="35"/>
      <c r="CA13" s="35"/>
      <c r="CB13" s="61"/>
      <c r="CC13" s="61"/>
      <c r="CD13" s="60"/>
      <c r="CE13" s="61"/>
      <c r="CG13" s="44"/>
      <c r="CH13" s="60"/>
    </row>
    <row r="14" spans="1:86">
      <c r="A14" s="27" t="s">
        <v>59</v>
      </c>
      <c r="C14" s="28"/>
      <c r="E14" s="15"/>
      <c r="Q14" s="18"/>
      <c r="AU14" s="19"/>
      <c r="AW14" s="17"/>
      <c r="AY14" s="17"/>
      <c r="BM14" s="12"/>
      <c r="BO14" s="30"/>
      <c r="BS14" s="30"/>
      <c r="BU14" s="27" t="s">
        <v>59</v>
      </c>
      <c r="BW14" s="35"/>
      <c r="BX14" s="35"/>
      <c r="BY14" s="35"/>
      <c r="BZ14" s="35"/>
      <c r="CA14" s="35"/>
      <c r="CB14" s="61"/>
      <c r="CC14" s="61"/>
      <c r="CD14" s="60"/>
      <c r="CE14" s="61"/>
      <c r="CG14" s="44"/>
      <c r="CH14" s="60"/>
    </row>
    <row r="15" spans="1:86">
      <c r="A15" s="27" t="s">
        <v>60</v>
      </c>
      <c r="C15" s="28">
        <f>+SLS_COS!AR17</f>
        <v>994797</v>
      </c>
      <c r="E15" s="15">
        <f>+SLS_COS!AT17</f>
        <v>32972</v>
      </c>
      <c r="G15" s="32">
        <f>ROUND(I15/C15,4)</f>
        <v>2.3454999999999999</v>
      </c>
      <c r="I15" s="83">
        <f>+SLS_COS!AX17</f>
        <v>2333320.13</v>
      </c>
      <c r="J15" s="83"/>
      <c r="K15" s="83">
        <v>0</v>
      </c>
      <c r="L15" s="83"/>
      <c r="M15" s="4">
        <f>+I15</f>
        <v>2333320.13</v>
      </c>
      <c r="O15" s="34">
        <f>+I15/1000</f>
        <v>2333.3201300000001</v>
      </c>
      <c r="Q15" s="15">
        <f>+BV15+C15</f>
        <v>10345849</v>
      </c>
      <c r="S15" s="35">
        <f>ROUND(Q15/SLS_COS!$AZ$3,0)</f>
        <v>28345</v>
      </c>
      <c r="U15" s="32">
        <f>ROUND(W15/Q15,4)</f>
        <v>3.4992000000000001</v>
      </c>
      <c r="W15" s="83">
        <f>+CB15+I15</f>
        <v>36202543.080000006</v>
      </c>
      <c r="X15" s="83"/>
      <c r="Y15" s="83">
        <v>0</v>
      </c>
      <c r="Z15" s="83"/>
      <c r="AA15" s="83">
        <f>+CF15+M15</f>
        <v>36202543.080000006</v>
      </c>
      <c r="AC15" s="140">
        <f>ROUND(AA15/1000,0)</f>
        <v>36203</v>
      </c>
      <c r="AE15" s="35"/>
      <c r="AF15" s="35"/>
      <c r="AG15" s="35"/>
      <c r="AH15" s="35"/>
      <c r="AU15" s="19"/>
      <c r="AW15" s="17"/>
      <c r="AY15" s="17"/>
      <c r="BM15" s="12"/>
      <c r="BO15" s="30"/>
      <c r="BS15" s="30"/>
      <c r="BU15" s="27" t="s">
        <v>60</v>
      </c>
      <c r="BV15" s="35">
        <v>9351052</v>
      </c>
      <c r="BX15" s="35">
        <v>27997</v>
      </c>
      <c r="BZ15" s="35">
        <v>3.6221000000000001</v>
      </c>
      <c r="CB15" s="35">
        <f>33870431.07-1208.12</f>
        <v>33869222.950000003</v>
      </c>
      <c r="CC15" s="60"/>
      <c r="CD15" s="35">
        <v>0</v>
      </c>
      <c r="CE15" s="61"/>
      <c r="CF15" s="35">
        <f>33870431.07-1208.12</f>
        <v>33869222.950000003</v>
      </c>
      <c r="CG15" s="44"/>
      <c r="CH15" s="35">
        <v>31683</v>
      </c>
    </row>
    <row r="16" spans="1:86">
      <c r="A16" s="27" t="s">
        <v>61</v>
      </c>
      <c r="C16" s="28">
        <f>+SLS_COS!AR35</f>
        <v>994797</v>
      </c>
      <c r="E16" s="15">
        <f>+SLS_COS!AT35</f>
        <v>31535</v>
      </c>
      <c r="G16" s="32">
        <f>ROUND(I16/C16,4)</f>
        <v>0</v>
      </c>
      <c r="I16" s="83">
        <f>+SLS_COS!AX35</f>
        <v>0</v>
      </c>
      <c r="J16" s="83"/>
      <c r="K16" s="83">
        <v>0</v>
      </c>
      <c r="L16" s="83"/>
      <c r="M16" s="4">
        <f>+I16</f>
        <v>0</v>
      </c>
      <c r="O16" s="34">
        <f>+I16/1000</f>
        <v>0</v>
      </c>
      <c r="Q16" s="15">
        <f>+BV16+C16</f>
        <v>7412754</v>
      </c>
      <c r="S16" s="35">
        <f>ROUND(Q16/SLS_COS!$AZ$3,0)</f>
        <v>20309</v>
      </c>
      <c r="U16" s="32">
        <f>ROUND(W16/Q16,4)</f>
        <v>0</v>
      </c>
      <c r="W16" s="83">
        <f>+CB16+I16</f>
        <v>0</v>
      </c>
      <c r="X16" s="83"/>
      <c r="Y16" s="83">
        <v>0</v>
      </c>
      <c r="Z16" s="83"/>
      <c r="AA16" s="83">
        <f>+CF16+M16</f>
        <v>0</v>
      </c>
      <c r="AC16" s="140">
        <f>ROUND(AA16/1000,0)</f>
        <v>0</v>
      </c>
      <c r="AE16" s="35"/>
      <c r="AF16" s="35"/>
      <c r="AG16" s="35"/>
      <c r="AH16" s="35"/>
      <c r="AU16" s="19"/>
      <c r="AW16" s="17"/>
      <c r="AY16" s="17"/>
      <c r="BM16" s="12"/>
      <c r="BS16" s="30"/>
      <c r="BU16" s="27" t="s">
        <v>61</v>
      </c>
      <c r="BV16" s="35">
        <v>6417957</v>
      </c>
      <c r="BX16" s="35">
        <v>19215</v>
      </c>
      <c r="BZ16" s="35">
        <v>0</v>
      </c>
      <c r="CB16" s="35">
        <v>0</v>
      </c>
      <c r="CC16" s="60"/>
      <c r="CD16" s="35">
        <v>0</v>
      </c>
      <c r="CE16" s="61"/>
      <c r="CF16" s="35">
        <v>0</v>
      </c>
      <c r="CG16" s="44"/>
      <c r="CH16" s="35">
        <v>0</v>
      </c>
    </row>
    <row r="17" spans="1:126">
      <c r="A17" s="13"/>
      <c r="C17" s="23"/>
      <c r="E17" s="24"/>
      <c r="G17" s="66"/>
      <c r="I17" s="82"/>
      <c r="J17" s="82"/>
      <c r="K17" s="82"/>
      <c r="L17" s="82"/>
      <c r="M17" s="82"/>
      <c r="O17" s="25"/>
      <c r="Q17" s="24"/>
      <c r="S17" s="49"/>
      <c r="U17" s="66"/>
      <c r="W17" s="91"/>
      <c r="X17" s="91"/>
      <c r="Y17" s="91"/>
      <c r="Z17" s="91"/>
      <c r="AA17" s="91"/>
      <c r="AC17" s="155"/>
      <c r="AE17" s="35"/>
      <c r="AF17" s="35"/>
      <c r="AG17" s="35"/>
      <c r="AH17" s="35"/>
      <c r="AU17" s="19"/>
      <c r="AW17" s="17"/>
      <c r="AY17" s="17"/>
      <c r="BM17" s="12"/>
      <c r="BO17" s="30"/>
      <c r="BS17" s="30"/>
      <c r="BU17" s="13"/>
      <c r="BV17" s="49"/>
      <c r="BX17" s="49"/>
      <c r="BZ17" s="49"/>
      <c r="CB17" s="49"/>
      <c r="CC17" s="60"/>
      <c r="CD17" s="49"/>
      <c r="CE17" s="61"/>
      <c r="CF17" s="49"/>
      <c r="CG17" s="44"/>
      <c r="CH17" s="49"/>
    </row>
    <row r="18" spans="1:126">
      <c r="A18" s="27" t="s">
        <v>62</v>
      </c>
      <c r="C18" s="52">
        <f>C15-C16</f>
        <v>0</v>
      </c>
      <c r="E18" s="53">
        <f>E15-E16</f>
        <v>1437</v>
      </c>
      <c r="G18" s="56">
        <f>G15-G16</f>
        <v>2.3454999999999999</v>
      </c>
      <c r="I18" s="84">
        <f>I15-I16</f>
        <v>2333320.13</v>
      </c>
      <c r="J18" s="83"/>
      <c r="K18" s="84"/>
      <c r="L18" s="83"/>
      <c r="M18" s="84">
        <f>M15-M16</f>
        <v>2333320.13</v>
      </c>
      <c r="O18" s="54">
        <f>O15-O16</f>
        <v>2333.3201300000001</v>
      </c>
      <c r="Q18" s="53">
        <f>Q15-Q16</f>
        <v>2933095</v>
      </c>
      <c r="S18" s="55">
        <f>S15-S16</f>
        <v>8036</v>
      </c>
      <c r="U18" s="56">
        <f>U15-U16</f>
        <v>3.4992000000000001</v>
      </c>
      <c r="W18" s="84">
        <f>W15-W16</f>
        <v>36202543.080000006</v>
      </c>
      <c r="X18" s="83"/>
      <c r="Y18" s="84"/>
      <c r="Z18" s="83"/>
      <c r="AA18" s="84">
        <f>AA15-AA16</f>
        <v>36202543.080000006</v>
      </c>
      <c r="AC18" s="157">
        <f>AC15-AC16</f>
        <v>36203</v>
      </c>
      <c r="AE18" s="35"/>
      <c r="AF18" s="35"/>
      <c r="AG18" s="35"/>
      <c r="AH18" s="35"/>
      <c r="AU18" s="19"/>
      <c r="AW18" s="17"/>
      <c r="AY18" s="17"/>
      <c r="BM18" s="12"/>
      <c r="BS18" s="30"/>
      <c r="BU18" s="27" t="s">
        <v>62</v>
      </c>
      <c r="BV18" s="35">
        <v>2933095</v>
      </c>
      <c r="BX18" s="35">
        <v>8782</v>
      </c>
      <c r="BZ18" s="35">
        <v>3.6221000000000001</v>
      </c>
      <c r="CB18" s="35">
        <f>+CB15-CB16</f>
        <v>33869222.950000003</v>
      </c>
      <c r="CC18" s="60"/>
      <c r="CD18" s="35"/>
      <c r="CE18" s="61"/>
      <c r="CF18" s="35">
        <f>+CF15-CF16</f>
        <v>33869222.950000003</v>
      </c>
      <c r="CG18" s="44"/>
      <c r="CH18" s="35">
        <v>31683</v>
      </c>
    </row>
    <row r="19" spans="1:126">
      <c r="A19" s="13"/>
      <c r="C19" s="23"/>
      <c r="E19" s="24"/>
      <c r="G19" s="66"/>
      <c r="I19" s="82"/>
      <c r="J19" s="82"/>
      <c r="K19" s="82"/>
      <c r="L19" s="82"/>
      <c r="M19" s="82"/>
      <c r="O19" s="25"/>
      <c r="Q19" s="24"/>
      <c r="S19" s="49"/>
      <c r="U19" s="66"/>
      <c r="W19" s="91"/>
      <c r="X19" s="91"/>
      <c r="Y19" s="91"/>
      <c r="Z19" s="91"/>
      <c r="AA19" s="91"/>
      <c r="AC19" s="155"/>
      <c r="AE19" s="35"/>
      <c r="AF19" s="35"/>
      <c r="AG19" s="35"/>
      <c r="AH19" s="35"/>
      <c r="AU19" s="19"/>
      <c r="AW19" s="17"/>
      <c r="AY19" s="17"/>
      <c r="BM19" s="12"/>
      <c r="BS19" s="30"/>
      <c r="BU19" s="13"/>
      <c r="BV19" s="49"/>
      <c r="BX19" s="49"/>
      <c r="BZ19" s="49"/>
      <c r="CB19" s="49"/>
      <c r="CC19" s="60"/>
      <c r="CD19" s="49"/>
      <c r="CE19" s="61"/>
      <c r="CF19" s="49"/>
      <c r="CG19" s="44"/>
      <c r="CH19" s="49"/>
    </row>
    <row r="20" spans="1:126">
      <c r="A20" s="13"/>
      <c r="C20" s="14"/>
      <c r="E20" s="18"/>
      <c r="G20" s="32"/>
      <c r="Q20" s="18"/>
      <c r="U20" s="32"/>
      <c r="W20" s="83"/>
      <c r="X20" s="83"/>
      <c r="Y20" s="83"/>
      <c r="Z20" s="83"/>
      <c r="AA20" s="83"/>
      <c r="AE20" s="35"/>
      <c r="AF20" s="35"/>
      <c r="AG20" s="35"/>
      <c r="AH20" s="35"/>
      <c r="AU20" s="19"/>
      <c r="AW20" s="17"/>
      <c r="AY20" s="17"/>
      <c r="BM20" s="12"/>
      <c r="BO20" s="30"/>
      <c r="BS20" s="30"/>
      <c r="BU20" s="13"/>
      <c r="BW20" s="35"/>
      <c r="BY20" s="35"/>
      <c r="CA20" s="35"/>
      <c r="CC20" s="61"/>
      <c r="CE20" s="61"/>
      <c r="CF20"/>
      <c r="CG20" s="44"/>
    </row>
    <row r="21" spans="1:126">
      <c r="A21" s="27" t="s">
        <v>63</v>
      </c>
      <c r="C21" s="28"/>
      <c r="E21" s="15"/>
      <c r="G21" s="32"/>
      <c r="I21" s="83"/>
      <c r="J21" s="83"/>
      <c r="K21" s="83"/>
      <c r="L21" s="83"/>
      <c r="O21" s="34"/>
      <c r="Q21" s="18"/>
      <c r="U21" s="32"/>
      <c r="W21" s="83"/>
      <c r="X21" s="83"/>
      <c r="Y21" s="83"/>
      <c r="Z21" s="83"/>
      <c r="AA21" s="83"/>
      <c r="AE21" s="35"/>
      <c r="AF21" s="35"/>
      <c r="AG21" s="35"/>
      <c r="AH21" s="35"/>
      <c r="AU21" s="19"/>
      <c r="AW21" s="17"/>
      <c r="AY21" s="17"/>
      <c r="BM21" s="12"/>
      <c r="BO21" s="30"/>
      <c r="BS21" s="30"/>
      <c r="BU21" s="27" t="s">
        <v>63</v>
      </c>
      <c r="BW21" s="35"/>
      <c r="BY21" s="35"/>
      <c r="CA21" s="35"/>
      <c r="CC21" s="61"/>
      <c r="CE21" s="61"/>
      <c r="CF21"/>
      <c r="CG21" s="44"/>
    </row>
    <row r="22" spans="1:126">
      <c r="A22" s="31" t="str">
        <f>+TSPT_COT!A12</f>
        <v xml:space="preserve"> </v>
      </c>
      <c r="C22" s="28"/>
      <c r="E22" s="15"/>
      <c r="G22" s="32"/>
      <c r="I22" s="83"/>
      <c r="J22" s="83"/>
      <c r="K22" s="83"/>
      <c r="L22" s="83"/>
      <c r="O22" s="34"/>
      <c r="Q22" s="18"/>
      <c r="U22" s="32"/>
      <c r="W22" s="83"/>
      <c r="X22" s="83"/>
      <c r="Y22" s="83"/>
      <c r="Z22" s="83"/>
      <c r="AA22" s="83"/>
      <c r="AE22" s="35"/>
      <c r="AF22" s="35"/>
      <c r="AG22" s="35"/>
      <c r="AH22" s="35"/>
      <c r="AU22" s="19"/>
      <c r="AW22" s="17"/>
      <c r="AY22" s="17"/>
      <c r="BM22" s="12"/>
      <c r="BO22" s="30"/>
      <c r="BS22" s="30"/>
      <c r="BU22" s="27" t="s">
        <v>64</v>
      </c>
      <c r="BW22" s="35"/>
      <c r="BY22" s="35"/>
      <c r="CA22" s="35"/>
      <c r="CC22" s="61"/>
      <c r="CE22" s="61"/>
      <c r="CF22"/>
      <c r="CG22" s="44"/>
    </row>
    <row r="23" spans="1:126">
      <c r="A23" s="27" t="str">
        <f>+TSPT_COT!A13</f>
        <v xml:space="preserve">   Demand</v>
      </c>
      <c r="C23" s="28">
        <f>TSPT_COT!AS13</f>
        <v>8215000</v>
      </c>
      <c r="E23" s="15">
        <f>TSPT_COT!AU13</f>
        <v>265000</v>
      </c>
      <c r="G23" s="32">
        <f t="shared" ref="G23:G28" si="0">IF(I23=0,0,I23/C23)</f>
        <v>0.26279622763237975</v>
      </c>
      <c r="I23" s="130">
        <f>TSPT_COT!AY13</f>
        <v>2158871.0099999998</v>
      </c>
      <c r="J23" s="83"/>
      <c r="K23" s="130">
        <f>TSPT_COT!BA13</f>
        <v>63100.5</v>
      </c>
      <c r="L23" s="83"/>
      <c r="M23" s="130">
        <f>TSPT_COT!BC13</f>
        <v>2221971.5099999998</v>
      </c>
      <c r="O23" s="34">
        <f>TSPT_COT!BE13</f>
        <v>2222</v>
      </c>
      <c r="Q23" s="18">
        <f>+C23+BV23</f>
        <v>95175000</v>
      </c>
      <c r="S23" s="35">
        <f>ROUND(Q23/SLS_COS!$AZ$3,0)</f>
        <v>260753</v>
      </c>
      <c r="U23" s="32">
        <f t="shared" ref="U23:U28" si="1">IF(W23=0,0,W23/Q23)</f>
        <v>0.24996623125820858</v>
      </c>
      <c r="W23" s="83">
        <f>+I23+CB23</f>
        <v>23790536.060000002</v>
      </c>
      <c r="X23" s="83"/>
      <c r="Y23" s="83">
        <f>+K23+CD23</f>
        <v>5091955.08</v>
      </c>
      <c r="Z23" s="83"/>
      <c r="AA23" s="83">
        <f>+M23+CF23</f>
        <v>28882491.140000001</v>
      </c>
      <c r="AC23" s="140">
        <f>ROUND(AA23/1000,0)</f>
        <v>28882</v>
      </c>
      <c r="AE23" s="35"/>
      <c r="AF23" s="35"/>
      <c r="AG23" s="35"/>
      <c r="AH23" s="35"/>
      <c r="AU23" s="19"/>
      <c r="AW23" s="17"/>
      <c r="AY23" s="17"/>
      <c r="BM23" s="12"/>
      <c r="BO23" s="30"/>
      <c r="BS23" s="30"/>
      <c r="BU23" s="27" t="s">
        <v>65</v>
      </c>
      <c r="BV23">
        <v>86960000</v>
      </c>
      <c r="BW23" s="35"/>
      <c r="BX23">
        <v>272934</v>
      </c>
      <c r="BY23" s="35"/>
      <c r="BZ23">
        <v>0.23728067716103554</v>
      </c>
      <c r="CA23" s="35"/>
      <c r="CB23">
        <f>21630506.53+1158.52</f>
        <v>21631665.050000001</v>
      </c>
      <c r="CC23" s="61"/>
      <c r="CD23">
        <v>5028854.58</v>
      </c>
      <c r="CE23" s="61"/>
      <c r="CF23">
        <f>26659361.11+1158.52</f>
        <v>26660519.629999999</v>
      </c>
      <c r="CG23" s="44"/>
      <c r="CH23">
        <v>24552</v>
      </c>
    </row>
    <row r="24" spans="1:126">
      <c r="A24" s="27" t="str">
        <f>+TSPT_COT!A14</f>
        <v xml:space="preserve">   FT-Thoreau</v>
      </c>
      <c r="C24" s="28">
        <f>TSPT_COT!AS14</f>
        <v>13864544</v>
      </c>
      <c r="E24" s="15">
        <f>TSPT_COT!AU14</f>
        <v>447243</v>
      </c>
      <c r="G24" s="32">
        <f t="shared" si="0"/>
        <v>1.9829012046844095E-2</v>
      </c>
      <c r="I24" s="130">
        <f>TSPT_COT!AY14</f>
        <v>274920.21000000002</v>
      </c>
      <c r="J24" s="83"/>
      <c r="K24" s="130">
        <f>TSPT_COT!BA14</f>
        <v>121851.68</v>
      </c>
      <c r="L24" s="83"/>
      <c r="M24" s="130">
        <f>TSPT_COT!BC14</f>
        <v>396771.89</v>
      </c>
      <c r="O24" s="34">
        <f>TSPT_COT!BE14</f>
        <v>397</v>
      </c>
      <c r="Q24" s="18">
        <f>+C24+BV24</f>
        <v>131956524</v>
      </c>
      <c r="S24" s="35">
        <f>ROUND(Q24/SLS_COS!$AZ$3,0)</f>
        <v>361525</v>
      </c>
      <c r="U24" s="32">
        <f t="shared" si="1"/>
        <v>1.9441355245156354E-2</v>
      </c>
      <c r="W24" s="83">
        <f t="shared" ref="W24:W34" si="2">+I24+CB24</f>
        <v>2565413.66</v>
      </c>
      <c r="X24" s="83"/>
      <c r="Y24" s="83">
        <f>+K24+CD24</f>
        <v>1145119.3</v>
      </c>
      <c r="Z24" s="83"/>
      <c r="AA24" s="83">
        <f>+M24+CF24</f>
        <v>3710532.96</v>
      </c>
      <c r="AC24" s="140">
        <f>ROUND(AA24/1000,0)</f>
        <v>3711</v>
      </c>
      <c r="AE24" s="35"/>
      <c r="AF24" s="35"/>
      <c r="AG24" s="35"/>
      <c r="AH24" s="35"/>
      <c r="AU24" s="19"/>
      <c r="AW24" s="17"/>
      <c r="AY24" s="17"/>
      <c r="BM24" s="12"/>
      <c r="BO24" s="30"/>
      <c r="BS24" s="30"/>
      <c r="BU24" s="27" t="s">
        <v>66</v>
      </c>
      <c r="BV24">
        <f>118092980-1000</f>
        <v>118091980</v>
      </c>
      <c r="BW24" s="35"/>
      <c r="BX24">
        <f>340997-1000</f>
        <v>339997</v>
      </c>
      <c r="BY24" s="35"/>
      <c r="BZ24">
        <v>2.0110927381125687E-2</v>
      </c>
      <c r="CA24" s="35"/>
      <c r="CB24">
        <v>2290493.4500000002</v>
      </c>
      <c r="CC24" s="61"/>
      <c r="CD24">
        <v>1023267.62</v>
      </c>
      <c r="CE24" s="61"/>
      <c r="CF24">
        <v>3313761.07</v>
      </c>
      <c r="CG24" s="44"/>
      <c r="CH24">
        <v>2949</v>
      </c>
    </row>
    <row r="25" spans="1:126">
      <c r="A25" s="27" t="str">
        <f>+TSPT_COT!A15</f>
        <v xml:space="preserve">   FR-Thoreau</v>
      </c>
      <c r="C25" s="28">
        <f>TSPT_COT!AS15</f>
        <v>0</v>
      </c>
      <c r="E25" s="15">
        <f>TSPT_COT!AU15</f>
        <v>0</v>
      </c>
      <c r="G25" s="32">
        <f t="shared" si="0"/>
        <v>0</v>
      </c>
      <c r="I25" s="130">
        <f>TSPT_COT!AY15</f>
        <v>0</v>
      </c>
      <c r="J25" s="83"/>
      <c r="K25" s="130">
        <f>TSPT_COT!BA15</f>
        <v>0</v>
      </c>
      <c r="L25" s="83"/>
      <c r="M25" s="130">
        <f>TSPT_COT!BC15</f>
        <v>0</v>
      </c>
      <c r="O25" s="34">
        <f>TSPT_COT!BE15</f>
        <v>0</v>
      </c>
      <c r="Q25" s="18">
        <f>+C25+BV25</f>
        <v>25474999</v>
      </c>
      <c r="S25" s="35">
        <f>ROUND(Q25/SLS_COS!$AZ$3,0)</f>
        <v>69795</v>
      </c>
      <c r="U25" s="32">
        <f t="shared" si="1"/>
        <v>1.7159601066127617E-2</v>
      </c>
      <c r="W25" s="83">
        <f t="shared" si="2"/>
        <v>437140.82</v>
      </c>
      <c r="X25" s="83"/>
      <c r="Y25" s="83">
        <f>+K25+CD25</f>
        <v>195039.54</v>
      </c>
      <c r="Z25" s="83"/>
      <c r="AA25" s="83">
        <f>+M25+CF25</f>
        <v>632180.36</v>
      </c>
      <c r="AC25" s="140">
        <f>ROUND(AA25/1000,0)</f>
        <v>632</v>
      </c>
      <c r="AE25" s="35"/>
      <c r="AF25" s="35"/>
      <c r="AG25" s="35"/>
      <c r="AH25" s="35"/>
      <c r="AU25" s="19"/>
      <c r="AW25" s="17"/>
      <c r="AY25" s="17"/>
      <c r="BM25" s="12"/>
      <c r="BO25" s="30"/>
      <c r="BS25" s="30"/>
      <c r="BU25" s="27" t="s">
        <v>67</v>
      </c>
      <c r="BV25">
        <v>25474999</v>
      </c>
      <c r="BW25" s="35"/>
      <c r="BX25">
        <v>76272</v>
      </c>
      <c r="BY25" s="35"/>
      <c r="BZ25">
        <v>1.7159601066127617E-2</v>
      </c>
      <c r="CA25" s="35"/>
      <c r="CB25">
        <v>437140.82</v>
      </c>
      <c r="CC25" s="61"/>
      <c r="CD25">
        <v>195039.54</v>
      </c>
      <c r="CE25" s="61"/>
      <c r="CF25">
        <v>632180.36</v>
      </c>
      <c r="CG25" s="44"/>
      <c r="CH25">
        <v>625</v>
      </c>
    </row>
    <row r="26" spans="1:126">
      <c r="A26" s="27" t="str">
        <f>+TSPT_COT!A16</f>
        <v xml:space="preserve">   LFT-Thoreau</v>
      </c>
      <c r="C26" s="28">
        <f>TSPT_COT!AS16</f>
        <v>0</v>
      </c>
      <c r="E26" s="15">
        <f>TSPT_COT!AU16</f>
        <v>0</v>
      </c>
      <c r="G26" s="32">
        <f t="shared" si="0"/>
        <v>0</v>
      </c>
      <c r="I26" s="130">
        <f>TSPT_COT!AY16</f>
        <v>0</v>
      </c>
      <c r="J26" s="83"/>
      <c r="K26" s="130">
        <f>TSPT_COT!BA16</f>
        <v>0</v>
      </c>
      <c r="L26" s="83"/>
      <c r="M26" s="130">
        <f>TSPT_COT!BC16</f>
        <v>0</v>
      </c>
      <c r="O26" s="34">
        <f>TSPT_COT!BE16</f>
        <v>0</v>
      </c>
      <c r="Q26" s="18">
        <f>+C26+BV26</f>
        <v>0</v>
      </c>
      <c r="S26" s="35">
        <f>ROUND(Q26/SLS_COS!$AZ$3,0)</f>
        <v>0</v>
      </c>
      <c r="U26" s="32">
        <f t="shared" si="1"/>
        <v>0</v>
      </c>
      <c r="W26" s="83">
        <f>+I26+CB26</f>
        <v>0</v>
      </c>
      <c r="X26" s="83"/>
      <c r="Y26" s="83">
        <f>+K26+CD26</f>
        <v>0</v>
      </c>
      <c r="Z26" s="83"/>
      <c r="AA26" s="83">
        <f>+M26+CF26</f>
        <v>0</v>
      </c>
      <c r="AC26" s="140">
        <f>ROUND(AA26/1000,0)</f>
        <v>0</v>
      </c>
      <c r="AE26" s="35"/>
      <c r="AF26" s="35"/>
      <c r="AG26" s="35"/>
      <c r="AH26" s="35"/>
      <c r="AU26" s="19"/>
      <c r="AW26" s="17"/>
      <c r="AY26" s="17"/>
      <c r="BM26" s="12"/>
      <c r="BO26" s="30"/>
      <c r="BS26" s="30"/>
      <c r="BU26" s="27"/>
      <c r="BV26">
        <v>0</v>
      </c>
      <c r="BW26" s="35"/>
      <c r="BX26">
        <v>0</v>
      </c>
      <c r="BY26" s="35"/>
      <c r="BZ26">
        <v>0</v>
      </c>
      <c r="CA26" s="35"/>
      <c r="CB26">
        <v>0</v>
      </c>
      <c r="CC26" s="61"/>
      <c r="CD26">
        <v>0</v>
      </c>
      <c r="CE26" s="61"/>
      <c r="CF26">
        <v>0</v>
      </c>
      <c r="CG26" s="44"/>
      <c r="CH26">
        <v>0</v>
      </c>
    </row>
    <row r="27" spans="1:126">
      <c r="A27" s="27" t="str">
        <f>+TSPT_COT!A17</f>
        <v xml:space="preserve">   IT-Thoreau</v>
      </c>
      <c r="C27" s="28">
        <f>TSPT_COT!AS17</f>
        <v>0</v>
      </c>
      <c r="E27" s="94">
        <f>TSPT_COT!AU17</f>
        <v>0</v>
      </c>
      <c r="G27" s="32">
        <f t="shared" si="0"/>
        <v>0</v>
      </c>
      <c r="I27" s="131">
        <f>TSPT_COT!AY17</f>
        <v>0</v>
      </c>
      <c r="J27" s="83"/>
      <c r="K27" s="131">
        <f>TSPT_COT!BA17</f>
        <v>0</v>
      </c>
      <c r="L27" s="83"/>
      <c r="M27" s="131">
        <f>TSPT_COT!BC17</f>
        <v>0</v>
      </c>
      <c r="O27" s="97">
        <f>TSPT_COT!BE17</f>
        <v>0</v>
      </c>
      <c r="Q27" s="18">
        <f>+C27+BV27</f>
        <v>63906</v>
      </c>
      <c r="S27" s="35">
        <f>ROUND(Q27/SLS_COS!$AZ$3,0)</f>
        <v>175</v>
      </c>
      <c r="U27" s="32">
        <f t="shared" si="1"/>
        <v>-6.8727506024473441E-3</v>
      </c>
      <c r="W27" s="83">
        <f t="shared" si="2"/>
        <v>-439.21</v>
      </c>
      <c r="X27" s="83"/>
      <c r="Y27" s="83">
        <f>+K27+CD27</f>
        <v>140.22</v>
      </c>
      <c r="Z27" s="83"/>
      <c r="AA27" s="83">
        <f>+M27+CF27</f>
        <v>-298.99</v>
      </c>
      <c r="AC27" s="140">
        <f>ROUND(AA27/1000,0)</f>
        <v>0</v>
      </c>
      <c r="AE27" s="35"/>
      <c r="AF27" s="35"/>
      <c r="AG27" s="35"/>
      <c r="AH27" s="35"/>
      <c r="AU27" s="19"/>
      <c r="AW27" s="17"/>
      <c r="AY27" s="17"/>
      <c r="BM27" s="12"/>
      <c r="BO27" s="30"/>
      <c r="BS27" s="30"/>
      <c r="BU27" s="27" t="s">
        <v>68</v>
      </c>
      <c r="BV27">
        <v>63906</v>
      </c>
      <c r="BW27" s="35"/>
      <c r="BX27">
        <v>191</v>
      </c>
      <c r="BY27" s="35"/>
      <c r="BZ27">
        <v>-6.8727506024473441E-3</v>
      </c>
      <c r="CA27" s="35"/>
      <c r="CB27">
        <v>-439.21</v>
      </c>
      <c r="CC27" s="61"/>
      <c r="CD27">
        <v>140.22</v>
      </c>
      <c r="CE27" s="61"/>
      <c r="CF27">
        <v>-298.99</v>
      </c>
      <c r="CG27" s="44"/>
      <c r="CH27">
        <v>0</v>
      </c>
    </row>
    <row r="28" spans="1:126" s="117" customFormat="1">
      <c r="A28" s="31" t="str">
        <f>+TSPT_COT!A18</f>
        <v xml:space="preserve">     Sub-Total</v>
      </c>
      <c r="B28" s="37"/>
      <c r="C28" s="73">
        <f>TSPT_COT!AS18</f>
        <v>13864544</v>
      </c>
      <c r="D28"/>
      <c r="E28" s="15">
        <f>TSPT_COT!AU18</f>
        <v>447243</v>
      </c>
      <c r="F28"/>
      <c r="G28" s="75">
        <f t="shared" si="0"/>
        <v>0.17554066112812652</v>
      </c>
      <c r="H28"/>
      <c r="I28" s="130">
        <f>TSPT_COT!AY18</f>
        <v>2433791.2199999997</v>
      </c>
      <c r="J28" s="83"/>
      <c r="K28" s="130">
        <f>TSPT_COT!BA18</f>
        <v>184952.18</v>
      </c>
      <c r="L28" s="83"/>
      <c r="M28" s="130">
        <f>TSPT_COT!BC18</f>
        <v>2618743.4</v>
      </c>
      <c r="N28"/>
      <c r="O28" s="34">
        <f>TSPT_COT!BE18</f>
        <v>2619</v>
      </c>
      <c r="P28" s="37"/>
      <c r="Q28" s="40">
        <f>SUM(Q24:Q27)</f>
        <v>157495429</v>
      </c>
      <c r="R28" s="37"/>
      <c r="S28" s="40">
        <f>SUM(S24:S27)</f>
        <v>431495</v>
      </c>
      <c r="T28" s="37"/>
      <c r="U28" s="75">
        <f t="shared" si="1"/>
        <v>0.17011700911015012</v>
      </c>
      <c r="V28" s="37"/>
      <c r="W28" s="85">
        <f>SUM(W23:W27)</f>
        <v>26792651.330000002</v>
      </c>
      <c r="X28" s="86"/>
      <c r="Y28" s="85">
        <f>SUM(Y23:Y27)</f>
        <v>6432254.1399999997</v>
      </c>
      <c r="Z28" s="86"/>
      <c r="AA28" s="85">
        <f>SUM(AA23:AA27)</f>
        <v>33224905.470000003</v>
      </c>
      <c r="AB28" s="37"/>
      <c r="AC28" s="133">
        <f>SUM(AC23:AC27)</f>
        <v>33225</v>
      </c>
      <c r="AD28" s="37"/>
      <c r="AE28" s="41"/>
      <c r="AF28" s="41"/>
      <c r="AG28" s="41"/>
      <c r="AH28" s="41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68"/>
      <c r="AV28" s="37"/>
      <c r="AW28" s="43"/>
      <c r="AX28" s="37"/>
      <c r="AY28" s="43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42"/>
      <c r="BN28" s="37"/>
      <c r="BO28" s="31"/>
      <c r="BP28" s="37"/>
      <c r="BQ28" s="37"/>
      <c r="BR28" s="37"/>
      <c r="BS28" s="31"/>
      <c r="BT28" s="37"/>
      <c r="BU28" s="31" t="s">
        <v>69</v>
      </c>
      <c r="BV28">
        <f>SUM(BV23:BV27)</f>
        <v>230590885</v>
      </c>
      <c r="BW28" s="41"/>
      <c r="BX28">
        <f>SUM(BX23:BX27)</f>
        <v>689394</v>
      </c>
      <c r="BY28" s="41"/>
      <c r="BZ28">
        <v>0.17469247862495726</v>
      </c>
      <c r="CA28" s="41"/>
      <c r="CB28">
        <f>SUM(CB23:CB27)</f>
        <v>24358860.109999999</v>
      </c>
      <c r="CC28" s="69"/>
      <c r="CD28">
        <v>6247301.96</v>
      </c>
      <c r="CE28" s="69"/>
      <c r="CF28">
        <f>SUM(CF23:CF27)</f>
        <v>30606162.07</v>
      </c>
      <c r="CG28" s="70"/>
      <c r="CH28">
        <v>28126</v>
      </c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</row>
    <row r="29" spans="1:126">
      <c r="A29" s="27"/>
      <c r="C29" s="28"/>
      <c r="E29" s="15"/>
      <c r="G29" s="32"/>
      <c r="I29" s="83"/>
      <c r="J29" s="83"/>
      <c r="K29" s="83"/>
      <c r="L29" s="83"/>
      <c r="O29" s="34"/>
      <c r="Q29" s="18"/>
      <c r="S29" s="35"/>
      <c r="U29" s="32"/>
      <c r="W29" s="83"/>
      <c r="X29" s="83"/>
      <c r="Y29" s="83"/>
      <c r="Z29" s="83"/>
      <c r="AA29" s="83"/>
      <c r="AC29" s="140"/>
      <c r="AE29" s="35"/>
      <c r="AF29" s="35"/>
      <c r="AG29" s="35"/>
      <c r="AH29" s="35"/>
      <c r="AU29" s="19"/>
      <c r="AW29" s="17"/>
      <c r="AY29" s="17"/>
      <c r="BM29" s="12"/>
      <c r="BO29" s="30"/>
      <c r="BS29" s="30"/>
      <c r="BU29" s="27"/>
      <c r="BW29" s="35"/>
      <c r="BY29" s="35"/>
      <c r="CA29" s="35"/>
      <c r="CC29" s="61"/>
      <c r="CE29" s="61"/>
      <c r="CF29"/>
      <c r="CG29" s="44"/>
    </row>
    <row r="30" spans="1:126">
      <c r="A30" s="27" t="str">
        <f>+TSPT_COT!A20</f>
        <v xml:space="preserve">   Demand</v>
      </c>
      <c r="C30" s="28">
        <f>TSPT_COT!AS20</f>
        <v>17345623</v>
      </c>
      <c r="E30" s="15">
        <f>TSPT_COT!AU20</f>
        <v>559536</v>
      </c>
      <c r="G30" s="32">
        <f t="shared" ref="G30:G35" si="3">IF(I30=0,0,I30/C30)</f>
        <v>0.24753675149056334</v>
      </c>
      <c r="I30" s="130">
        <f>TSPT_COT!AY20</f>
        <v>4293679.17</v>
      </c>
      <c r="J30" s="83"/>
      <c r="K30" s="130">
        <f>TSPT_COT!BA20</f>
        <v>86080.8</v>
      </c>
      <c r="L30" s="83"/>
      <c r="M30" s="130">
        <f>TSPT_COT!BC20</f>
        <v>4379759.97</v>
      </c>
      <c r="O30" s="34">
        <f>TSPT_COT!BE20</f>
        <v>4380</v>
      </c>
      <c r="Q30" s="18">
        <f>+C30+BV30</f>
        <v>212657121</v>
      </c>
      <c r="S30" s="35">
        <f>ROUND(Q30/SLS_COS!$AZ$3,0)</f>
        <v>582622</v>
      </c>
      <c r="U30" s="32">
        <f t="shared" ref="U30:U35" si="4">IF(W30=0,0,W30/Q30)</f>
        <v>0.23010513445256317</v>
      </c>
      <c r="W30" s="83">
        <f t="shared" si="2"/>
        <v>48933495.419999994</v>
      </c>
      <c r="X30" s="83"/>
      <c r="Y30" s="83">
        <f>+K30+CD30</f>
        <v>7405742.8500000006</v>
      </c>
      <c r="Z30" s="83"/>
      <c r="AA30" s="83">
        <f>+M30+CF30</f>
        <v>56339238.269999996</v>
      </c>
      <c r="AC30" s="140">
        <f>ROUND(AA30/1000,0)</f>
        <v>56339</v>
      </c>
      <c r="AE30" s="35"/>
      <c r="AF30" s="35"/>
      <c r="AG30" s="35"/>
      <c r="AH30" s="35"/>
      <c r="AU30" s="19"/>
      <c r="AW30" s="17"/>
      <c r="AY30" s="17"/>
      <c r="BM30" s="12"/>
      <c r="BO30" s="30"/>
      <c r="BS30" s="30"/>
      <c r="BU30" s="27" t="s">
        <v>65</v>
      </c>
      <c r="BV30">
        <v>195311498</v>
      </c>
      <c r="BW30" s="35"/>
      <c r="BX30">
        <v>584765</v>
      </c>
      <c r="BY30" s="35"/>
      <c r="BZ30">
        <v>0.22855703175242653</v>
      </c>
      <c r="CA30" s="35"/>
      <c r="CB30">
        <v>44639816.249999993</v>
      </c>
      <c r="CC30" s="61"/>
      <c r="CD30">
        <v>7319662.0500000007</v>
      </c>
      <c r="CE30" s="61"/>
      <c r="CF30">
        <v>51959478.299999997</v>
      </c>
      <c r="CG30" s="44"/>
      <c r="CH30">
        <v>47709</v>
      </c>
    </row>
    <row r="31" spans="1:126">
      <c r="A31" s="27" t="str">
        <f>+TSPT_COT!A21</f>
        <v xml:space="preserve">   FT-East of Thoreau</v>
      </c>
      <c r="C31" s="28">
        <f>TSPT_COT!AS21</f>
        <v>9896509</v>
      </c>
      <c r="E31" s="15">
        <f>TSPT_COT!AU21</f>
        <v>319246</v>
      </c>
      <c r="G31" s="32">
        <f t="shared" si="3"/>
        <v>2.2967633334138329E-2</v>
      </c>
      <c r="I31" s="130">
        <f>TSPT_COT!AY21</f>
        <v>227299.38999999998</v>
      </c>
      <c r="J31" s="83"/>
      <c r="K31" s="130">
        <f>TSPT_COT!BA21</f>
        <v>47792.44</v>
      </c>
      <c r="L31" s="83"/>
      <c r="M31" s="130">
        <f>TSPT_COT!BC21</f>
        <v>275091.83</v>
      </c>
      <c r="O31" s="34">
        <f>TSPT_COT!BE21</f>
        <v>275</v>
      </c>
      <c r="Q31" s="18">
        <f>+C31+BV31</f>
        <v>124530661</v>
      </c>
      <c r="S31" s="35">
        <f>ROUND(Q31/SLS_COS!$AZ$3,0)</f>
        <v>341180</v>
      </c>
      <c r="U31" s="32">
        <f t="shared" si="4"/>
        <v>2.2759202169496236E-2</v>
      </c>
      <c r="W31" s="83">
        <f t="shared" si="2"/>
        <v>2834218.49</v>
      </c>
      <c r="X31" s="83"/>
      <c r="Y31" s="83">
        <f>+K31+CD31</f>
        <v>588580.42999999993</v>
      </c>
      <c r="Z31" s="83"/>
      <c r="AA31" s="83">
        <f>+M31+CF31</f>
        <v>3422798.92</v>
      </c>
      <c r="AC31" s="140">
        <f>ROUND(AA31/1000,0)</f>
        <v>3423</v>
      </c>
      <c r="AE31" s="35"/>
      <c r="AF31" s="35"/>
      <c r="AG31" s="35"/>
      <c r="AH31" s="35"/>
      <c r="AU31" s="19"/>
      <c r="AW31" s="17"/>
      <c r="AY31" s="17"/>
      <c r="BM31" s="12"/>
      <c r="BO31" s="30"/>
      <c r="BS31" s="30"/>
      <c r="BU31" s="27" t="s">
        <v>70</v>
      </c>
      <c r="BV31">
        <v>114634152</v>
      </c>
      <c r="BW31" s="35"/>
      <c r="BX31">
        <v>343216</v>
      </c>
      <c r="BY31" s="35"/>
      <c r="BZ31">
        <v>2.2741208047668028E-2</v>
      </c>
      <c r="CA31" s="35"/>
      <c r="CB31">
        <v>2606919.1</v>
      </c>
      <c r="CC31" s="61"/>
      <c r="CD31">
        <v>540787.99</v>
      </c>
      <c r="CE31" s="61"/>
      <c r="CF31">
        <v>3147707.09</v>
      </c>
      <c r="CG31" s="44"/>
      <c r="CH31">
        <v>2941</v>
      </c>
    </row>
    <row r="32" spans="1:126">
      <c r="A32" s="27" t="str">
        <f>+TSPT_COT!A22</f>
        <v xml:space="preserve">   FR-East of Thoreau</v>
      </c>
      <c r="C32" s="28">
        <f>TSPT_COT!AS22</f>
        <v>66504</v>
      </c>
      <c r="E32" s="15">
        <f>TSPT_COT!AU22</f>
        <v>2145</v>
      </c>
      <c r="G32" s="32">
        <f t="shared" si="3"/>
        <v>2.4300042102730658E-2</v>
      </c>
      <c r="I32" s="130">
        <f>TSPT_COT!AY22</f>
        <v>1616.0499999999997</v>
      </c>
      <c r="J32" s="83"/>
      <c r="K32" s="130">
        <f>TSPT_COT!BA22</f>
        <v>605.19000000000005</v>
      </c>
      <c r="L32" s="83"/>
      <c r="M32" s="130">
        <f>TSPT_COT!BC22</f>
        <v>2221.2399999999998</v>
      </c>
      <c r="O32" s="34">
        <f>TSPT_COT!BE22</f>
        <v>2</v>
      </c>
      <c r="Q32" s="18">
        <f>+C32+BV32</f>
        <v>2224429</v>
      </c>
      <c r="S32" s="35">
        <f>ROUND(Q32/SLS_COS!$AZ$3,0)</f>
        <v>6094</v>
      </c>
      <c r="U32" s="32">
        <f t="shared" si="4"/>
        <v>2.4695789346389569E-2</v>
      </c>
      <c r="W32" s="83">
        <f t="shared" si="2"/>
        <v>54934.030000000006</v>
      </c>
      <c r="X32" s="83"/>
      <c r="Y32" s="83">
        <f>+K32+CD32</f>
        <v>18514.27</v>
      </c>
      <c r="Z32" s="83"/>
      <c r="AA32" s="83">
        <f>+M32+CF32</f>
        <v>73448.3</v>
      </c>
      <c r="AC32" s="140">
        <f>ROUND(AA32/1000,0)</f>
        <v>73</v>
      </c>
      <c r="AE32" s="35"/>
      <c r="AF32" s="35"/>
      <c r="AG32" s="35"/>
      <c r="AH32" s="35"/>
      <c r="AU32" s="19"/>
      <c r="AW32" s="17"/>
      <c r="AY32" s="17"/>
      <c r="BM32" s="12"/>
      <c r="BO32" s="30"/>
      <c r="BS32" s="30"/>
      <c r="BU32" s="27" t="s">
        <v>71</v>
      </c>
      <c r="BV32">
        <v>2157925</v>
      </c>
      <c r="BW32" s="35"/>
      <c r="BX32">
        <v>6461</v>
      </c>
      <c r="BY32" s="35"/>
      <c r="BZ32">
        <v>2.4707985680688622E-2</v>
      </c>
      <c r="CA32" s="35"/>
      <c r="CB32">
        <v>53317.98</v>
      </c>
      <c r="CC32" s="61"/>
      <c r="CD32">
        <v>17909.080000000002</v>
      </c>
      <c r="CE32" s="61"/>
      <c r="CF32">
        <v>71227.06</v>
      </c>
      <c r="CG32" s="44"/>
      <c r="CH32">
        <v>67</v>
      </c>
    </row>
    <row r="33" spans="1:126">
      <c r="A33" s="27" t="str">
        <f>+TSPT_COT!A23</f>
        <v xml:space="preserve">   LFT-East of Thoreau</v>
      </c>
      <c r="C33" s="28">
        <f>TSPT_COT!AS23</f>
        <v>0</v>
      </c>
      <c r="E33" s="15">
        <f>TSPT_COT!AU23</f>
        <v>0</v>
      </c>
      <c r="G33" s="32">
        <f t="shared" si="3"/>
        <v>0</v>
      </c>
      <c r="I33" s="130">
        <f>TSPT_COT!AY23</f>
        <v>0</v>
      </c>
      <c r="J33" s="83"/>
      <c r="K33" s="130">
        <f>TSPT_COT!BA23</f>
        <v>0</v>
      </c>
      <c r="L33" s="83"/>
      <c r="M33" s="130">
        <f>TSPT_COT!BC23</f>
        <v>0</v>
      </c>
      <c r="O33" s="34">
        <f>TSPT_COT!BE23</f>
        <v>0</v>
      </c>
      <c r="Q33" s="18">
        <f>+C33+BV33</f>
        <v>1470944</v>
      </c>
      <c r="S33" s="35">
        <f>ROUND(Q33/SLS_COS!$AZ$3,0)</f>
        <v>4030</v>
      </c>
      <c r="U33" s="32">
        <f t="shared" si="4"/>
        <v>3.0435801770835599E-2</v>
      </c>
      <c r="W33" s="83">
        <f>+I33+CB33</f>
        <v>44769.36</v>
      </c>
      <c r="X33" s="83"/>
      <c r="Y33" s="83">
        <f>+K33+CD33</f>
        <v>1712.48</v>
      </c>
      <c r="Z33" s="83"/>
      <c r="AA33" s="83">
        <f>+M33+CF33</f>
        <v>46481.84</v>
      </c>
      <c r="AC33" s="140">
        <f>ROUND(AA33/1000,0)</f>
        <v>46</v>
      </c>
      <c r="AE33" s="35"/>
      <c r="AF33" s="35"/>
      <c r="AG33" s="35"/>
      <c r="AH33" s="35"/>
      <c r="AU33" s="19"/>
      <c r="AW33" s="17"/>
      <c r="AY33" s="17"/>
      <c r="BM33" s="12"/>
      <c r="BO33" s="30"/>
      <c r="BS33" s="30"/>
      <c r="BU33" s="27"/>
      <c r="BV33">
        <v>1470944</v>
      </c>
      <c r="BW33" s="35"/>
      <c r="BX33">
        <v>4404</v>
      </c>
      <c r="BY33" s="35"/>
      <c r="BZ33">
        <v>3.0435801770835599E-2</v>
      </c>
      <c r="CA33" s="35"/>
      <c r="CB33">
        <v>44769.36</v>
      </c>
      <c r="CC33" s="61"/>
      <c r="CD33">
        <v>1712.48</v>
      </c>
      <c r="CE33" s="61"/>
      <c r="CF33">
        <v>46481.84</v>
      </c>
      <c r="CG33" s="44"/>
      <c r="CH33">
        <v>46</v>
      </c>
    </row>
    <row r="34" spans="1:126">
      <c r="A34" s="27" t="str">
        <f>+TSPT_COT!A24</f>
        <v xml:space="preserve">   IT-East of Thoreau</v>
      </c>
      <c r="C34" s="28">
        <f>TSPT_COT!AS24</f>
        <v>0</v>
      </c>
      <c r="E34" s="15">
        <f>TSPT_COT!AU24</f>
        <v>0</v>
      </c>
      <c r="G34" s="32">
        <f t="shared" si="3"/>
        <v>0</v>
      </c>
      <c r="I34" s="130">
        <f>TSPT_COT!AY24</f>
        <v>0</v>
      </c>
      <c r="J34" s="83"/>
      <c r="K34" s="130">
        <f>TSPT_COT!BA24</f>
        <v>0</v>
      </c>
      <c r="L34" s="83"/>
      <c r="M34" s="130">
        <f>TSPT_COT!BC24</f>
        <v>0</v>
      </c>
      <c r="O34" s="34">
        <f>TSPT_COT!BE24</f>
        <v>0</v>
      </c>
      <c r="Q34" s="18">
        <f>+C34+BV34</f>
        <v>2776</v>
      </c>
      <c r="S34" s="35">
        <f>ROUND(Q34/SLS_COS!$AZ$3,0)</f>
        <v>8</v>
      </c>
      <c r="U34" s="32">
        <f t="shared" si="4"/>
        <v>0.37624279538904903</v>
      </c>
      <c r="W34" s="83">
        <f t="shared" si="2"/>
        <v>1044.45</v>
      </c>
      <c r="X34" s="83"/>
      <c r="Y34" s="83">
        <f>+K34+CD34</f>
        <v>0</v>
      </c>
      <c r="Z34" s="83"/>
      <c r="AA34" s="83">
        <f>+M34+CF34</f>
        <v>1044.45</v>
      </c>
      <c r="AC34" s="140">
        <f>ROUND(AA34/1000,0)</f>
        <v>1</v>
      </c>
      <c r="AE34" s="35"/>
      <c r="AF34" s="35"/>
      <c r="AG34" s="35"/>
      <c r="AH34" s="35"/>
      <c r="AU34" s="19"/>
      <c r="AW34" s="17"/>
      <c r="AY34" s="17"/>
      <c r="BM34" s="12"/>
      <c r="BO34" s="30"/>
      <c r="BS34" s="30"/>
      <c r="BU34" s="27" t="s">
        <v>72</v>
      </c>
      <c r="BV34">
        <v>2776</v>
      </c>
      <c r="BW34" s="35"/>
      <c r="BX34">
        <v>8</v>
      </c>
      <c r="BY34" s="35"/>
      <c r="BZ34">
        <v>0.37624279538904903</v>
      </c>
      <c r="CA34" s="35"/>
      <c r="CB34">
        <v>1044.45</v>
      </c>
      <c r="CC34" s="61"/>
      <c r="CD34">
        <v>0</v>
      </c>
      <c r="CE34" s="61"/>
      <c r="CF34">
        <v>1044.45</v>
      </c>
      <c r="CG34" s="44"/>
      <c r="CH34">
        <v>1</v>
      </c>
    </row>
    <row r="35" spans="1:126" s="117" customFormat="1">
      <c r="A35" s="31" t="str">
        <f>+TSPT_COT!A25</f>
        <v xml:space="preserve">     Sub-Total</v>
      </c>
      <c r="B35" s="37"/>
      <c r="C35" s="73">
        <f>TSPT_COT!AS25</f>
        <v>9963013</v>
      </c>
      <c r="D35"/>
      <c r="E35" s="74">
        <f>TSPT_COT!AU25</f>
        <v>321391</v>
      </c>
      <c r="F35"/>
      <c r="G35" s="75">
        <f t="shared" si="3"/>
        <v>0.45393844311956627</v>
      </c>
      <c r="H35"/>
      <c r="I35" s="132">
        <f>TSPT_COT!AY25</f>
        <v>4522594.6099999994</v>
      </c>
      <c r="J35" s="83"/>
      <c r="K35" s="132">
        <f>TSPT_COT!BA25</f>
        <v>134478.43</v>
      </c>
      <c r="L35" s="83"/>
      <c r="M35" s="132">
        <f>TSPT_COT!BC25</f>
        <v>4657073.04</v>
      </c>
      <c r="N35"/>
      <c r="O35" s="76">
        <f>TSPT_COT!BE25</f>
        <v>4657</v>
      </c>
      <c r="P35" s="37"/>
      <c r="Q35" s="40">
        <f>SUM(Q31:Q34)</f>
        <v>128228810</v>
      </c>
      <c r="R35" s="37"/>
      <c r="S35" s="40">
        <f>SUM(S31:S34)</f>
        <v>351312</v>
      </c>
      <c r="T35" s="37"/>
      <c r="U35" s="75">
        <f t="shared" si="4"/>
        <v>0.40449928335137791</v>
      </c>
      <c r="V35" s="37"/>
      <c r="W35" s="85">
        <f>SUM(W30:W34)</f>
        <v>51868461.75</v>
      </c>
      <c r="X35" s="86"/>
      <c r="Y35" s="85">
        <f>SUM(Y30:Y34)</f>
        <v>8014550.0300000003</v>
      </c>
      <c r="Z35" s="86"/>
      <c r="AA35" s="85">
        <f>SUM(AA30:AA34)</f>
        <v>59883011.780000001</v>
      </c>
      <c r="AB35" s="37"/>
      <c r="AC35" s="133">
        <f>SUM(AC30:AC34)</f>
        <v>59882</v>
      </c>
      <c r="AD35" s="37"/>
      <c r="AE35" s="41"/>
      <c r="AF35" s="41"/>
      <c r="AG35" s="41"/>
      <c r="AH35" s="41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68"/>
      <c r="AV35" s="37"/>
      <c r="AW35" s="43"/>
      <c r="AX35" s="37"/>
      <c r="AY35" s="43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42"/>
      <c r="BN35" s="37"/>
      <c r="BO35" s="31"/>
      <c r="BP35" s="37"/>
      <c r="BQ35" s="37"/>
      <c r="BR35" s="37"/>
      <c r="BS35" s="31"/>
      <c r="BT35" s="37"/>
      <c r="BU35" s="31" t="s">
        <v>69</v>
      </c>
      <c r="BV35">
        <v>118265797</v>
      </c>
      <c r="BW35" s="41"/>
      <c r="BX35">
        <v>354089</v>
      </c>
      <c r="BY35" s="41"/>
      <c r="BZ35">
        <v>0.40033440217715688</v>
      </c>
      <c r="CA35" s="41"/>
      <c r="CB35">
        <v>47345867.139999993</v>
      </c>
      <c r="CC35" s="69"/>
      <c r="CD35">
        <v>7880071.6000000015</v>
      </c>
      <c r="CE35" s="69"/>
      <c r="CF35">
        <v>55225938.74000001</v>
      </c>
      <c r="CG35" s="70"/>
      <c r="CH35">
        <v>50764</v>
      </c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</row>
    <row r="36" spans="1:126">
      <c r="A36" s="27"/>
      <c r="C36" s="28"/>
      <c r="E36" s="15"/>
      <c r="G36" s="32"/>
      <c r="I36" s="83"/>
      <c r="J36" s="83"/>
      <c r="K36" s="83"/>
      <c r="L36" s="83"/>
      <c r="O36" s="34"/>
      <c r="Q36" s="18"/>
      <c r="S36" s="35"/>
      <c r="U36" s="32"/>
      <c r="W36" s="83"/>
      <c r="X36" s="83"/>
      <c r="Y36" s="83"/>
      <c r="Z36" s="83"/>
      <c r="AA36" s="83"/>
      <c r="AC36" s="140"/>
      <c r="AE36" s="35"/>
      <c r="AF36" s="35"/>
      <c r="AG36" s="35"/>
      <c r="AH36" s="35"/>
      <c r="AU36" s="19"/>
      <c r="AW36" s="17"/>
      <c r="AY36" s="17"/>
      <c r="BM36" s="12"/>
      <c r="BO36" s="30"/>
      <c r="BS36" s="30"/>
      <c r="BU36" s="27"/>
      <c r="BW36" s="35"/>
      <c r="BY36" s="35"/>
      <c r="CA36" s="35"/>
      <c r="CC36" s="61"/>
      <c r="CE36" s="61"/>
      <c r="CF36"/>
      <c r="CG36" s="44"/>
    </row>
    <row r="37" spans="1:126">
      <c r="A37" s="20" t="s">
        <v>73</v>
      </c>
      <c r="C37" s="28">
        <f>+TSPT_COT!AS27</f>
        <v>1860000</v>
      </c>
      <c r="E37" s="28">
        <f>+TSPT_COT!AU27</f>
        <v>60000</v>
      </c>
      <c r="G37" s="32">
        <f t="shared" ref="G37:G42" si="5">IF(I37=0,0,I37/C37)</f>
        <v>0.16150053763440861</v>
      </c>
      <c r="I37" s="83">
        <f>+TSPT_COT!AY27</f>
        <v>300391</v>
      </c>
      <c r="J37" s="83"/>
      <c r="K37" s="83">
        <f>+TSPT_COT!BA27</f>
        <v>0</v>
      </c>
      <c r="L37" s="83"/>
      <c r="M37" s="83">
        <f>+TSPT_COT!BC27</f>
        <v>300391</v>
      </c>
      <c r="O37" s="140">
        <f>+TSPT_COT!BE27</f>
        <v>300</v>
      </c>
      <c r="Q37" s="18">
        <f>+C37+BV37</f>
        <v>21660000</v>
      </c>
      <c r="S37" s="18">
        <f>+E37+BX37</f>
        <v>712000</v>
      </c>
      <c r="U37" s="32">
        <f t="shared" ref="U37:U42" si="6">IF(W37=0,0,W37/Q37)</f>
        <v>0.15807916112650044</v>
      </c>
      <c r="W37" s="4">
        <f>+I37+CB37</f>
        <v>3423994.63</v>
      </c>
      <c r="X37" s="83"/>
      <c r="Y37" s="4">
        <f>+K37+CD37</f>
        <v>0</v>
      </c>
      <c r="Z37" s="83"/>
      <c r="AA37" s="4">
        <f>+M37+CF37</f>
        <v>3423994.63</v>
      </c>
      <c r="AC37" s="6">
        <f>+O37+CH37</f>
        <v>3140</v>
      </c>
      <c r="AE37" s="35"/>
      <c r="AF37" s="35"/>
      <c r="AG37" s="35"/>
      <c r="AH37" s="35"/>
      <c r="AU37" s="19"/>
      <c r="AW37" s="17"/>
      <c r="AY37" s="17"/>
      <c r="BM37" s="12"/>
      <c r="BO37" s="30"/>
      <c r="BS37" s="30"/>
      <c r="BU37" s="27"/>
      <c r="BV37">
        <v>19800000</v>
      </c>
      <c r="BW37" s="35"/>
      <c r="BX37">
        <v>652000</v>
      </c>
      <c r="BY37" s="35"/>
      <c r="BZ37">
        <v>0.15775775909090908</v>
      </c>
      <c r="CA37" s="35"/>
      <c r="CB37">
        <v>3123603.63</v>
      </c>
      <c r="CC37" s="61"/>
      <c r="CD37">
        <v>0</v>
      </c>
      <c r="CE37" s="61"/>
      <c r="CF37">
        <v>3123603.63</v>
      </c>
      <c r="CG37" s="44"/>
      <c r="CH37">
        <v>2840</v>
      </c>
    </row>
    <row r="38" spans="1:126">
      <c r="A38" s="20" t="s">
        <v>74</v>
      </c>
      <c r="C38" s="28">
        <f>+TSPT_COT!AS28</f>
        <v>1859946</v>
      </c>
      <c r="E38" s="28">
        <f>+TSPT_COT!AU28</f>
        <v>59998</v>
      </c>
      <c r="G38" s="32">
        <f t="shared" si="5"/>
        <v>1.8499999462349981E-2</v>
      </c>
      <c r="I38" s="83">
        <f>+TSPT_COT!AY28</f>
        <v>34409</v>
      </c>
      <c r="J38" s="83"/>
      <c r="K38" s="83">
        <f>+TSPT_COT!BA28</f>
        <v>0</v>
      </c>
      <c r="L38" s="83"/>
      <c r="M38" s="83">
        <f>+TSPT_COT!BC28</f>
        <v>34409</v>
      </c>
      <c r="O38" s="140">
        <f>+TSPT_COT!BE28</f>
        <v>34</v>
      </c>
      <c r="Q38" s="18">
        <f>+C38+BV38</f>
        <v>20734046</v>
      </c>
      <c r="S38" s="18">
        <f>+E38+BX38</f>
        <v>681432</v>
      </c>
      <c r="U38" s="32">
        <f t="shared" si="6"/>
        <v>1.857357555780478E-2</v>
      </c>
      <c r="W38" s="4">
        <f>+I38+CB38</f>
        <v>385105.37</v>
      </c>
      <c r="X38" s="83"/>
      <c r="Y38" s="4">
        <f>+K38+CD38</f>
        <v>0</v>
      </c>
      <c r="Z38" s="83"/>
      <c r="AA38" s="4">
        <f>+M38+CF38</f>
        <v>385105.37</v>
      </c>
      <c r="AC38" s="6">
        <f>+O38+CH38</f>
        <v>352</v>
      </c>
      <c r="AE38" s="35"/>
      <c r="AF38" s="35"/>
      <c r="AG38" s="35"/>
      <c r="AH38" s="35"/>
      <c r="AU38" s="19"/>
      <c r="AW38" s="17"/>
      <c r="AY38" s="17"/>
      <c r="BM38" s="12"/>
      <c r="BO38" s="30"/>
      <c r="BS38" s="30"/>
      <c r="BU38" s="27"/>
      <c r="BV38">
        <v>18874100</v>
      </c>
      <c r="BW38" s="35"/>
      <c r="BX38">
        <v>621434</v>
      </c>
      <c r="BY38" s="35"/>
      <c r="BZ38">
        <v>1.8580826105615632E-2</v>
      </c>
      <c r="CA38" s="35"/>
      <c r="CB38">
        <v>350696.37</v>
      </c>
      <c r="CC38" s="61"/>
      <c r="CD38">
        <v>0</v>
      </c>
      <c r="CE38" s="61"/>
      <c r="CF38">
        <v>350696.37</v>
      </c>
      <c r="CG38" s="44"/>
      <c r="CH38">
        <v>318</v>
      </c>
    </row>
    <row r="39" spans="1:126">
      <c r="A39" s="20" t="s">
        <v>75</v>
      </c>
      <c r="C39" s="28">
        <f>+TSPT_COT!AS29</f>
        <v>0</v>
      </c>
      <c r="E39" s="28">
        <f>+TSPT_COT!AU29</f>
        <v>0</v>
      </c>
      <c r="G39" s="32">
        <f t="shared" si="5"/>
        <v>0</v>
      </c>
      <c r="I39" s="83">
        <f>+TSPT_COT!AY29</f>
        <v>0</v>
      </c>
      <c r="J39" s="83"/>
      <c r="K39" s="83">
        <f>+TSPT_COT!BA29</f>
        <v>0</v>
      </c>
      <c r="L39" s="83"/>
      <c r="M39" s="83">
        <f>+TSPT_COT!BC29</f>
        <v>0</v>
      </c>
      <c r="O39" s="140">
        <f>+TSPT_COT!BE29</f>
        <v>0</v>
      </c>
      <c r="Q39" s="18">
        <f>+C39+BV39</f>
        <v>0</v>
      </c>
      <c r="S39" s="18">
        <f>+E39+BX39</f>
        <v>0</v>
      </c>
      <c r="U39" s="32">
        <f t="shared" si="6"/>
        <v>0</v>
      </c>
      <c r="W39" s="4">
        <f>+I39+CB39</f>
        <v>0</v>
      </c>
      <c r="X39" s="83"/>
      <c r="Y39" s="4">
        <f>+K39+CD39</f>
        <v>0</v>
      </c>
      <c r="Z39" s="83"/>
      <c r="AA39" s="4">
        <f>+M39+CF39</f>
        <v>0</v>
      </c>
      <c r="AC39" s="6">
        <f>+O39+CH39</f>
        <v>0</v>
      </c>
      <c r="AE39" s="35"/>
      <c r="AF39" s="35"/>
      <c r="AG39" s="35"/>
      <c r="AH39" s="35"/>
      <c r="AU39" s="19"/>
      <c r="AW39" s="17"/>
      <c r="AY39" s="17"/>
      <c r="BM39" s="12"/>
      <c r="BO39" s="30"/>
      <c r="BS39" s="30"/>
      <c r="BU39" s="27"/>
      <c r="BV39">
        <v>0</v>
      </c>
      <c r="BW39" s="35"/>
      <c r="BX39">
        <v>0</v>
      </c>
      <c r="BY39" s="35"/>
      <c r="BZ39">
        <v>0</v>
      </c>
      <c r="CA39" s="35"/>
      <c r="CB39">
        <v>0</v>
      </c>
      <c r="CC39" s="61"/>
      <c r="CD39">
        <v>0</v>
      </c>
      <c r="CE39" s="61"/>
      <c r="CF39">
        <v>0</v>
      </c>
      <c r="CG39" s="44"/>
      <c r="CH39">
        <v>0</v>
      </c>
    </row>
    <row r="40" spans="1:126">
      <c r="A40" s="20" t="s">
        <v>76</v>
      </c>
      <c r="C40" s="28">
        <f>+TSPT_COT!AS30</f>
        <v>0</v>
      </c>
      <c r="E40" s="28">
        <f>+TSPT_COT!AU30</f>
        <v>0</v>
      </c>
      <c r="G40" s="32">
        <f t="shared" si="5"/>
        <v>0</v>
      </c>
      <c r="I40" s="83">
        <f>+TSPT_COT!AY30</f>
        <v>0</v>
      </c>
      <c r="J40" s="83"/>
      <c r="K40" s="83">
        <f>+TSPT_COT!BA30</f>
        <v>0</v>
      </c>
      <c r="L40" s="83"/>
      <c r="M40" s="83">
        <f>+TSPT_COT!BC30</f>
        <v>0</v>
      </c>
      <c r="O40" s="140">
        <f>+TSPT_COT!BE30</f>
        <v>0</v>
      </c>
      <c r="Q40" s="18">
        <f>+C40+BV40</f>
        <v>0</v>
      </c>
      <c r="S40" s="18">
        <f>+E40+BX40</f>
        <v>0</v>
      </c>
      <c r="U40" s="32">
        <f t="shared" si="6"/>
        <v>0</v>
      </c>
      <c r="W40" s="4">
        <f>+I40+CB40</f>
        <v>0</v>
      </c>
      <c r="X40" s="83"/>
      <c r="Y40" s="4">
        <f>+K40+CD40</f>
        <v>0</v>
      </c>
      <c r="Z40" s="83"/>
      <c r="AA40" s="4">
        <f>+M40+CF40</f>
        <v>0</v>
      </c>
      <c r="AC40" s="6">
        <f>+O40+CH40</f>
        <v>0</v>
      </c>
      <c r="AE40" s="35"/>
      <c r="AF40" s="35"/>
      <c r="AG40" s="35"/>
      <c r="AH40" s="35"/>
      <c r="AU40" s="19"/>
      <c r="AW40" s="17"/>
      <c r="AY40" s="17"/>
      <c r="BM40" s="12"/>
      <c r="BO40" s="30"/>
      <c r="BS40" s="30"/>
      <c r="BU40" s="27"/>
      <c r="BV40">
        <v>0</v>
      </c>
      <c r="BW40" s="35"/>
      <c r="BX40">
        <v>0</v>
      </c>
      <c r="BY40" s="35"/>
      <c r="BZ40">
        <v>0</v>
      </c>
      <c r="CA40" s="35"/>
      <c r="CB40">
        <v>0</v>
      </c>
      <c r="CC40" s="61"/>
      <c r="CD40">
        <v>0</v>
      </c>
      <c r="CE40" s="61"/>
      <c r="CF40">
        <v>0</v>
      </c>
      <c r="CG40" s="44"/>
      <c r="CH40">
        <v>0</v>
      </c>
    </row>
    <row r="41" spans="1:126">
      <c r="A41" s="27" t="s">
        <v>77</v>
      </c>
      <c r="C41" s="28">
        <f>+TSPT_COT!AS31</f>
        <v>0</v>
      </c>
      <c r="E41" s="28">
        <f>+TSPT_COT!AU31</f>
        <v>0</v>
      </c>
      <c r="G41" s="32">
        <f t="shared" si="5"/>
        <v>0</v>
      </c>
      <c r="I41" s="83">
        <f>+TSPT_COT!AY31</f>
        <v>0</v>
      </c>
      <c r="J41" s="83"/>
      <c r="K41" s="83">
        <f>+TSPT_COT!BA31</f>
        <v>0</v>
      </c>
      <c r="L41" s="83"/>
      <c r="M41" s="83">
        <f>+TSPT_COT!BC31</f>
        <v>0</v>
      </c>
      <c r="O41" s="140">
        <f>+TSPT_COT!BE31</f>
        <v>0</v>
      </c>
      <c r="Q41" s="18">
        <f>+C41+BV41</f>
        <v>0</v>
      </c>
      <c r="S41" s="18">
        <f>+E41+BX41</f>
        <v>0</v>
      </c>
      <c r="U41" s="32">
        <f t="shared" si="6"/>
        <v>0</v>
      </c>
      <c r="W41" s="4">
        <f>+I41+CB41</f>
        <v>0</v>
      </c>
      <c r="X41" s="83"/>
      <c r="Y41" s="4">
        <f>+K41+CD41</f>
        <v>0</v>
      </c>
      <c r="Z41" s="83"/>
      <c r="AA41" s="4">
        <f>+M41+CF41</f>
        <v>0</v>
      </c>
      <c r="AC41" s="6">
        <f>+O41+CH41</f>
        <v>0</v>
      </c>
      <c r="AE41" s="35"/>
      <c r="AF41" s="35"/>
      <c r="AG41" s="35"/>
      <c r="AH41" s="35"/>
      <c r="AU41" s="19"/>
      <c r="AW41" s="17"/>
      <c r="AY41" s="17"/>
      <c r="BM41" s="12"/>
      <c r="BO41" s="30"/>
      <c r="BS41" s="30"/>
      <c r="BU41" s="27"/>
      <c r="BV41">
        <v>0</v>
      </c>
      <c r="BW41" s="35"/>
      <c r="BX41">
        <v>0</v>
      </c>
      <c r="BY41" s="35"/>
      <c r="BZ41">
        <v>0</v>
      </c>
      <c r="CA41" s="35"/>
      <c r="CB41">
        <v>0</v>
      </c>
      <c r="CC41" s="61"/>
      <c r="CD41">
        <v>0</v>
      </c>
      <c r="CE41" s="61"/>
      <c r="CF41">
        <v>0</v>
      </c>
      <c r="CG41" s="44"/>
      <c r="CH41">
        <v>0</v>
      </c>
    </row>
    <row r="42" spans="1:126" s="117" customFormat="1">
      <c r="A42" s="45" t="s">
        <v>78</v>
      </c>
      <c r="C42" s="118">
        <f>+TSPT_COT!AS32</f>
        <v>1859946</v>
      </c>
      <c r="E42" s="118">
        <f>+TSPT_COT!AU32</f>
        <v>59998</v>
      </c>
      <c r="G42" s="75">
        <f t="shared" si="5"/>
        <v>0.18000522595817298</v>
      </c>
      <c r="I42" s="120">
        <f>+TSPT_COT!AY32</f>
        <v>334800</v>
      </c>
      <c r="J42" s="121"/>
      <c r="K42" s="158">
        <f>+TSPT_COT!BA32</f>
        <v>0</v>
      </c>
      <c r="L42" s="121"/>
      <c r="M42" s="120">
        <f>+TSPT_COT!BC32</f>
        <v>334800</v>
      </c>
      <c r="O42" s="135">
        <f>+TSPT_COT!BE32</f>
        <v>334</v>
      </c>
      <c r="Q42" s="122">
        <f>SUM(Q38:Q41)</f>
        <v>20734046</v>
      </c>
      <c r="S42" s="122">
        <f>SUM(S38:S41)</f>
        <v>681432</v>
      </c>
      <c r="U42" s="75">
        <f t="shared" si="6"/>
        <v>0.1837123347753738</v>
      </c>
      <c r="W42" s="120">
        <f>SUM(W37:W41)</f>
        <v>3809100</v>
      </c>
      <c r="X42" s="121"/>
      <c r="Y42" s="120">
        <f>SUM(Y37:Y41)</f>
        <v>0</v>
      </c>
      <c r="Z42" s="121"/>
      <c r="AA42" s="120">
        <f>SUM(AA37:AA41)</f>
        <v>3809100</v>
      </c>
      <c r="AC42" s="135">
        <f>SUM(AC37:AC41)</f>
        <v>3492</v>
      </c>
      <c r="AE42" s="123"/>
      <c r="AF42" s="123"/>
      <c r="AG42" s="123"/>
      <c r="AH42" s="123"/>
      <c r="AU42" s="124"/>
      <c r="AW42" s="125"/>
      <c r="AY42" s="125"/>
      <c r="BM42" s="126"/>
      <c r="BO42" s="127"/>
      <c r="BS42" s="127"/>
      <c r="BU42" s="31"/>
      <c r="BV42">
        <v>18874100</v>
      </c>
      <c r="BW42" s="123"/>
      <c r="BX42">
        <v>621434</v>
      </c>
      <c r="BY42" s="123"/>
      <c r="BZ42">
        <v>0.18407765138470178</v>
      </c>
      <c r="CA42" s="123"/>
      <c r="CB42">
        <v>3474300</v>
      </c>
      <c r="CC42" s="128"/>
      <c r="CD42">
        <v>0</v>
      </c>
      <c r="CE42" s="128"/>
      <c r="CF42">
        <v>3474300</v>
      </c>
      <c r="CG42" s="129"/>
      <c r="CH42">
        <v>3158</v>
      </c>
    </row>
    <row r="43" spans="1:126">
      <c r="A43" s="27"/>
      <c r="C43" s="28"/>
      <c r="E43" s="15"/>
      <c r="G43" s="32"/>
      <c r="I43" s="83"/>
      <c r="J43" s="83"/>
      <c r="K43" s="83"/>
      <c r="L43" s="83"/>
      <c r="O43" s="34"/>
      <c r="Q43" s="18"/>
      <c r="S43" s="35"/>
      <c r="U43" s="32"/>
      <c r="W43" s="83"/>
      <c r="X43" s="83"/>
      <c r="Y43" s="83"/>
      <c r="Z43" s="83"/>
      <c r="AA43" s="83"/>
      <c r="AC43" s="140"/>
      <c r="AE43" s="35"/>
      <c r="AF43" s="35"/>
      <c r="AG43" s="35"/>
      <c r="AH43" s="35"/>
      <c r="AU43" s="19"/>
      <c r="AW43" s="17"/>
      <c r="AY43" s="17"/>
      <c r="BM43" s="12"/>
      <c r="BO43" s="30"/>
      <c r="BS43" s="30"/>
      <c r="BU43" s="27"/>
      <c r="BW43" s="35"/>
      <c r="BY43" s="35"/>
      <c r="CA43" s="35"/>
      <c r="CC43" s="61"/>
      <c r="CE43" s="61"/>
      <c r="CF43"/>
      <c r="CG43" s="44"/>
    </row>
    <row r="44" spans="1:126">
      <c r="A44" s="27" t="str">
        <f>+TSPT_COT!A34</f>
        <v xml:space="preserve">   Demand</v>
      </c>
      <c r="C44" s="28">
        <f>TSPT_COT!AS34</f>
        <v>6730100</v>
      </c>
      <c r="E44" s="15">
        <f>TSPT_COT!AU34</f>
        <v>217100</v>
      </c>
      <c r="G44" s="32">
        <f t="shared" ref="G44:G49" si="7">IF(I44=0,0,I44/C44)</f>
        <v>0.16186735561135793</v>
      </c>
      <c r="I44" s="130">
        <f>TSPT_COT!AY34</f>
        <v>1089383.49</v>
      </c>
      <c r="J44" s="83"/>
      <c r="K44" s="130">
        <f>TSPT_COT!BA34</f>
        <v>0</v>
      </c>
      <c r="L44" s="83"/>
      <c r="M44" s="130">
        <f>TSPT_COT!BC34</f>
        <v>1089383.49</v>
      </c>
      <c r="O44" s="34">
        <f>TSPT_COT!BE34</f>
        <v>1089</v>
      </c>
      <c r="Q44" s="18">
        <f>+C44+BV44</f>
        <v>69122000</v>
      </c>
      <c r="S44" s="35">
        <f>ROUND(Q44/SLS_COS!$AZ$3,0)</f>
        <v>189375</v>
      </c>
      <c r="U44" s="32">
        <f t="shared" ref="U44:U49" si="8">IF(W44=0,0,W44/Q44)</f>
        <v>0.20963079222244729</v>
      </c>
      <c r="W44" s="83">
        <f>+I44+CB44</f>
        <v>14490099.620000001</v>
      </c>
      <c r="X44" s="83"/>
      <c r="Y44" s="83">
        <f>+K44+CD44</f>
        <v>1740</v>
      </c>
      <c r="Z44" s="83"/>
      <c r="AA44" s="83">
        <f>+M44+CF44</f>
        <v>14491839.620000001</v>
      </c>
      <c r="AC44" s="140">
        <f>ROUND(AA44/1000,0)</f>
        <v>14492</v>
      </c>
      <c r="AE44" s="35"/>
      <c r="AF44" s="35"/>
      <c r="AG44" s="35"/>
      <c r="AH44" s="35"/>
      <c r="AU44" s="19"/>
      <c r="AW44" s="17"/>
      <c r="AY44" s="17"/>
      <c r="BM44" s="12"/>
      <c r="BO44" s="30"/>
      <c r="BS44" s="30"/>
      <c r="BU44" s="27" t="s">
        <v>65</v>
      </c>
      <c r="BV44">
        <v>62391900</v>
      </c>
      <c r="BW44" s="35"/>
      <c r="BX44">
        <v>186802</v>
      </c>
      <c r="BY44" s="35"/>
      <c r="BZ44">
        <v>0.21478294666455103</v>
      </c>
      <c r="CA44" s="35"/>
      <c r="CB44">
        <v>13400716.130000001</v>
      </c>
      <c r="CC44" s="61"/>
      <c r="CD44">
        <v>1740</v>
      </c>
      <c r="CE44" s="61"/>
      <c r="CF44">
        <v>13402456.130000001</v>
      </c>
      <c r="CG44" s="44"/>
      <c r="CH44">
        <v>12439</v>
      </c>
    </row>
    <row r="45" spans="1:126">
      <c r="A45" s="27" t="str">
        <f>+TSPT_COT!A35</f>
        <v xml:space="preserve">   FT-San Juan</v>
      </c>
      <c r="C45" s="28">
        <f>TSPT_COT!AS35</f>
        <v>5996588</v>
      </c>
      <c r="E45" s="15">
        <f>TSPT_COT!AU35</f>
        <v>193438</v>
      </c>
      <c r="G45" s="32">
        <f t="shared" si="7"/>
        <v>1.5547312905272129E-2</v>
      </c>
      <c r="I45" s="130">
        <f>TSPT_COT!AY35</f>
        <v>93230.829999999987</v>
      </c>
      <c r="J45" s="83"/>
      <c r="K45" s="130">
        <f>TSPT_COT!BA35</f>
        <v>20608.88</v>
      </c>
      <c r="L45" s="83"/>
      <c r="M45" s="130">
        <f>TSPT_COT!BC35</f>
        <v>113839.70999999999</v>
      </c>
      <c r="O45" s="34">
        <f>TSPT_COT!BE35</f>
        <v>114</v>
      </c>
      <c r="Q45" s="18">
        <f>+C45+BV45</f>
        <v>64622632</v>
      </c>
      <c r="S45" s="35">
        <f>ROUND(Q45/SLS_COS!$AZ$3,0)</f>
        <v>177048</v>
      </c>
      <c r="U45" s="32">
        <f t="shared" si="8"/>
        <v>1.6195740835811205E-2</v>
      </c>
      <c r="W45" s="83">
        <f>+I45+CB45</f>
        <v>1046611.3999999999</v>
      </c>
      <c r="X45" s="83"/>
      <c r="Y45" s="83">
        <f>+K45+CD45</f>
        <v>193598.32</v>
      </c>
      <c r="Z45" s="83"/>
      <c r="AA45" s="83">
        <f>+M45+CF45</f>
        <v>1240209.72</v>
      </c>
      <c r="AC45" s="140">
        <f>ROUND(AA45/1000,0)</f>
        <v>1240</v>
      </c>
      <c r="AE45" s="35"/>
      <c r="AF45" s="35"/>
      <c r="AG45" s="35"/>
      <c r="AH45" s="35"/>
      <c r="AU45" s="19"/>
      <c r="AW45" s="17"/>
      <c r="AY45" s="17"/>
      <c r="BM45" s="12"/>
      <c r="BO45" s="30"/>
      <c r="BS45" s="30"/>
      <c r="BU45" s="27" t="s">
        <v>79</v>
      </c>
      <c r="BV45">
        <v>58626044</v>
      </c>
      <c r="BW45" s="35"/>
      <c r="BX45">
        <v>175527</v>
      </c>
      <c r="BY45" s="35"/>
      <c r="BZ45">
        <v>1.6262065542065229E-2</v>
      </c>
      <c r="CA45" s="35"/>
      <c r="CB45">
        <v>953380.57</v>
      </c>
      <c r="CC45" s="61"/>
      <c r="CD45">
        <v>172989.44</v>
      </c>
      <c r="CE45" s="61"/>
      <c r="CF45">
        <v>1126370.01</v>
      </c>
      <c r="CG45" s="44"/>
      <c r="CH45">
        <v>1031</v>
      </c>
    </row>
    <row r="46" spans="1:126">
      <c r="A46" s="27" t="str">
        <f>+TSPT_COT!A36</f>
        <v xml:space="preserve">   FR-San Juan</v>
      </c>
      <c r="C46" s="28">
        <f>TSPT_COT!AS36</f>
        <v>0</v>
      </c>
      <c r="E46" s="15">
        <f>TSPT_COT!AU36</f>
        <v>0</v>
      </c>
      <c r="G46" s="32">
        <f t="shared" si="7"/>
        <v>0</v>
      </c>
      <c r="I46" s="130">
        <f>TSPT_COT!AY36</f>
        <v>0</v>
      </c>
      <c r="J46" s="83"/>
      <c r="K46" s="130">
        <f>TSPT_COT!BA36</f>
        <v>0</v>
      </c>
      <c r="L46" s="83"/>
      <c r="M46" s="130">
        <f>TSPT_COT!BC36</f>
        <v>0</v>
      </c>
      <c r="O46" s="34">
        <f>TSPT_COT!BE36</f>
        <v>0</v>
      </c>
      <c r="Q46" s="18">
        <f>+C46+BV46</f>
        <v>0</v>
      </c>
      <c r="S46" s="35">
        <f>ROUND(Q46/SLS_COS!$AZ$3,0)</f>
        <v>0</v>
      </c>
      <c r="U46" s="32">
        <f t="shared" si="8"/>
        <v>0</v>
      </c>
      <c r="W46" s="83">
        <f>+I46+CB46</f>
        <v>0</v>
      </c>
      <c r="X46" s="83"/>
      <c r="Y46" s="83">
        <f>+K46+CD46</f>
        <v>0</v>
      </c>
      <c r="Z46" s="83"/>
      <c r="AA46" s="83">
        <f>+M46+CF46</f>
        <v>0</v>
      </c>
      <c r="AC46" s="140">
        <f>ROUND(AA46/1000,0)</f>
        <v>0</v>
      </c>
      <c r="AE46" s="35"/>
      <c r="AF46" s="35"/>
      <c r="AG46" s="35"/>
      <c r="AH46" s="35"/>
      <c r="AU46" s="19"/>
      <c r="AW46" s="17"/>
      <c r="AY46" s="17"/>
      <c r="BM46" s="12"/>
      <c r="BO46" s="30"/>
      <c r="BS46" s="30"/>
      <c r="BU46" s="27" t="s">
        <v>80</v>
      </c>
      <c r="BV46">
        <v>0</v>
      </c>
      <c r="BW46" s="35"/>
      <c r="BX46">
        <v>0</v>
      </c>
      <c r="BY46" s="35"/>
      <c r="BZ46">
        <v>0</v>
      </c>
      <c r="CA46" s="35"/>
      <c r="CB46">
        <v>0</v>
      </c>
      <c r="CC46" s="61"/>
      <c r="CD46">
        <v>0</v>
      </c>
      <c r="CE46" s="61"/>
      <c r="CF46">
        <v>0</v>
      </c>
      <c r="CG46" s="44"/>
      <c r="CH46">
        <v>0</v>
      </c>
    </row>
    <row r="47" spans="1:126">
      <c r="A47" s="27" t="str">
        <f>+TSPT_COT!A37</f>
        <v xml:space="preserve">   LFT-San Juan</v>
      </c>
      <c r="C47" s="28">
        <f>TSPT_COT!AS37</f>
        <v>574922</v>
      </c>
      <c r="E47" s="15">
        <f>TSPT_COT!AU37</f>
        <v>18546</v>
      </c>
      <c r="G47" s="32">
        <f t="shared" si="7"/>
        <v>1.850000521809915E-2</v>
      </c>
      <c r="I47" s="130">
        <f>TSPT_COT!AY37</f>
        <v>10636.06</v>
      </c>
      <c r="J47" s="83"/>
      <c r="K47" s="130">
        <f>TSPT_COT!BA37</f>
        <v>0</v>
      </c>
      <c r="L47" s="83"/>
      <c r="M47" s="130">
        <f>TSPT_COT!BC37</f>
        <v>10636.06</v>
      </c>
      <c r="O47" s="34">
        <f>TSPT_COT!BE37</f>
        <v>11</v>
      </c>
      <c r="Q47" s="18">
        <f>+C47+BV47</f>
        <v>1269974</v>
      </c>
      <c r="S47" s="35">
        <f>ROUND(Q47/SLS_COS!$AZ$3,0)</f>
        <v>3479</v>
      </c>
      <c r="U47" s="32">
        <f t="shared" si="8"/>
        <v>1.7419947180021007E-2</v>
      </c>
      <c r="W47" s="83">
        <f>+I47+CB47</f>
        <v>22122.879999999997</v>
      </c>
      <c r="X47" s="83"/>
      <c r="Y47" s="83">
        <f>+K47+CD47</f>
        <v>3510.64</v>
      </c>
      <c r="Z47" s="83"/>
      <c r="AA47" s="83">
        <f>+M47+CF47</f>
        <v>25633.519999999997</v>
      </c>
      <c r="AC47" s="140">
        <f>ROUND(AA47/1000,0)</f>
        <v>26</v>
      </c>
      <c r="AE47" s="35"/>
      <c r="AF47" s="35"/>
      <c r="AG47" s="35"/>
      <c r="AH47" s="35"/>
      <c r="AU47" s="19"/>
      <c r="AW47" s="17"/>
      <c r="AY47" s="17"/>
      <c r="BM47" s="12"/>
      <c r="BO47" s="30"/>
      <c r="BS47" s="30"/>
      <c r="BU47" s="27"/>
      <c r="BV47">
        <v>695052</v>
      </c>
      <c r="BW47" s="35"/>
      <c r="BX47">
        <v>2081</v>
      </c>
      <c r="BY47" s="35"/>
      <c r="BZ47">
        <v>1.6526562041401217E-2</v>
      </c>
      <c r="CA47" s="35"/>
      <c r="CB47">
        <v>11486.82</v>
      </c>
      <c r="CC47" s="61"/>
      <c r="CD47">
        <v>3510.64</v>
      </c>
      <c r="CE47" s="61"/>
      <c r="CF47">
        <v>14997.46</v>
      </c>
      <c r="CG47" s="44"/>
      <c r="CH47">
        <v>9</v>
      </c>
    </row>
    <row r="48" spans="1:126">
      <c r="A48" s="27" t="str">
        <f>+TSPT_COT!A38</f>
        <v xml:space="preserve">   IT-San Juan</v>
      </c>
      <c r="C48" s="28">
        <f>TSPT_COT!AS38</f>
        <v>33171</v>
      </c>
      <c r="E48" s="15">
        <f>TSPT_COT!AU38</f>
        <v>1070</v>
      </c>
      <c r="G48" s="32">
        <f t="shared" si="7"/>
        <v>9.7899972867866517E-2</v>
      </c>
      <c r="I48" s="130">
        <f>TSPT_COT!AY38</f>
        <v>3247.44</v>
      </c>
      <c r="J48" s="83"/>
      <c r="K48" s="130">
        <f>TSPT_COT!BA38</f>
        <v>69.66</v>
      </c>
      <c r="L48" s="83"/>
      <c r="M48" s="130">
        <f>TSPT_COT!BC38</f>
        <v>3317.1</v>
      </c>
      <c r="O48" s="34">
        <f>TSPT_COT!BE38</f>
        <v>3</v>
      </c>
      <c r="Q48" s="18">
        <f>+C48+BV48</f>
        <v>-209431</v>
      </c>
      <c r="S48" s="35">
        <f>ROUND(Q48/SLS_COS!$AZ$3,0)</f>
        <v>-574</v>
      </c>
      <c r="U48" s="32">
        <f t="shared" si="8"/>
        <v>-5.1779440483978152E-2</v>
      </c>
      <c r="W48" s="83">
        <f>+I48+CB48</f>
        <v>10844.220000000028</v>
      </c>
      <c r="X48" s="83"/>
      <c r="Y48" s="83">
        <f>+K48+CD48</f>
        <v>126.50999999999999</v>
      </c>
      <c r="Z48" s="83"/>
      <c r="AA48" s="83">
        <f>+M48+CF48</f>
        <v>10970.730000000029</v>
      </c>
      <c r="AC48" s="140">
        <f>ROUND(AA48/1000,0)</f>
        <v>11</v>
      </c>
      <c r="AE48" s="35"/>
      <c r="AF48" s="35"/>
      <c r="AG48" s="35"/>
      <c r="AH48" s="35"/>
      <c r="AU48" s="19"/>
      <c r="AW48" s="17"/>
      <c r="AY48" s="17"/>
      <c r="BM48" s="12"/>
      <c r="BO48" s="30"/>
      <c r="BS48" s="30"/>
      <c r="BU48" s="27" t="s">
        <v>81</v>
      </c>
      <c r="BV48">
        <v>-242602</v>
      </c>
      <c r="BW48" s="35"/>
      <c r="BX48">
        <v>-726</v>
      </c>
      <c r="BY48" s="35"/>
      <c r="BZ48">
        <v>-3.1313756687908707E-2</v>
      </c>
      <c r="CA48" s="35"/>
      <c r="CB48">
        <v>7596.7800000000279</v>
      </c>
      <c r="CC48" s="61"/>
      <c r="CD48">
        <v>56.85</v>
      </c>
      <c r="CE48" s="61"/>
      <c r="CF48">
        <v>7653.6300000000283</v>
      </c>
      <c r="CG48" s="44"/>
      <c r="CH48">
        <v>8</v>
      </c>
    </row>
    <row r="49" spans="1:126" s="117" customFormat="1">
      <c r="A49" s="31" t="str">
        <f>+TSPT_COT!A39</f>
        <v xml:space="preserve">     Sub-Total</v>
      </c>
      <c r="B49" s="37"/>
      <c r="C49" s="73">
        <f>TSPT_COT!AS39</f>
        <v>6604681</v>
      </c>
      <c r="D49"/>
      <c r="E49" s="74">
        <f>TSPT_COT!AU39</f>
        <v>213054</v>
      </c>
      <c r="F49"/>
      <c r="G49" s="75">
        <f t="shared" si="7"/>
        <v>0.18115906279198044</v>
      </c>
      <c r="H49"/>
      <c r="I49" s="132">
        <f>TSPT_COT!AY39</f>
        <v>1196497.82</v>
      </c>
      <c r="J49" s="83"/>
      <c r="K49" s="132">
        <f>TSPT_COT!BA39</f>
        <v>20678.54</v>
      </c>
      <c r="L49" s="83"/>
      <c r="M49" s="132">
        <f>TSPT_COT!BC39</f>
        <v>1217176.3600000001</v>
      </c>
      <c r="N49"/>
      <c r="O49" s="76">
        <f>TSPT_COT!BE39</f>
        <v>1217</v>
      </c>
      <c r="P49" s="37"/>
      <c r="Q49" s="40">
        <f>SUM(Q45:Q48)</f>
        <v>65683175</v>
      </c>
      <c r="R49" s="37"/>
      <c r="S49" s="40">
        <f>SUM(S45:S48)</f>
        <v>179953</v>
      </c>
      <c r="T49" s="37"/>
      <c r="U49" s="75">
        <f t="shared" si="8"/>
        <v>0.23704210583608365</v>
      </c>
      <c r="V49" s="37"/>
      <c r="W49" s="85">
        <f>SUM(W44:W48)</f>
        <v>15569678.120000003</v>
      </c>
      <c r="X49" s="86"/>
      <c r="Y49" s="85">
        <f>SUM(Y44:Y48)</f>
        <v>198975.47000000003</v>
      </c>
      <c r="Z49" s="86"/>
      <c r="AA49" s="85">
        <f>SUM(AA44:AA48)</f>
        <v>15768653.590000002</v>
      </c>
      <c r="AB49" s="37"/>
      <c r="AC49" s="133">
        <f>SUM(AC44:AC48)</f>
        <v>15769</v>
      </c>
      <c r="AD49" s="37"/>
      <c r="AE49" s="41"/>
      <c r="AF49" s="41"/>
      <c r="AG49" s="41"/>
      <c r="AH49" s="41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68"/>
      <c r="AV49" s="37"/>
      <c r="AW49" s="43"/>
      <c r="AX49" s="37"/>
      <c r="AY49" s="43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42"/>
      <c r="BN49" s="37"/>
      <c r="BO49" s="31"/>
      <c r="BP49" s="37"/>
      <c r="BQ49" s="37"/>
      <c r="BR49" s="37"/>
      <c r="BS49" s="31"/>
      <c r="BT49" s="37"/>
      <c r="BU49" s="31" t="s">
        <v>69</v>
      </c>
      <c r="BV49">
        <v>59078494</v>
      </c>
      <c r="BW49" s="41"/>
      <c r="BX49">
        <v>176882</v>
      </c>
      <c r="BY49" s="41"/>
      <c r="BZ49">
        <v>0.24328955135518521</v>
      </c>
      <c r="CA49" s="41"/>
      <c r="CB49">
        <v>14373180.300000001</v>
      </c>
      <c r="CC49" s="69"/>
      <c r="CD49">
        <v>178296.93</v>
      </c>
      <c r="CE49" s="69"/>
      <c r="CF49">
        <v>14551477.230000002</v>
      </c>
      <c r="CG49" s="70"/>
      <c r="CH49">
        <v>13487</v>
      </c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</row>
    <row r="50" spans="1:126">
      <c r="A50" s="27"/>
      <c r="C50" s="28"/>
      <c r="E50" s="15"/>
      <c r="G50" s="32"/>
      <c r="I50" s="83"/>
      <c r="J50" s="83"/>
      <c r="K50" s="83"/>
      <c r="L50" s="83"/>
      <c r="O50" s="34"/>
      <c r="Q50" s="18"/>
      <c r="S50" s="35"/>
      <c r="U50" s="32"/>
      <c r="W50" s="83"/>
      <c r="X50" s="83"/>
      <c r="Y50" s="83"/>
      <c r="Z50" s="83"/>
      <c r="AA50" s="83"/>
      <c r="AC50" s="140"/>
      <c r="AE50" s="35"/>
      <c r="AF50" s="35"/>
      <c r="AG50" s="35"/>
      <c r="AH50" s="35"/>
      <c r="AU50" s="19"/>
      <c r="AW50" s="17"/>
      <c r="AY50" s="17"/>
      <c r="BM50" s="12"/>
      <c r="BO50" s="30"/>
      <c r="BS50" s="30"/>
      <c r="BU50" s="27"/>
      <c r="BW50" s="35"/>
      <c r="BY50" s="35"/>
      <c r="CA50" s="35"/>
      <c r="CC50" s="61"/>
      <c r="CE50" s="61"/>
      <c r="CF50"/>
      <c r="CG50" s="44"/>
    </row>
    <row r="51" spans="1:126">
      <c r="A51" s="27" t="str">
        <f>+TSPT_COT!A41</f>
        <v xml:space="preserve">   Demand</v>
      </c>
      <c r="C51" s="28">
        <f>TSPT_COT!AS41</f>
        <v>40300</v>
      </c>
      <c r="E51" s="15">
        <f>TSPT_COT!AU41</f>
        <v>1300</v>
      </c>
      <c r="G51" s="32">
        <f>IF(I51=0,0,I51/C51)</f>
        <v>0.22889999999999999</v>
      </c>
      <c r="I51" s="130">
        <f>TSPT_COT!AY41</f>
        <v>9224.67</v>
      </c>
      <c r="J51" s="83"/>
      <c r="K51" s="130">
        <f>TSPT_COT!BA41</f>
        <v>120.9</v>
      </c>
      <c r="L51" s="83"/>
      <c r="M51" s="130">
        <f>TSPT_COT!BC41</f>
        <v>9345.57</v>
      </c>
      <c r="O51" s="34">
        <f>TSPT_COT!BE41</f>
        <v>9</v>
      </c>
      <c r="Q51" s="18">
        <f>+C51+BV51</f>
        <v>1388500</v>
      </c>
      <c r="S51" s="35">
        <f>ROUND(Q51/SLS_COS!$AZ$3,0)</f>
        <v>3804</v>
      </c>
      <c r="U51" s="32">
        <f>IF(W51=0,0,W51/Q51)</f>
        <v>8.1954980194454449E-2</v>
      </c>
      <c r="W51" s="83">
        <f>+I51+CB51</f>
        <v>113794.49</v>
      </c>
      <c r="X51" s="83"/>
      <c r="Y51" s="83">
        <f>+K51+CD51</f>
        <v>40287.9</v>
      </c>
      <c r="Z51" s="83"/>
      <c r="AA51" s="83">
        <f>+M51+CF51</f>
        <v>154082.39000000001</v>
      </c>
      <c r="AC51" s="140">
        <f>ROUND(AA51/1000,0)</f>
        <v>154</v>
      </c>
      <c r="AE51" s="35"/>
      <c r="AF51" s="35"/>
      <c r="AG51" s="35"/>
      <c r="AH51" s="35"/>
      <c r="AU51" s="19"/>
      <c r="AW51" s="17"/>
      <c r="AY51" s="17"/>
      <c r="BM51" s="12"/>
      <c r="BO51" s="30"/>
      <c r="BS51" s="30"/>
      <c r="BU51" s="27" t="s">
        <v>65</v>
      </c>
      <c r="BV51">
        <v>1348200</v>
      </c>
      <c r="BW51" s="35"/>
      <c r="BX51">
        <v>4037</v>
      </c>
      <c r="BY51" s="35"/>
      <c r="BZ51">
        <v>7.7562542649458527E-2</v>
      </c>
      <c r="CA51" s="35"/>
      <c r="CB51">
        <v>104569.82</v>
      </c>
      <c r="CC51" s="61"/>
      <c r="CD51">
        <v>40167</v>
      </c>
      <c r="CE51" s="61"/>
      <c r="CF51">
        <v>144736.82</v>
      </c>
      <c r="CG51" s="44"/>
      <c r="CH51">
        <v>114</v>
      </c>
    </row>
    <row r="52" spans="1:126">
      <c r="A52" s="27" t="str">
        <f>+TSPT_COT!A42</f>
        <v xml:space="preserve">   FT-West of Thoreau</v>
      </c>
      <c r="C52" s="28">
        <f>TSPT_COT!AS42</f>
        <v>40300</v>
      </c>
      <c r="E52" s="15">
        <f>TSPT_COT!AU42</f>
        <v>1300</v>
      </c>
      <c r="G52" s="32">
        <f t="shared" ref="G52:G58" si="9">IF(I52=0,0,I52/C52)</f>
        <v>1.5300000000000001E-2</v>
      </c>
      <c r="I52" s="130">
        <f>TSPT_COT!AY42</f>
        <v>616.59</v>
      </c>
      <c r="J52" s="83"/>
      <c r="K52" s="130">
        <f>TSPT_COT!BA42</f>
        <v>366.73</v>
      </c>
      <c r="L52" s="83"/>
      <c r="M52" s="130">
        <f>TSPT_COT!BC42</f>
        <v>983.32</v>
      </c>
      <c r="O52" s="34">
        <f>TSPT_COT!BE42</f>
        <v>1</v>
      </c>
      <c r="Q52" s="18">
        <f>+C52+BV52</f>
        <v>483054</v>
      </c>
      <c r="S52" s="35">
        <f>ROUND(Q52/SLS_COS!$AZ$3,0)</f>
        <v>1323</v>
      </c>
      <c r="U52" s="32">
        <f t="shared" ref="U52:U58" si="10">IF(W52=0,0,W52/Q52)</f>
        <v>1.5300028568234607E-2</v>
      </c>
      <c r="W52" s="83">
        <f>+I52+CB52</f>
        <v>7390.74</v>
      </c>
      <c r="X52" s="83"/>
      <c r="Y52" s="83">
        <f>+K52+CD52</f>
        <v>2488.2400000000002</v>
      </c>
      <c r="Z52" s="83"/>
      <c r="AA52" s="83">
        <f>+M52+CF52</f>
        <v>9878.98</v>
      </c>
      <c r="AC52" s="140">
        <f>ROUND(AA52/1000,0)</f>
        <v>10</v>
      </c>
      <c r="AE52" s="35"/>
      <c r="AF52" s="35"/>
      <c r="AG52" s="35"/>
      <c r="AH52" s="35"/>
      <c r="AU52" s="19"/>
      <c r="AW52" s="17"/>
      <c r="AY52" s="17"/>
      <c r="BM52" s="12"/>
      <c r="BO52" s="30"/>
      <c r="BS52" s="30"/>
      <c r="BU52" s="27" t="s">
        <v>82</v>
      </c>
      <c r="BV52">
        <v>442754</v>
      </c>
      <c r="BW52" s="35"/>
      <c r="BX52">
        <v>1326</v>
      </c>
      <c r="BY52" s="35"/>
      <c r="BZ52">
        <v>1.5300031168549577E-2</v>
      </c>
      <c r="CA52" s="35"/>
      <c r="CB52">
        <v>6774.15</v>
      </c>
      <c r="CC52" s="61"/>
      <c r="CD52">
        <v>2121.5100000000002</v>
      </c>
      <c r="CE52" s="61"/>
      <c r="CF52">
        <v>8895.66</v>
      </c>
      <c r="CG52" s="44"/>
      <c r="CH52">
        <v>7</v>
      </c>
    </row>
    <row r="53" spans="1:126">
      <c r="A53" s="27" t="str">
        <f>+TSPT_COT!A43</f>
        <v xml:space="preserve">   FR-West of Thoreau</v>
      </c>
      <c r="C53" s="28">
        <f>TSPT_COT!AS43</f>
        <v>0</v>
      </c>
      <c r="E53" s="15">
        <f>TSPT_COT!AU43</f>
        <v>0</v>
      </c>
      <c r="G53" s="32">
        <f t="shared" si="9"/>
        <v>0</v>
      </c>
      <c r="I53" s="130">
        <f>TSPT_COT!AY43</f>
        <v>0</v>
      </c>
      <c r="J53" s="83"/>
      <c r="K53" s="130">
        <f>TSPT_COT!BA43</f>
        <v>0</v>
      </c>
      <c r="L53" s="83"/>
      <c r="M53" s="130">
        <f>TSPT_COT!BC43</f>
        <v>0</v>
      </c>
      <c r="O53" s="34">
        <f>TSPT_COT!BE43</f>
        <v>0</v>
      </c>
      <c r="Q53" s="18">
        <f>+C53+BV53</f>
        <v>0</v>
      </c>
      <c r="S53" s="35">
        <f>ROUND(Q53/SLS_COS!$AZ$3,0)</f>
        <v>0</v>
      </c>
      <c r="U53" s="32">
        <f t="shared" si="10"/>
        <v>0</v>
      </c>
      <c r="W53" s="83">
        <f>+I53+CB53</f>
        <v>0</v>
      </c>
      <c r="X53" s="83"/>
      <c r="Y53" s="83">
        <f>+K53+CD53</f>
        <v>0</v>
      </c>
      <c r="Z53" s="83"/>
      <c r="AA53" s="83">
        <f>+M53+CF53</f>
        <v>0</v>
      </c>
      <c r="AC53" s="140">
        <f>ROUND(AA53/1000,0)</f>
        <v>0</v>
      </c>
      <c r="AE53" s="35"/>
      <c r="AF53" s="35"/>
      <c r="AG53" s="35"/>
      <c r="AH53" s="35"/>
      <c r="AU53" s="19"/>
      <c r="AW53" s="17"/>
      <c r="AY53" s="17"/>
      <c r="BM53" s="12"/>
      <c r="BO53" s="30"/>
      <c r="BS53" s="30"/>
      <c r="BU53" s="27" t="s">
        <v>83</v>
      </c>
      <c r="BV53">
        <v>0</v>
      </c>
      <c r="BW53" s="35"/>
      <c r="BX53">
        <v>0</v>
      </c>
      <c r="BY53" s="35"/>
      <c r="BZ53">
        <v>0</v>
      </c>
      <c r="CA53" s="35"/>
      <c r="CB53">
        <v>0</v>
      </c>
      <c r="CC53" s="61"/>
      <c r="CD53">
        <v>0</v>
      </c>
      <c r="CE53" s="61"/>
      <c r="CF53">
        <v>0</v>
      </c>
      <c r="CG53" s="44"/>
      <c r="CH53">
        <v>0</v>
      </c>
    </row>
    <row r="54" spans="1:126">
      <c r="A54" s="27" t="str">
        <f>+TSPT_COT!A44</f>
        <v xml:space="preserve">   LFT-West of Thoreau</v>
      </c>
      <c r="C54" s="28">
        <f>TSPT_COT!AS44</f>
        <v>0</v>
      </c>
      <c r="E54" s="15">
        <f>TSPT_COT!AU44</f>
        <v>0</v>
      </c>
      <c r="G54" s="32">
        <f>IF(I54=0,0,I54/C54)</f>
        <v>0</v>
      </c>
      <c r="I54" s="130">
        <f>TSPT_COT!AY44</f>
        <v>0</v>
      </c>
      <c r="J54" s="83"/>
      <c r="K54" s="130">
        <f>TSPT_COT!BA44</f>
        <v>0</v>
      </c>
      <c r="L54" s="83"/>
      <c r="M54" s="130">
        <f>TSPT_COT!BC44</f>
        <v>0</v>
      </c>
      <c r="O54" s="34">
        <f>TSPT_COT!BE44</f>
        <v>0</v>
      </c>
      <c r="Q54" s="18">
        <f>+C54+BV54</f>
        <v>0</v>
      </c>
      <c r="S54" s="35">
        <f>ROUND(Q54/SLS_COS!$AZ$3,0)</f>
        <v>0</v>
      </c>
      <c r="U54" s="32">
        <f>IF(W54=0,0,W54/Q54)</f>
        <v>0</v>
      </c>
      <c r="W54" s="83">
        <f>+I54+CB54</f>
        <v>0</v>
      </c>
      <c r="X54" s="83"/>
      <c r="Y54" s="83">
        <f>+K54+CD54</f>
        <v>0</v>
      </c>
      <c r="Z54" s="83"/>
      <c r="AA54" s="83">
        <f>+M54+CF54</f>
        <v>0</v>
      </c>
      <c r="AC54" s="140">
        <f>ROUND(AA54/1000,0)</f>
        <v>0</v>
      </c>
      <c r="AE54" s="35"/>
      <c r="AF54" s="35"/>
      <c r="AG54" s="35"/>
      <c r="AH54" s="35"/>
      <c r="AU54" s="19"/>
      <c r="AW54" s="17"/>
      <c r="AY54" s="17"/>
      <c r="BM54" s="12"/>
      <c r="BO54" s="30"/>
      <c r="BS54" s="30"/>
      <c r="BU54" s="27"/>
      <c r="BV54">
        <v>0</v>
      </c>
      <c r="BW54" s="35"/>
      <c r="BX54">
        <v>0</v>
      </c>
      <c r="BY54" s="35"/>
      <c r="BZ54">
        <v>0</v>
      </c>
      <c r="CA54" s="35"/>
      <c r="CB54">
        <v>0</v>
      </c>
      <c r="CC54" s="61"/>
      <c r="CD54">
        <v>0</v>
      </c>
      <c r="CE54" s="61"/>
      <c r="CF54">
        <v>0</v>
      </c>
      <c r="CG54" s="44"/>
      <c r="CH54">
        <v>0</v>
      </c>
    </row>
    <row r="55" spans="1:126">
      <c r="A55" s="27" t="str">
        <f>+TSPT_COT!A45</f>
        <v xml:space="preserve">   IT-West of Thoreau</v>
      </c>
      <c r="C55" s="93">
        <f>TSPT_COT!AS45</f>
        <v>151233</v>
      </c>
      <c r="E55" s="94">
        <f>TSPT_COT!AU45</f>
        <v>4878</v>
      </c>
      <c r="G55" s="32">
        <f t="shared" si="9"/>
        <v>0.25438786508235639</v>
      </c>
      <c r="I55" s="131">
        <f>TSPT_COT!AY45</f>
        <v>38471.840000000004</v>
      </c>
      <c r="J55" s="83"/>
      <c r="K55" s="131">
        <f>TSPT_COT!BA45</f>
        <v>1271.7</v>
      </c>
      <c r="L55" s="83"/>
      <c r="M55" s="131">
        <f>TSPT_COT!BC45</f>
        <v>39743.54</v>
      </c>
      <c r="O55" s="97">
        <f>TSPT_COT!BE45</f>
        <v>40</v>
      </c>
      <c r="Q55" s="18">
        <f>+C55+BV55</f>
        <v>16112229</v>
      </c>
      <c r="S55" s="35">
        <f>ROUND(Q55/SLS_COS!$AZ$3,0)</f>
        <v>44143</v>
      </c>
      <c r="U55" s="32">
        <f t="shared" si="10"/>
        <v>0.34948187801948444</v>
      </c>
      <c r="W55" s="83">
        <f>+I55+CB55</f>
        <v>5630932.0499999998</v>
      </c>
      <c r="X55" s="83"/>
      <c r="Y55" s="83">
        <f>+K55+CD55</f>
        <v>76582.349999999991</v>
      </c>
      <c r="Z55" s="83"/>
      <c r="AA55" s="83">
        <f>+M55+CF55</f>
        <v>5707514.4000000004</v>
      </c>
      <c r="AC55" s="140">
        <f>ROUND(AA55/1000,0)</f>
        <v>5708</v>
      </c>
      <c r="AE55" s="35"/>
      <c r="AF55" s="35"/>
      <c r="AG55" s="35"/>
      <c r="AH55" s="35"/>
      <c r="AU55" s="19"/>
      <c r="AW55" s="17"/>
      <c r="AY55" s="17"/>
      <c r="BM55" s="12"/>
      <c r="BO55" s="30"/>
      <c r="BS55" s="30"/>
      <c r="BU55" s="27" t="s">
        <v>84</v>
      </c>
      <c r="BV55">
        <v>15960996</v>
      </c>
      <c r="BW55" s="35"/>
      <c r="BX55">
        <v>47787</v>
      </c>
      <c r="BY55" s="35"/>
      <c r="BZ55">
        <v>0.35038290906156483</v>
      </c>
      <c r="CA55" s="35"/>
      <c r="CB55">
        <v>5592460.21</v>
      </c>
      <c r="CC55" s="61"/>
      <c r="CD55">
        <v>75310.649999999994</v>
      </c>
      <c r="CE55" s="61"/>
      <c r="CF55">
        <v>5667770.8600000003</v>
      </c>
      <c r="CG55" s="44"/>
      <c r="CH55">
        <v>5586</v>
      </c>
    </row>
    <row r="56" spans="1:126" s="117" customFormat="1">
      <c r="A56" s="31" t="str">
        <f>+TSPT_COT!A46</f>
        <v xml:space="preserve">     Sub-Total</v>
      </c>
      <c r="B56" s="37"/>
      <c r="C56" s="28">
        <f>TSPT_COT!AS46</f>
        <v>191533</v>
      </c>
      <c r="D56"/>
      <c r="E56" s="15">
        <f>TSPT_COT!AU46</f>
        <v>6178</v>
      </c>
      <c r="F56"/>
      <c r="G56" s="75">
        <f t="shared" si="9"/>
        <v>0.25224426078012668</v>
      </c>
      <c r="H56"/>
      <c r="I56" s="130">
        <f>TSPT_COT!AY46</f>
        <v>48313.100000000006</v>
      </c>
      <c r="J56" s="83"/>
      <c r="K56" s="130">
        <f>TSPT_COT!BA46</f>
        <v>1759.33</v>
      </c>
      <c r="L56" s="83"/>
      <c r="M56" s="130">
        <f>TSPT_COT!BC46</f>
        <v>50072.43</v>
      </c>
      <c r="N56"/>
      <c r="O56" s="34">
        <f>TSPT_COT!BE46</f>
        <v>50</v>
      </c>
      <c r="P56" s="37"/>
      <c r="Q56" s="40">
        <f>SUM(Q52:Q55)</f>
        <v>16595283</v>
      </c>
      <c r="R56" s="37"/>
      <c r="S56" s="40">
        <f>SUM(S52:S55)</f>
        <v>45466</v>
      </c>
      <c r="T56" s="37"/>
      <c r="U56" s="75">
        <f t="shared" si="10"/>
        <v>0.34661158113422952</v>
      </c>
      <c r="V56" s="37"/>
      <c r="W56" s="85">
        <f>SUM(W51:W55)</f>
        <v>5752117.2800000003</v>
      </c>
      <c r="X56" s="86"/>
      <c r="Y56" s="85">
        <f>SUM(Y51:Y55)</f>
        <v>119358.48999999999</v>
      </c>
      <c r="Z56" s="86"/>
      <c r="AA56" s="85">
        <f>SUM(AA51:AA55)</f>
        <v>5871475.7700000005</v>
      </c>
      <c r="AB56" s="37"/>
      <c r="AC56" s="133">
        <f>SUM(AC51:AC55)</f>
        <v>5872</v>
      </c>
      <c r="AD56" s="37"/>
      <c r="AE56" s="41"/>
      <c r="AF56" s="41"/>
      <c r="AG56" s="41"/>
      <c r="AH56" s="41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68"/>
      <c r="AV56" s="37"/>
      <c r="AW56" s="43"/>
      <c r="AX56" s="37"/>
      <c r="AY56" s="43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42"/>
      <c r="BN56" s="37"/>
      <c r="BO56" s="31"/>
      <c r="BP56" s="37"/>
      <c r="BQ56" s="37"/>
      <c r="BR56" s="37"/>
      <c r="BS56" s="31"/>
      <c r="BT56" s="37"/>
      <c r="BU56" s="31" t="s">
        <v>69</v>
      </c>
      <c r="BV56">
        <v>16403750</v>
      </c>
      <c r="BW56" s="41"/>
      <c r="BX56">
        <v>49113</v>
      </c>
      <c r="BY56" s="41"/>
      <c r="BZ56">
        <v>0.34771343016078637</v>
      </c>
      <c r="CA56" s="41"/>
      <c r="CB56">
        <v>5703804.1799999997</v>
      </c>
      <c r="CC56" s="69"/>
      <c r="CD56">
        <v>117599.16</v>
      </c>
      <c r="CE56" s="69"/>
      <c r="CF56">
        <v>5821403.3400000008</v>
      </c>
      <c r="CG56" s="70"/>
      <c r="CH56">
        <v>5707</v>
      </c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</row>
    <row r="57" spans="1:126">
      <c r="A57" s="31"/>
      <c r="B57" s="37"/>
      <c r="C57" s="46"/>
      <c r="D57" s="37"/>
      <c r="E57" s="47"/>
      <c r="F57" s="37"/>
      <c r="G57" s="48"/>
      <c r="H57" s="37"/>
      <c r="I57" s="131"/>
      <c r="J57" s="87"/>
      <c r="K57" s="87"/>
      <c r="L57" s="87"/>
      <c r="M57" s="87"/>
      <c r="N57" s="37"/>
      <c r="O57" s="71"/>
      <c r="P57" s="37"/>
      <c r="Q57" s="72"/>
      <c r="R57" s="37"/>
      <c r="S57" s="41"/>
      <c r="T57" s="37"/>
      <c r="U57" s="48"/>
      <c r="V57" s="37"/>
      <c r="W57" s="90"/>
      <c r="X57" s="90"/>
      <c r="Y57" s="90"/>
      <c r="Z57" s="90"/>
      <c r="AA57" s="90"/>
      <c r="AB57" s="37"/>
      <c r="AC57" s="156"/>
      <c r="AD57" s="37"/>
      <c r="AE57" s="41"/>
      <c r="AF57" s="41"/>
      <c r="AG57" s="41"/>
      <c r="AH57" s="41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68"/>
      <c r="AV57" s="37"/>
      <c r="AW57" s="43"/>
      <c r="AX57" s="37"/>
      <c r="AY57" s="43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42"/>
      <c r="BN57" s="37"/>
      <c r="BO57" s="31"/>
      <c r="BP57" s="37"/>
      <c r="BQ57" s="37"/>
      <c r="BR57" s="37"/>
      <c r="BS57" s="31"/>
      <c r="BT57" s="37"/>
      <c r="BU57" s="31"/>
      <c r="BW57" s="41"/>
      <c r="BY57" s="41"/>
      <c r="CA57" s="41"/>
      <c r="CC57" s="69"/>
      <c r="CE57" s="69"/>
      <c r="CF57"/>
      <c r="CG57" s="70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</row>
    <row r="58" spans="1:126" s="117" customFormat="1">
      <c r="A58" s="31" t="str">
        <f>+TSPT_COT!A48</f>
        <v xml:space="preserve">     Total West</v>
      </c>
      <c r="B58" s="37"/>
      <c r="C58" s="38">
        <f>TSPT_COT!AS48</f>
        <v>32483717</v>
      </c>
      <c r="D58" s="37"/>
      <c r="E58" s="39">
        <f>TSPT_COT!AU48</f>
        <v>1047864</v>
      </c>
      <c r="F58" s="37"/>
      <c r="G58" s="119">
        <f t="shared" si="9"/>
        <v>0.26277770952135804</v>
      </c>
      <c r="H58" s="37"/>
      <c r="I58" s="237">
        <f>TSPT_COT!AY48</f>
        <v>8535996.75</v>
      </c>
      <c r="J58" s="86"/>
      <c r="K58" s="85">
        <f>TSPT_COT!BA48</f>
        <v>341868.48</v>
      </c>
      <c r="L58" s="86"/>
      <c r="M58" s="85">
        <f>TSPT_COT!BC48</f>
        <v>8877865.2300000004</v>
      </c>
      <c r="N58" s="37"/>
      <c r="O58" s="133">
        <f>TSPT_COT!BE48</f>
        <v>8877</v>
      </c>
      <c r="P58" s="37"/>
      <c r="Q58" s="40">
        <f>+Q56+Q49+Q42+Q35+Q28</f>
        <v>388736743</v>
      </c>
      <c r="R58" s="37"/>
      <c r="S58" s="40">
        <f>+S56+S49+S42+S35+S28</f>
        <v>1689658</v>
      </c>
      <c r="T58" s="37"/>
      <c r="U58" s="119">
        <f t="shared" si="10"/>
        <v>0.26699819440530737</v>
      </c>
      <c r="V58" s="37"/>
      <c r="W58" s="85">
        <f>+W56+W49+W42+W35+W28</f>
        <v>103792008.48</v>
      </c>
      <c r="X58" s="86"/>
      <c r="Y58" s="85">
        <f>+Y56+Y49+Y42+Y35+Y28</f>
        <v>14765138.129999999</v>
      </c>
      <c r="Z58" s="86"/>
      <c r="AA58" s="85">
        <f>+AA56+AA49+AA42+AA35+AA28</f>
        <v>118557146.61</v>
      </c>
      <c r="AB58" s="37"/>
      <c r="AC58" s="133">
        <f>+AC56+AC49+AC42+AC35+AC28</f>
        <v>118240</v>
      </c>
      <c r="AD58" s="37"/>
      <c r="AE58" s="41"/>
      <c r="AF58" s="41"/>
      <c r="AG58" s="41"/>
      <c r="AH58" s="41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68"/>
      <c r="AV58" s="37"/>
      <c r="AW58" s="43"/>
      <c r="AX58" s="37"/>
      <c r="AY58" s="43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42"/>
      <c r="BN58" s="37"/>
      <c r="BO58" s="31"/>
      <c r="BP58" s="37"/>
      <c r="BQ58" s="37"/>
      <c r="BR58" s="37"/>
      <c r="BS58" s="31"/>
      <c r="BT58" s="37"/>
      <c r="BU58" s="31" t="s">
        <v>85</v>
      </c>
      <c r="BV58">
        <v>352054026</v>
      </c>
      <c r="BW58" s="41"/>
      <c r="BX58">
        <v>1618978</v>
      </c>
      <c r="BY58" s="41"/>
      <c r="BZ58">
        <v>0.27056885073088183</v>
      </c>
      <c r="CA58" s="41"/>
      <c r="CB58">
        <v>95254853.209999993</v>
      </c>
      <c r="CC58" s="69"/>
      <c r="CD58">
        <v>14423269.650000002</v>
      </c>
      <c r="CE58" s="69"/>
      <c r="CF58">
        <v>109678122.86000001</v>
      </c>
      <c r="CG58" s="70"/>
      <c r="CH58">
        <v>101242</v>
      </c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</row>
    <row r="59" spans="1:126">
      <c r="A59" s="27"/>
      <c r="C59" s="28"/>
      <c r="E59" s="15"/>
      <c r="G59" s="32"/>
      <c r="I59" s="83"/>
      <c r="J59" s="83"/>
      <c r="K59" s="83"/>
      <c r="L59" s="83"/>
      <c r="O59" s="34"/>
      <c r="Q59" s="18"/>
      <c r="S59" s="35"/>
      <c r="U59" s="32"/>
      <c r="W59" s="83"/>
      <c r="X59" s="83"/>
      <c r="Y59" s="83"/>
      <c r="Z59" s="83"/>
      <c r="AA59" s="83"/>
      <c r="AC59" s="140"/>
      <c r="AE59" s="35"/>
      <c r="AF59" s="35"/>
      <c r="AG59" s="35"/>
      <c r="AH59" s="35"/>
      <c r="AU59" s="19"/>
      <c r="AW59" s="17"/>
      <c r="AY59" s="17"/>
      <c r="BM59" s="12"/>
      <c r="BO59" s="30"/>
      <c r="BS59" s="30"/>
      <c r="BU59" s="27"/>
      <c r="BW59" s="35"/>
      <c r="BY59" s="35"/>
      <c r="CA59" s="35"/>
      <c r="CC59" s="61"/>
      <c r="CE59" s="61"/>
      <c r="CF59"/>
      <c r="CG59" s="44"/>
    </row>
    <row r="60" spans="1:126">
      <c r="A60" s="31" t="str">
        <f>+TSPT_COT!A50</f>
        <v>East</v>
      </c>
      <c r="C60" s="28"/>
      <c r="E60" s="15"/>
      <c r="G60" s="32"/>
      <c r="I60" s="83"/>
      <c r="J60" s="83"/>
      <c r="K60" s="83"/>
      <c r="L60" s="83"/>
      <c r="O60" s="34"/>
      <c r="Q60" s="18"/>
      <c r="S60" s="35"/>
      <c r="U60" s="32"/>
      <c r="W60" s="83"/>
      <c r="X60" s="83"/>
      <c r="Y60" s="83"/>
      <c r="Z60" s="83"/>
      <c r="AA60" s="83"/>
      <c r="AC60" s="140"/>
      <c r="AE60" s="35"/>
      <c r="AF60" s="35"/>
      <c r="AG60" s="35"/>
      <c r="AH60" s="35"/>
      <c r="AU60" s="19"/>
      <c r="AW60" s="17"/>
      <c r="AY60" s="17"/>
      <c r="BM60" s="12"/>
      <c r="BO60" s="30"/>
      <c r="BS60" s="30"/>
      <c r="BU60" s="27" t="s">
        <v>86</v>
      </c>
      <c r="BW60" s="35"/>
      <c r="BY60" s="35"/>
      <c r="CA60" s="35"/>
      <c r="CC60" s="61"/>
      <c r="CE60" s="61"/>
      <c r="CF60"/>
      <c r="CG60" s="44"/>
    </row>
    <row r="61" spans="1:126">
      <c r="A61" s="27" t="str">
        <f>+TSPT_COT!A51</f>
        <v xml:space="preserve">   Demand</v>
      </c>
      <c r="C61" s="28">
        <f>TSPT_COT!AS51</f>
        <v>2480000</v>
      </c>
      <c r="E61" s="15">
        <f>TSPT_COT!AU51</f>
        <v>80000</v>
      </c>
      <c r="G61" s="32">
        <f t="shared" ref="G61:G80" si="11">IF(I61=0,0,I61/C61)</f>
        <v>2.5000000000000001E-2</v>
      </c>
      <c r="I61" s="130">
        <f>TSPT_COT!AY51</f>
        <v>62000</v>
      </c>
      <c r="J61" s="83"/>
      <c r="K61" s="130">
        <f>TSPT_COT!BA51</f>
        <v>0</v>
      </c>
      <c r="L61" s="83"/>
      <c r="M61" s="130">
        <f>TSPT_COT!BC51</f>
        <v>62000</v>
      </c>
      <c r="O61" s="34">
        <f>TSPT_COT!BE51</f>
        <v>62</v>
      </c>
      <c r="Q61" s="18">
        <f>+C61+BV61</f>
        <v>28960000</v>
      </c>
      <c r="S61" s="35">
        <f>ROUND(Q61/SLS_COS!$AZ$3,0)</f>
        <v>79342</v>
      </c>
      <c r="U61" s="32">
        <f t="shared" ref="U61:U80" si="12">IF(W61=0,0,W61/Q61)</f>
        <v>1.3208494475138121E-2</v>
      </c>
      <c r="W61" s="83">
        <f>+I61+CB61</f>
        <v>382518</v>
      </c>
      <c r="X61" s="83"/>
      <c r="Y61" s="83">
        <f>+K61+CD61</f>
        <v>0</v>
      </c>
      <c r="Z61" s="83"/>
      <c r="AA61" s="83">
        <f>+M61+CF61</f>
        <v>382518</v>
      </c>
      <c r="AC61" s="140">
        <f>ROUND(AA61/1000,0)</f>
        <v>383</v>
      </c>
      <c r="AE61" s="35"/>
      <c r="AF61" s="35"/>
      <c r="AG61" s="35"/>
      <c r="AH61" s="35"/>
      <c r="AU61" s="19"/>
      <c r="AW61" s="17"/>
      <c r="AY61" s="17"/>
      <c r="BM61" s="12"/>
      <c r="BO61" s="30"/>
      <c r="BS61" s="30"/>
      <c r="BU61" s="27" t="s">
        <v>65</v>
      </c>
      <c r="BV61">
        <v>26480000</v>
      </c>
      <c r="BW61" s="35"/>
      <c r="BX61">
        <v>79281</v>
      </c>
      <c r="BY61" s="35"/>
      <c r="BZ61">
        <v>1.210415407854985E-2</v>
      </c>
      <c r="CA61" s="35"/>
      <c r="CB61">
        <v>320518</v>
      </c>
      <c r="CC61" s="61"/>
      <c r="CD61">
        <v>0</v>
      </c>
      <c r="CE61" s="61"/>
      <c r="CF61">
        <v>320518</v>
      </c>
      <c r="CG61" s="44"/>
      <c r="CH61">
        <v>261</v>
      </c>
    </row>
    <row r="62" spans="1:126">
      <c r="A62" s="27" t="str">
        <f>+TSPT_COT!A52</f>
        <v xml:space="preserve">   FT-West of Thoreau/Window Rock</v>
      </c>
      <c r="C62" s="28">
        <f>TSPT_COT!AS52</f>
        <v>0</v>
      </c>
      <c r="E62" s="15">
        <f>TSPT_COT!AU52</f>
        <v>0</v>
      </c>
      <c r="G62" s="32">
        <f t="shared" si="11"/>
        <v>0</v>
      </c>
      <c r="I62" s="130">
        <f>TSPT_COT!AY52</f>
        <v>0</v>
      </c>
      <c r="J62" s="83"/>
      <c r="K62" s="130">
        <f>TSPT_COT!BA52</f>
        <v>0</v>
      </c>
      <c r="L62" s="83"/>
      <c r="M62" s="130">
        <f>TSPT_COT!BC52</f>
        <v>0</v>
      </c>
      <c r="O62" s="34">
        <f>TSPT_COT!BE52</f>
        <v>0</v>
      </c>
      <c r="Q62" s="18">
        <f>+C62+BV62</f>
        <v>0</v>
      </c>
      <c r="S62" s="35">
        <f>ROUND(Q62/SLS_COS!$AZ$3,0)</f>
        <v>0</v>
      </c>
      <c r="U62" s="32">
        <f t="shared" si="12"/>
        <v>0</v>
      </c>
      <c r="W62" s="83">
        <f>+I62+CB62</f>
        <v>0</v>
      </c>
      <c r="X62" s="83"/>
      <c r="Y62" s="83">
        <f>+K62+CD62</f>
        <v>0</v>
      </c>
      <c r="Z62" s="83"/>
      <c r="AA62" s="83">
        <f>+M62+CF62</f>
        <v>0</v>
      </c>
      <c r="AC62" s="140">
        <f>ROUND(AA62/1000,0)</f>
        <v>0</v>
      </c>
      <c r="AE62" s="35"/>
      <c r="AF62" s="35"/>
      <c r="AG62" s="35"/>
      <c r="AH62" s="35"/>
      <c r="AU62" s="19"/>
      <c r="AW62" s="17"/>
      <c r="AY62" s="17"/>
      <c r="BM62" s="12"/>
      <c r="BO62" s="30"/>
      <c r="BS62" s="30"/>
      <c r="BU62" s="27" t="s">
        <v>66</v>
      </c>
      <c r="BV62">
        <v>0</v>
      </c>
      <c r="BW62" s="35"/>
      <c r="BX62">
        <v>0</v>
      </c>
      <c r="BY62" s="35"/>
      <c r="BZ62">
        <v>0</v>
      </c>
      <c r="CA62" s="35"/>
      <c r="CB62">
        <v>0</v>
      </c>
      <c r="CC62" s="61"/>
      <c r="CD62">
        <v>0</v>
      </c>
      <c r="CE62" s="61"/>
      <c r="CF62">
        <v>0</v>
      </c>
      <c r="CG62" s="44"/>
      <c r="CH62">
        <v>0</v>
      </c>
    </row>
    <row r="63" spans="1:126">
      <c r="A63" s="27" t="str">
        <f>+TSPT_COT!A53</f>
        <v xml:space="preserve">   FR-West of Thoreau/Window Rock</v>
      </c>
      <c r="C63" s="28">
        <f>TSPT_COT!AS53</f>
        <v>0</v>
      </c>
      <c r="E63" s="15">
        <f>TSPT_COT!AU53</f>
        <v>0</v>
      </c>
      <c r="G63" s="32">
        <f t="shared" si="11"/>
        <v>0</v>
      </c>
      <c r="I63" s="130">
        <f>TSPT_COT!AY53</f>
        <v>0</v>
      </c>
      <c r="J63" s="83"/>
      <c r="K63" s="130">
        <f>TSPT_COT!BA53</f>
        <v>0</v>
      </c>
      <c r="L63" s="83"/>
      <c r="M63" s="130">
        <f>TSPT_COT!BC53</f>
        <v>0</v>
      </c>
      <c r="O63" s="34">
        <f>TSPT_COT!BE53</f>
        <v>0</v>
      </c>
      <c r="Q63" s="18">
        <f>+C63+BV63</f>
        <v>0</v>
      </c>
      <c r="S63" s="35">
        <f>ROUND(Q63/SLS_COS!$AZ$3,0)</f>
        <v>0</v>
      </c>
      <c r="U63" s="32">
        <f t="shared" si="12"/>
        <v>0</v>
      </c>
      <c r="W63" s="83">
        <f>+I63+CB63</f>
        <v>0</v>
      </c>
      <c r="X63" s="83"/>
      <c r="Y63" s="83">
        <f>+K63+CD63</f>
        <v>0</v>
      </c>
      <c r="Z63" s="83"/>
      <c r="AA63" s="83">
        <f>+M63+CF63</f>
        <v>0</v>
      </c>
      <c r="AC63" s="140">
        <f>ROUND(AA63/1000,0)</f>
        <v>0</v>
      </c>
      <c r="AE63" s="35"/>
      <c r="AF63" s="35"/>
      <c r="AG63" s="35"/>
      <c r="AH63" s="35"/>
      <c r="AU63" s="19"/>
      <c r="AW63" s="17"/>
      <c r="AY63" s="17"/>
      <c r="BM63" s="12"/>
      <c r="BO63" s="30"/>
      <c r="BS63" s="30"/>
      <c r="BU63" s="27" t="s">
        <v>67</v>
      </c>
      <c r="BV63">
        <v>0</v>
      </c>
      <c r="BW63" s="35"/>
      <c r="BX63">
        <v>0</v>
      </c>
      <c r="BY63" s="35"/>
      <c r="BZ63">
        <v>0</v>
      </c>
      <c r="CA63" s="35"/>
      <c r="CB63">
        <v>0</v>
      </c>
      <c r="CC63" s="61"/>
      <c r="CD63">
        <v>0</v>
      </c>
      <c r="CE63" s="61"/>
      <c r="CF63">
        <v>0</v>
      </c>
      <c r="CG63" s="44"/>
      <c r="CH63">
        <v>0</v>
      </c>
    </row>
    <row r="64" spans="1:126">
      <c r="A64" s="27" t="str">
        <f>+TSPT_COT!A54</f>
        <v xml:space="preserve">   LFT-West of Thoreau/Window Rock</v>
      </c>
      <c r="C64" s="28">
        <f>TSPT_COT!AS54</f>
        <v>0</v>
      </c>
      <c r="E64" s="15">
        <f>TSPT_COT!AU54</f>
        <v>0</v>
      </c>
      <c r="G64" s="32">
        <f>IF(I64=0,0,I64/C64)</f>
        <v>0</v>
      </c>
      <c r="I64" s="130">
        <f>TSPT_COT!AY54</f>
        <v>0</v>
      </c>
      <c r="J64" s="83"/>
      <c r="K64" s="130">
        <f>TSPT_COT!BA54</f>
        <v>0</v>
      </c>
      <c r="L64" s="83"/>
      <c r="M64" s="130">
        <f>TSPT_COT!BC54</f>
        <v>0</v>
      </c>
      <c r="O64" s="34">
        <f>TSPT_COT!BE54</f>
        <v>0</v>
      </c>
      <c r="Q64" s="18">
        <f>+C64+BV64</f>
        <v>0</v>
      </c>
      <c r="S64" s="35">
        <f>ROUND(Q64/SLS_COS!$AZ$3,0)</f>
        <v>0</v>
      </c>
      <c r="U64" s="32">
        <f>IF(W64=0,0,W64/Q64)</f>
        <v>0</v>
      </c>
      <c r="W64" s="83">
        <f>+I64+CB64</f>
        <v>0</v>
      </c>
      <c r="X64" s="83"/>
      <c r="Y64" s="83">
        <f>+K64+CD64</f>
        <v>0</v>
      </c>
      <c r="Z64" s="83"/>
      <c r="AA64" s="83">
        <f>+M64+CF64</f>
        <v>0</v>
      </c>
      <c r="AC64" s="140">
        <f>ROUND(AA64/1000,0)</f>
        <v>0</v>
      </c>
      <c r="AE64" s="35"/>
      <c r="AF64" s="35"/>
      <c r="AG64" s="35"/>
      <c r="AH64" s="35"/>
      <c r="AU64" s="19"/>
      <c r="AW64" s="17"/>
      <c r="AY64" s="17"/>
      <c r="BM64" s="12"/>
      <c r="BO64" s="30"/>
      <c r="BS64" s="30"/>
      <c r="BU64" s="27"/>
      <c r="BV64">
        <v>0</v>
      </c>
      <c r="BW64" s="35"/>
      <c r="BX64">
        <v>0</v>
      </c>
      <c r="BY64" s="35"/>
      <c r="BZ64">
        <v>0</v>
      </c>
      <c r="CA64" s="35"/>
      <c r="CB64">
        <v>0</v>
      </c>
      <c r="CC64" s="61"/>
      <c r="CD64">
        <v>0</v>
      </c>
      <c r="CE64" s="61"/>
      <c r="CF64">
        <v>0</v>
      </c>
      <c r="CG64" s="44"/>
      <c r="CH64">
        <v>0</v>
      </c>
    </row>
    <row r="65" spans="1:126">
      <c r="A65" s="27" t="str">
        <f>+TSPT_COT!A55</f>
        <v xml:space="preserve">   IT-West of Thoreau/Window Rock</v>
      </c>
      <c r="C65" s="28">
        <f>TSPT_COT!AS55</f>
        <v>0</v>
      </c>
      <c r="E65" s="15">
        <f>TSPT_COT!AU55</f>
        <v>0</v>
      </c>
      <c r="G65" s="32">
        <f t="shared" si="11"/>
        <v>0</v>
      </c>
      <c r="I65" s="130">
        <f>TSPT_COT!AY55</f>
        <v>0</v>
      </c>
      <c r="J65" s="83"/>
      <c r="K65" s="130">
        <f>TSPT_COT!BA55</f>
        <v>0</v>
      </c>
      <c r="L65" s="83"/>
      <c r="M65" s="130">
        <f>TSPT_COT!BC55</f>
        <v>0</v>
      </c>
      <c r="O65" s="34">
        <f>TSPT_COT!BE55</f>
        <v>0</v>
      </c>
      <c r="Q65" s="18">
        <f>+C65+BV65</f>
        <v>563475</v>
      </c>
      <c r="S65" s="35">
        <f>ROUND(Q65/SLS_COS!$AZ$3,0)</f>
        <v>1544</v>
      </c>
      <c r="U65" s="32">
        <f t="shared" si="12"/>
        <v>0.20232265850303915</v>
      </c>
      <c r="W65" s="83">
        <f>+I65+CB65</f>
        <v>114003.76</v>
      </c>
      <c r="X65" s="83"/>
      <c r="Y65" s="83">
        <f>+K65+CD65</f>
        <v>2069.4299999999998</v>
      </c>
      <c r="Z65" s="83"/>
      <c r="AA65" s="83">
        <f>+M65+CF65</f>
        <v>116073.19</v>
      </c>
      <c r="AC65" s="140">
        <f>ROUND(W65/1000,0)</f>
        <v>114</v>
      </c>
      <c r="AE65" s="35"/>
      <c r="AF65" s="35"/>
      <c r="AG65" s="35"/>
      <c r="AH65" s="35"/>
      <c r="AU65" s="19"/>
      <c r="AW65" s="17"/>
      <c r="AY65" s="17"/>
      <c r="BM65" s="12"/>
      <c r="BO65" s="30"/>
      <c r="BS65" s="30"/>
      <c r="BU65" s="27" t="s">
        <v>87</v>
      </c>
      <c r="BV65">
        <v>563475</v>
      </c>
      <c r="BW65" s="35"/>
      <c r="BX65">
        <v>1687</v>
      </c>
      <c r="BY65" s="35"/>
      <c r="BZ65">
        <v>0.20232265850303915</v>
      </c>
      <c r="CA65" s="35"/>
      <c r="CB65">
        <v>114003.76</v>
      </c>
      <c r="CC65" s="61"/>
      <c r="CD65">
        <v>2069.4299999999998</v>
      </c>
      <c r="CE65" s="61"/>
      <c r="CF65">
        <v>116073.19</v>
      </c>
      <c r="CG65" s="44"/>
      <c r="CH65">
        <v>70</v>
      </c>
    </row>
    <row r="66" spans="1:126">
      <c r="A66" s="31" t="str">
        <f>+TSPT_COT!A56</f>
        <v xml:space="preserve">     Sub-Total</v>
      </c>
      <c r="B66" s="37"/>
      <c r="C66" s="38">
        <f>TSPT_COT!AS56</f>
        <v>0</v>
      </c>
      <c r="D66" s="37"/>
      <c r="E66" s="38">
        <f>TSPT_COT!AU56</f>
        <v>0</v>
      </c>
      <c r="F66" s="37"/>
      <c r="G66" s="119" t="e">
        <f t="shared" si="11"/>
        <v>#DIV/0!</v>
      </c>
      <c r="H66" s="37"/>
      <c r="I66" s="85">
        <f>SUM(I61:I65)</f>
        <v>62000</v>
      </c>
      <c r="J66" s="86"/>
      <c r="K66" s="85">
        <f>TSPT_COT!BA56</f>
        <v>0</v>
      </c>
      <c r="L66" s="86"/>
      <c r="M66" s="85">
        <f>TSPT_COT!BC56</f>
        <v>62000</v>
      </c>
      <c r="N66" s="37"/>
      <c r="O66" s="133">
        <f>TSPT_COT!BE56</f>
        <v>62</v>
      </c>
      <c r="P66" s="37"/>
      <c r="Q66" s="67">
        <f>SUM(Q62:Q65)</f>
        <v>563475</v>
      </c>
      <c r="R66" s="13"/>
      <c r="S66" s="67">
        <f>SUM(S62:S65)</f>
        <v>1544</v>
      </c>
      <c r="T66" s="13"/>
      <c r="U66" s="119">
        <f t="shared" si="12"/>
        <v>0.8811779759527929</v>
      </c>
      <c r="V66" s="37"/>
      <c r="W66" s="85">
        <f>SUM(W61:W65)</f>
        <v>496521.76</v>
      </c>
      <c r="X66" s="86"/>
      <c r="Y66" s="85">
        <f>SUM(Y61:Y65)</f>
        <v>2069.4299999999998</v>
      </c>
      <c r="Z66" s="86"/>
      <c r="AA66" s="85">
        <f>SUM(AA61:AA65)</f>
        <v>498591.19</v>
      </c>
      <c r="AB66" s="37"/>
      <c r="AC66" s="133">
        <f>SUM(AC61:AC65)</f>
        <v>497</v>
      </c>
      <c r="AD66" s="37"/>
      <c r="AE66" s="41"/>
      <c r="AF66" s="41"/>
      <c r="AG66" s="41"/>
      <c r="AH66" s="41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68"/>
      <c r="AV66" s="37"/>
      <c r="AW66" s="43"/>
      <c r="AX66" s="37"/>
      <c r="AY66" s="43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42"/>
      <c r="BN66" s="37"/>
      <c r="BO66" s="31"/>
      <c r="BP66" s="37"/>
      <c r="BQ66" s="37"/>
      <c r="BR66" s="37"/>
      <c r="BS66" s="31"/>
      <c r="BT66" s="37"/>
      <c r="BU66" s="31" t="s">
        <v>69</v>
      </c>
      <c r="BV66">
        <v>563475</v>
      </c>
      <c r="BW66" s="41"/>
      <c r="BX66">
        <v>1687</v>
      </c>
      <c r="BY66" s="41"/>
      <c r="BZ66">
        <v>0.77114647499889077</v>
      </c>
      <c r="CA66" s="41"/>
      <c r="CB66">
        <v>434521.76</v>
      </c>
      <c r="CC66" s="69"/>
      <c r="CD66">
        <v>2069.4299999999998</v>
      </c>
      <c r="CE66" s="69"/>
      <c r="CF66">
        <v>436591.19</v>
      </c>
      <c r="CG66" s="70"/>
      <c r="CH66">
        <v>331</v>
      </c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</row>
    <row r="67" spans="1:126">
      <c r="A67" s="27"/>
      <c r="C67" s="28"/>
      <c r="E67" s="15"/>
      <c r="G67" s="32"/>
      <c r="I67" s="83"/>
      <c r="J67" s="83"/>
      <c r="K67" s="83"/>
      <c r="L67" s="83"/>
      <c r="O67" s="34"/>
      <c r="Q67" s="18"/>
      <c r="S67" s="35"/>
      <c r="U67" s="32"/>
      <c r="W67" s="83"/>
      <c r="X67" s="83"/>
      <c r="Y67" s="83"/>
      <c r="Z67" s="83"/>
      <c r="AA67" s="83"/>
      <c r="AC67" s="140"/>
      <c r="AE67" s="35"/>
      <c r="AF67" s="35"/>
      <c r="AG67" s="35"/>
      <c r="AH67" s="35"/>
      <c r="AU67" s="19"/>
      <c r="AW67" s="17"/>
      <c r="AY67" s="17"/>
      <c r="BM67" s="12"/>
      <c r="BO67" s="30"/>
      <c r="BS67" s="30"/>
      <c r="BU67" s="27"/>
      <c r="BW67" s="35"/>
      <c r="BY67" s="35"/>
      <c r="CA67" s="35"/>
      <c r="CC67" s="61"/>
      <c r="CE67" s="61"/>
      <c r="CF67"/>
      <c r="CG67" s="44"/>
    </row>
    <row r="68" spans="1:126">
      <c r="A68" s="27" t="str">
        <f>+TSPT_COT!A58</f>
        <v xml:space="preserve">   Demand</v>
      </c>
      <c r="C68" s="28">
        <f>TSPT_COT!AS58</f>
        <v>19696418</v>
      </c>
      <c r="E68" s="15">
        <f>TSPT_COT!AU58</f>
        <v>635368</v>
      </c>
      <c r="G68" s="32">
        <f t="shared" si="11"/>
        <v>4.2078359628639074E-2</v>
      </c>
      <c r="I68" s="130">
        <f>TSPT_COT!AY58</f>
        <v>828792.96</v>
      </c>
      <c r="J68" s="83"/>
      <c r="K68" s="130">
        <f>TSPT_COT!BA58</f>
        <v>3321.4</v>
      </c>
      <c r="L68" s="83"/>
      <c r="M68" s="130">
        <f>TSPT_COT!BC58</f>
        <v>832114.36</v>
      </c>
      <c r="O68" s="34">
        <f>TSPT_COT!BE58</f>
        <v>832</v>
      </c>
      <c r="Q68" s="18">
        <f t="shared" ref="Q68:Q73" si="13">+C68+BV68</f>
        <v>213070212</v>
      </c>
      <c r="S68" s="35">
        <f>ROUND(Q68/SLS_COS!$AZ$3,0)</f>
        <v>583754</v>
      </c>
      <c r="U68" s="32">
        <f t="shared" si="12"/>
        <v>3.5909993134094223E-2</v>
      </c>
      <c r="W68" s="83">
        <f t="shared" ref="W68:W74" si="14">+I68+CB68</f>
        <v>7651349.8500000006</v>
      </c>
      <c r="X68" s="83"/>
      <c r="Y68" s="83">
        <f t="shared" ref="Y68:Y74" si="15">+K68+CD68</f>
        <v>36145.08</v>
      </c>
      <c r="Z68" s="83"/>
      <c r="AA68" s="83">
        <f t="shared" ref="AA68:AA74" si="16">+M68+CF68</f>
        <v>7687494.9300000006</v>
      </c>
      <c r="AC68" s="140">
        <f t="shared" ref="AC68:AC74" si="17">ROUND(AA68/1000,0)</f>
        <v>7687</v>
      </c>
      <c r="AE68" s="35"/>
      <c r="AF68" s="35"/>
      <c r="AG68" s="35"/>
      <c r="AH68" s="35"/>
      <c r="AU68" s="19"/>
      <c r="AW68" s="17"/>
      <c r="AY68" s="17"/>
      <c r="BM68" s="12"/>
      <c r="BO68" s="30"/>
      <c r="BS68" s="30"/>
      <c r="BU68" s="27" t="s">
        <v>65</v>
      </c>
      <c r="BV68">
        <v>193373794</v>
      </c>
      <c r="BW68" s="35"/>
      <c r="BX68">
        <v>578963</v>
      </c>
      <c r="BY68" s="35"/>
      <c r="BZ68">
        <v>3.5281703631465183E-2</v>
      </c>
      <c r="CA68" s="35"/>
      <c r="CB68">
        <v>6822556.8900000006</v>
      </c>
      <c r="CC68" s="61"/>
      <c r="CD68">
        <v>32823.68</v>
      </c>
      <c r="CE68" s="61"/>
      <c r="CF68">
        <v>6855380.5700000003</v>
      </c>
      <c r="CG68" s="44"/>
      <c r="CH68">
        <v>6086</v>
      </c>
    </row>
    <row r="69" spans="1:126">
      <c r="A69" s="27" t="str">
        <f>+TSPT_COT!A59</f>
        <v xml:space="preserve">   FT-East of Thoreau</v>
      </c>
      <c r="C69" s="28">
        <f>TSPT_COT!AS59</f>
        <v>8690754</v>
      </c>
      <c r="E69" s="15">
        <f>TSPT_COT!AU59</f>
        <v>280349</v>
      </c>
      <c r="G69" s="32">
        <f t="shared" si="11"/>
        <v>7.2557156720809268E-3</v>
      </c>
      <c r="I69" s="130">
        <f>TSPT_COT!AY59</f>
        <v>63057.64</v>
      </c>
      <c r="J69" s="83"/>
      <c r="K69" s="130">
        <f>TSPT_COT!BA59</f>
        <v>19330.07</v>
      </c>
      <c r="L69" s="83"/>
      <c r="M69" s="130">
        <f>TSPT_COT!BC59</f>
        <v>82387.710000000006</v>
      </c>
      <c r="O69" s="34">
        <f>TSPT_COT!BE59</f>
        <v>82</v>
      </c>
      <c r="Q69" s="18">
        <f t="shared" si="13"/>
        <v>106875587</v>
      </c>
      <c r="S69" s="35">
        <f>ROUND(Q69/SLS_COS!$AZ$3,0)</f>
        <v>292810</v>
      </c>
      <c r="U69" s="32">
        <f t="shared" si="12"/>
        <v>7.6365634370738015E-3</v>
      </c>
      <c r="W69" s="83">
        <f t="shared" si="14"/>
        <v>816162.20000000007</v>
      </c>
      <c r="X69" s="83"/>
      <c r="Y69" s="83">
        <f t="shared" si="15"/>
        <v>241401.56</v>
      </c>
      <c r="Z69" s="83"/>
      <c r="AA69" s="83">
        <f t="shared" si="16"/>
        <v>1057563.76</v>
      </c>
      <c r="AC69" s="140">
        <f t="shared" si="17"/>
        <v>1058</v>
      </c>
      <c r="AE69" s="35"/>
      <c r="AF69" s="35"/>
      <c r="AG69" s="35"/>
      <c r="AH69" s="35"/>
      <c r="AU69" s="19"/>
      <c r="AW69" s="17"/>
      <c r="AY69" s="17"/>
      <c r="BM69" s="12"/>
      <c r="BO69" s="30"/>
      <c r="BS69" s="30"/>
      <c r="BU69" s="27" t="s">
        <v>79</v>
      </c>
      <c r="BV69">
        <v>98184833</v>
      </c>
      <c r="BW69" s="35"/>
      <c r="BX69">
        <v>293967</v>
      </c>
      <c r="BY69" s="35"/>
      <c r="BZ69">
        <v>7.6702738802845449E-3</v>
      </c>
      <c r="CA69" s="35"/>
      <c r="CB69">
        <v>753104.56</v>
      </c>
      <c r="CC69" s="61"/>
      <c r="CD69">
        <v>222071.49</v>
      </c>
      <c r="CE69" s="61"/>
      <c r="CF69">
        <v>975176.05</v>
      </c>
      <c r="CG69" s="44"/>
      <c r="CH69">
        <v>862</v>
      </c>
    </row>
    <row r="70" spans="1:126">
      <c r="A70" s="27" t="str">
        <f>+TSPT_COT!A60</f>
        <v xml:space="preserve">   FR-East of Thoreau</v>
      </c>
      <c r="C70" s="28">
        <f>TSPT_COT!AS60</f>
        <v>0</v>
      </c>
      <c r="E70" s="15">
        <f>TSPT_COT!AU60</f>
        <v>0</v>
      </c>
      <c r="G70" s="32">
        <f t="shared" si="11"/>
        <v>0</v>
      </c>
      <c r="I70" s="130">
        <f>TSPT_COT!AY60</f>
        <v>0</v>
      </c>
      <c r="J70" s="83"/>
      <c r="K70" s="130">
        <f>TSPT_COT!BA60</f>
        <v>0</v>
      </c>
      <c r="L70" s="83"/>
      <c r="M70" s="130">
        <f>TSPT_COT!BC60</f>
        <v>0</v>
      </c>
      <c r="O70" s="34">
        <f>TSPT_COT!BE60</f>
        <v>0</v>
      </c>
      <c r="Q70" s="18">
        <f t="shared" si="13"/>
        <v>0</v>
      </c>
      <c r="S70" s="35">
        <f>ROUND(Q70/SLS_COS!$AZ$3,0)</f>
        <v>0</v>
      </c>
      <c r="U70" s="32">
        <f t="shared" si="12"/>
        <v>0</v>
      </c>
      <c r="W70" s="83">
        <f t="shared" si="14"/>
        <v>0</v>
      </c>
      <c r="X70" s="83"/>
      <c r="Y70" s="83">
        <f t="shared" si="15"/>
        <v>0</v>
      </c>
      <c r="Z70" s="83"/>
      <c r="AA70" s="83">
        <f t="shared" si="16"/>
        <v>0</v>
      </c>
      <c r="AC70" s="140">
        <f t="shared" si="17"/>
        <v>0</v>
      </c>
      <c r="AE70" s="35"/>
      <c r="AF70" s="35"/>
      <c r="AG70" s="35"/>
      <c r="AH70" s="35"/>
      <c r="AU70" s="19"/>
      <c r="AW70" s="17"/>
      <c r="AY70" s="17"/>
      <c r="BM70" s="12"/>
      <c r="BO70" s="30"/>
      <c r="BS70" s="30"/>
      <c r="BU70" s="27" t="s">
        <v>80</v>
      </c>
      <c r="BV70">
        <v>0</v>
      </c>
      <c r="BW70" s="35"/>
      <c r="BX70">
        <v>0</v>
      </c>
      <c r="BY70" s="35"/>
      <c r="BZ70">
        <v>0</v>
      </c>
      <c r="CA70" s="35"/>
      <c r="CB70">
        <v>0</v>
      </c>
      <c r="CC70" s="61"/>
      <c r="CD70">
        <v>0</v>
      </c>
      <c r="CE70" s="61"/>
      <c r="CF70">
        <v>0</v>
      </c>
      <c r="CG70" s="44"/>
      <c r="CH70">
        <v>0</v>
      </c>
    </row>
    <row r="71" spans="1:126">
      <c r="A71" s="27" t="str">
        <f>+TSPT_COT!A61</f>
        <v xml:space="preserve">   LFT-East of Thoreau</v>
      </c>
      <c r="C71" s="28">
        <f>TSPT_COT!AS61</f>
        <v>0</v>
      </c>
      <c r="E71" s="15">
        <f>TSPT_COT!AU61</f>
        <v>0</v>
      </c>
      <c r="G71" s="32">
        <f>IF(I71=0,0,I71/C71)</f>
        <v>0</v>
      </c>
      <c r="I71" s="130">
        <f>TSPT_COT!AY61</f>
        <v>0</v>
      </c>
      <c r="J71" s="83"/>
      <c r="K71" s="130">
        <f>TSPT_COT!BA61</f>
        <v>0</v>
      </c>
      <c r="L71" s="83"/>
      <c r="M71" s="130">
        <f>TSPT_COT!BC61</f>
        <v>0</v>
      </c>
      <c r="O71" s="34">
        <f>TSPT_COT!BE61</f>
        <v>0</v>
      </c>
      <c r="Q71" s="18">
        <f t="shared" si="13"/>
        <v>0</v>
      </c>
      <c r="S71" s="35">
        <f>ROUND(Q71/SLS_COS!$AZ$3,0)</f>
        <v>0</v>
      </c>
      <c r="U71" s="32">
        <f>IF(W71=0,0,W71/Q71)</f>
        <v>0</v>
      </c>
      <c r="W71" s="83">
        <f t="shared" si="14"/>
        <v>0</v>
      </c>
      <c r="X71" s="83"/>
      <c r="Y71" s="83">
        <f t="shared" si="15"/>
        <v>0</v>
      </c>
      <c r="Z71" s="83"/>
      <c r="AA71" s="83">
        <f t="shared" si="16"/>
        <v>0</v>
      </c>
      <c r="AC71" s="140">
        <f t="shared" si="17"/>
        <v>0</v>
      </c>
      <c r="AE71" s="35"/>
      <c r="AF71" s="35"/>
      <c r="AG71" s="35"/>
      <c r="AH71" s="35"/>
      <c r="AU71" s="19"/>
      <c r="AW71" s="17"/>
      <c r="AY71" s="17"/>
      <c r="BM71" s="12"/>
      <c r="BO71" s="30"/>
      <c r="BS71" s="30"/>
      <c r="BU71" s="27"/>
      <c r="BV71">
        <v>0</v>
      </c>
      <c r="BW71" s="35"/>
      <c r="BX71">
        <v>0</v>
      </c>
      <c r="BY71" s="35"/>
      <c r="BZ71">
        <v>0</v>
      </c>
      <c r="CA71" s="35"/>
      <c r="CB71">
        <v>0</v>
      </c>
      <c r="CC71" s="61"/>
      <c r="CD71">
        <v>0</v>
      </c>
      <c r="CE71" s="61"/>
      <c r="CF71">
        <v>0</v>
      </c>
      <c r="CG71" s="44"/>
      <c r="CH71">
        <v>0</v>
      </c>
    </row>
    <row r="72" spans="1:126">
      <c r="A72" s="27" t="str">
        <f>+TSPT_COT!A62</f>
        <v xml:space="preserve">   IT-East of Thoreau</v>
      </c>
      <c r="C72" s="46">
        <f>TSPT_COT!AS62</f>
        <v>288090</v>
      </c>
      <c r="D72" s="12"/>
      <c r="E72" s="47">
        <f>TSPT_COT!AU62</f>
        <v>9293</v>
      </c>
      <c r="F72" s="12"/>
      <c r="G72" s="48">
        <f t="shared" si="11"/>
        <v>5.3703148321705023E-2</v>
      </c>
      <c r="H72" s="12"/>
      <c r="I72" s="213">
        <f>TSPT_COT!AY62</f>
        <v>15471.34</v>
      </c>
      <c r="J72" s="87"/>
      <c r="K72" s="213">
        <f>TSPT_COT!BA62</f>
        <v>558.02</v>
      </c>
      <c r="L72" s="87"/>
      <c r="M72" s="213">
        <f>TSPT_COT!BC62</f>
        <v>16029.36</v>
      </c>
      <c r="N72" s="12"/>
      <c r="O72" s="71">
        <f>TSPT_COT!BE62</f>
        <v>16</v>
      </c>
      <c r="P72" s="12"/>
      <c r="Q72" s="188">
        <f t="shared" si="13"/>
        <v>8040124</v>
      </c>
      <c r="R72" s="12"/>
      <c r="S72" s="214">
        <f>ROUND(Q72/SLS_COS!$AZ$3,0)</f>
        <v>22028</v>
      </c>
      <c r="T72" s="12"/>
      <c r="U72" s="48">
        <f t="shared" si="12"/>
        <v>6.4581720381426955E-2</v>
      </c>
      <c r="V72" s="12"/>
      <c r="W72" s="87">
        <f t="shared" si="14"/>
        <v>519245.04000000004</v>
      </c>
      <c r="X72" s="87"/>
      <c r="Y72" s="87">
        <f t="shared" si="15"/>
        <v>19349.34</v>
      </c>
      <c r="Z72" s="87"/>
      <c r="AA72" s="87">
        <f t="shared" si="16"/>
        <v>538594.38</v>
      </c>
      <c r="AB72" s="12"/>
      <c r="AC72" s="215">
        <f t="shared" si="17"/>
        <v>539</v>
      </c>
      <c r="AD72" s="12"/>
      <c r="AE72" s="214"/>
      <c r="AF72" s="214"/>
      <c r="AG72" s="214"/>
      <c r="AH72" s="214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216"/>
      <c r="AV72" s="12"/>
      <c r="AW72" s="217"/>
      <c r="AX72" s="12"/>
      <c r="AY72" s="17"/>
      <c r="BM72" s="12"/>
      <c r="BO72" s="30"/>
      <c r="BS72" s="30"/>
      <c r="BU72" s="27" t="s">
        <v>81</v>
      </c>
      <c r="BV72">
        <v>7752034</v>
      </c>
      <c r="BW72" s="35"/>
      <c r="BX72">
        <v>23210</v>
      </c>
      <c r="BY72" s="35"/>
      <c r="BZ72">
        <v>6.4986002383374486E-2</v>
      </c>
      <c r="CA72" s="35"/>
      <c r="CB72">
        <v>503773.7</v>
      </c>
      <c r="CC72" s="61"/>
      <c r="CD72">
        <v>18791.32</v>
      </c>
      <c r="CE72" s="61"/>
      <c r="CF72">
        <v>522565.02</v>
      </c>
      <c r="CG72" s="44"/>
      <c r="CH72">
        <v>499</v>
      </c>
    </row>
    <row r="73" spans="1:126" s="117" customFormat="1">
      <c r="A73" s="27" t="str">
        <f>+TSPT_COT!A63</f>
        <v xml:space="preserve">   PNR-East of Thoreau</v>
      </c>
      <c r="B73" s="37"/>
      <c r="C73" s="93">
        <f>TSPT_COT!AS63</f>
        <v>4793</v>
      </c>
      <c r="D73" s="12"/>
      <c r="E73" s="94">
        <f>TSPT_COT!AU63</f>
        <v>155</v>
      </c>
      <c r="F73" s="12"/>
      <c r="G73" s="95">
        <f>IF(I73=0,0,I73/C73)</f>
        <v>4.3133444606718134</v>
      </c>
      <c r="H73" s="12"/>
      <c r="I73" s="131">
        <f>TSPT_COT!AY63</f>
        <v>20673.86</v>
      </c>
      <c r="J73" s="87"/>
      <c r="K73" s="131">
        <f>TSPT_COT!BA63</f>
        <v>0</v>
      </c>
      <c r="L73" s="87"/>
      <c r="M73" s="131">
        <f>TSPT_COT!BC63</f>
        <v>20673.86</v>
      </c>
      <c r="N73" s="12"/>
      <c r="O73" s="97">
        <f>TSPT_COT!BE63</f>
        <v>21</v>
      </c>
      <c r="P73" s="12"/>
      <c r="Q73" s="21">
        <f t="shared" si="13"/>
        <v>50419</v>
      </c>
      <c r="R73" s="12"/>
      <c r="S73" s="226">
        <f>ROUND(Q73/SLS_COS!$AZ$3,0)</f>
        <v>138</v>
      </c>
      <c r="T73" s="12"/>
      <c r="U73" s="95">
        <f>IF(W73=0,0,W73/Q73)</f>
        <v>0.95986096511235841</v>
      </c>
      <c r="V73" s="12"/>
      <c r="W73" s="98">
        <f t="shared" si="14"/>
        <v>48395.229999999996</v>
      </c>
      <c r="X73" s="87"/>
      <c r="Y73" s="98">
        <f t="shared" si="15"/>
        <v>13193.25</v>
      </c>
      <c r="Z73" s="87"/>
      <c r="AA73" s="98">
        <f t="shared" si="16"/>
        <v>61588.480000000003</v>
      </c>
      <c r="AB73" s="12"/>
      <c r="AC73" s="169">
        <f t="shared" si="17"/>
        <v>62</v>
      </c>
      <c r="AD73" s="37"/>
      <c r="AE73" s="41"/>
      <c r="AF73" s="41"/>
      <c r="AG73" s="41"/>
      <c r="AH73" s="41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68"/>
      <c r="AV73" s="37"/>
      <c r="AW73" s="43"/>
      <c r="AX73" s="37"/>
      <c r="AY73" s="43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42"/>
      <c r="BN73" s="37"/>
      <c r="BO73" s="31"/>
      <c r="BP73" s="37"/>
      <c r="BQ73" s="37"/>
      <c r="BR73" s="37"/>
      <c r="BS73" s="31"/>
      <c r="BT73" s="37"/>
      <c r="BU73" s="31" t="s">
        <v>69</v>
      </c>
      <c r="BV73">
        <v>45626</v>
      </c>
      <c r="BW73" s="41"/>
      <c r="BX73">
        <v>137</v>
      </c>
      <c r="BY73" s="41"/>
      <c r="BZ73">
        <v>0.60757835444702579</v>
      </c>
      <c r="CA73" s="41"/>
      <c r="CB73">
        <v>27721.37</v>
      </c>
      <c r="CC73" s="69"/>
      <c r="CD73">
        <v>13193.25</v>
      </c>
      <c r="CE73" s="69"/>
      <c r="CF73">
        <v>40914.620000000003</v>
      </c>
      <c r="CG73" s="70"/>
      <c r="CH73">
        <v>41</v>
      </c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</row>
    <row r="74" spans="1:126" s="117" customFormat="1">
      <c r="A74" s="31" t="str">
        <f>+TSPT_COT!A64</f>
        <v xml:space="preserve">     Sub-Total</v>
      </c>
      <c r="B74" s="37"/>
      <c r="C74" s="218">
        <f>TSPT_COT!AS64</f>
        <v>8983637</v>
      </c>
      <c r="D74" s="37"/>
      <c r="E74" s="219">
        <f>TSPT_COT!AU64</f>
        <v>289797</v>
      </c>
      <c r="F74" s="37"/>
      <c r="G74" s="212">
        <f>IF(I74=0,0,I74/C74)</f>
        <v>0.10329845250871111</v>
      </c>
      <c r="H74" s="37"/>
      <c r="I74" s="220">
        <f>TSPT_COT!AY64</f>
        <v>927995.79999999993</v>
      </c>
      <c r="J74" s="221"/>
      <c r="K74" s="220">
        <f>TSPT_COT!BA64</f>
        <v>23209.49</v>
      </c>
      <c r="L74" s="221"/>
      <c r="M74" s="220">
        <f>TSPT_COT!BC64</f>
        <v>951205.28999999992</v>
      </c>
      <c r="N74" s="37"/>
      <c r="O74" s="222">
        <f>TSPT_COT!BE64</f>
        <v>951</v>
      </c>
      <c r="P74" s="126"/>
      <c r="Q74" s="223">
        <f>SUM(Q69:Q73)</f>
        <v>114966130</v>
      </c>
      <c r="R74" s="126"/>
      <c r="S74" s="224">
        <f>SUM(S69:S73)</f>
        <v>314976</v>
      </c>
      <c r="T74" s="126"/>
      <c r="U74" s="212">
        <f>IF(W74=0,0,W74/Q74)</f>
        <v>7.8589688284714826E-2</v>
      </c>
      <c r="V74" s="126"/>
      <c r="W74" s="221">
        <f t="shared" si="14"/>
        <v>9035152.3200000022</v>
      </c>
      <c r="X74" s="221"/>
      <c r="Y74" s="221">
        <f t="shared" si="15"/>
        <v>310089.23</v>
      </c>
      <c r="Z74" s="221"/>
      <c r="AA74" s="221">
        <f t="shared" si="16"/>
        <v>9345241.5499999989</v>
      </c>
      <c r="AB74" s="126"/>
      <c r="AC74" s="225">
        <f t="shared" si="17"/>
        <v>9345</v>
      </c>
      <c r="AD74" s="37"/>
      <c r="AE74" s="41"/>
      <c r="AF74" s="41"/>
      <c r="AG74" s="41"/>
      <c r="AH74" s="41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68"/>
      <c r="AV74" s="37"/>
      <c r="AW74" s="43"/>
      <c r="AX74" s="37"/>
      <c r="AY74" s="43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42"/>
      <c r="BN74" s="37"/>
      <c r="BO74" s="31"/>
      <c r="BP74" s="37"/>
      <c r="BQ74" s="37"/>
      <c r="BR74" s="37"/>
      <c r="BS74" s="31"/>
      <c r="BT74" s="37"/>
      <c r="BU74" s="31"/>
      <c r="BV74" s="117">
        <v>105982493</v>
      </c>
      <c r="BW74" s="41"/>
      <c r="BX74" s="117">
        <v>317314</v>
      </c>
      <c r="BY74" s="41"/>
      <c r="BZ74" s="117">
        <v>7.6495242662389551E-2</v>
      </c>
      <c r="CA74" s="41"/>
      <c r="CB74" s="117">
        <v>8107156.5200000014</v>
      </c>
      <c r="CC74" s="69"/>
      <c r="CD74" s="117">
        <v>286879.74</v>
      </c>
      <c r="CE74" s="69"/>
      <c r="CF74" s="117">
        <v>8394036.2599999998</v>
      </c>
      <c r="CG74" s="70"/>
      <c r="CH74" s="117">
        <v>7489</v>
      </c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</row>
    <row r="75" spans="1:126">
      <c r="A75" s="27"/>
      <c r="C75" s="28"/>
      <c r="E75" s="15"/>
      <c r="G75" s="32"/>
      <c r="I75" s="83"/>
      <c r="J75" s="83"/>
      <c r="K75" s="83"/>
      <c r="L75" s="83"/>
      <c r="M75" s="137"/>
      <c r="O75" s="34"/>
      <c r="Q75" s="18"/>
      <c r="S75" s="35"/>
      <c r="U75" s="32"/>
      <c r="W75" s="83"/>
      <c r="X75" s="83"/>
      <c r="Y75" s="83"/>
      <c r="Z75" s="83"/>
      <c r="AA75" s="83"/>
      <c r="AC75" s="140"/>
      <c r="AE75" s="35"/>
      <c r="AF75" s="35"/>
      <c r="AG75" s="35"/>
      <c r="AH75" s="35"/>
      <c r="AU75" s="19"/>
      <c r="AW75" s="17"/>
      <c r="AY75" s="17"/>
      <c r="BM75" s="12"/>
      <c r="BO75" s="30"/>
      <c r="BS75" s="30"/>
      <c r="BU75" s="27"/>
      <c r="BW75" s="35"/>
      <c r="BY75" s="35"/>
      <c r="CA75" s="35"/>
      <c r="CC75" s="61"/>
      <c r="CE75" s="61"/>
      <c r="CF75"/>
      <c r="CG75" s="44"/>
    </row>
    <row r="76" spans="1:126">
      <c r="A76" s="20" t="s">
        <v>73</v>
      </c>
      <c r="C76" s="28">
        <f>+TSPT_COT!AS66</f>
        <v>1240000</v>
      </c>
      <c r="E76" s="28">
        <f>+TSPT_COT!AU66</f>
        <v>40000</v>
      </c>
      <c r="G76" s="32">
        <f t="shared" si="11"/>
        <v>0.20699999999999999</v>
      </c>
      <c r="I76" s="83">
        <f>+TSPT_COT!AY66</f>
        <v>256680</v>
      </c>
      <c r="J76" s="83"/>
      <c r="K76" s="83">
        <f>+TSPT_COT!BA66</f>
        <v>0</v>
      </c>
      <c r="L76" s="83"/>
      <c r="M76" s="83">
        <f>+TSPT_COT!BC66</f>
        <v>256680</v>
      </c>
      <c r="O76" s="140">
        <f>+TSPT_COT!BE66</f>
        <v>257</v>
      </c>
      <c r="Q76" s="18">
        <f>+C76+BV76</f>
        <v>14600000</v>
      </c>
      <c r="S76" s="18">
        <f>+E76+BX76</f>
        <v>480000</v>
      </c>
      <c r="U76" s="32">
        <f t="shared" si="12"/>
        <v>0.20686450342465754</v>
      </c>
      <c r="W76" s="4">
        <f>+I76+CB76</f>
        <v>3020221.75</v>
      </c>
      <c r="X76" s="83"/>
      <c r="Y76" s="4">
        <f>+K76+CD76</f>
        <v>0</v>
      </c>
      <c r="Z76" s="83"/>
      <c r="AA76" s="4">
        <f>+M76+CF76</f>
        <v>3020221.75</v>
      </c>
      <c r="AC76" s="6">
        <f>+O76+CH76</f>
        <v>2773</v>
      </c>
      <c r="AE76" s="35"/>
      <c r="AF76" s="35"/>
      <c r="AG76" s="35"/>
      <c r="AH76" s="35"/>
      <c r="AU76" s="19"/>
      <c r="AW76" s="17"/>
      <c r="AY76" s="17"/>
      <c r="BM76" s="12"/>
      <c r="BO76" s="30"/>
      <c r="BS76" s="30"/>
      <c r="BU76" s="27"/>
      <c r="BV76">
        <v>13360000</v>
      </c>
      <c r="BW76" s="35"/>
      <c r="BX76">
        <v>440000</v>
      </c>
      <c r="BY76" s="35"/>
      <c r="BZ76">
        <v>0.20685192739520958</v>
      </c>
      <c r="CA76" s="35"/>
      <c r="CB76">
        <v>2763541.75</v>
      </c>
      <c r="CC76" s="61"/>
      <c r="CD76">
        <v>0</v>
      </c>
      <c r="CE76" s="61"/>
      <c r="CF76">
        <v>2763541.75</v>
      </c>
      <c r="CG76" s="44"/>
      <c r="CH76">
        <v>2516</v>
      </c>
    </row>
    <row r="77" spans="1:126">
      <c r="A77" s="20" t="s">
        <v>74</v>
      </c>
      <c r="C77" s="28">
        <f>+TSPT_COT!AS67</f>
        <v>0</v>
      </c>
      <c r="E77" s="28">
        <f>+TSPT_COT!AU67</f>
        <v>0</v>
      </c>
      <c r="G77" s="32">
        <f t="shared" si="11"/>
        <v>0</v>
      </c>
      <c r="I77" s="83">
        <f>+TSPT_COT!AY67</f>
        <v>0</v>
      </c>
      <c r="J77" s="83"/>
      <c r="K77" s="83">
        <f>+TSPT_COT!BA67</f>
        <v>0</v>
      </c>
      <c r="L77" s="83"/>
      <c r="M77" s="83">
        <f>+TSPT_COT!BC67</f>
        <v>0</v>
      </c>
      <c r="O77" s="140">
        <f>+TSPT_COT!BE67</f>
        <v>0</v>
      </c>
      <c r="Q77" s="18">
        <f>+C77+BV77</f>
        <v>8511705</v>
      </c>
      <c r="S77" s="18">
        <f>+E77+BX77</f>
        <v>278946</v>
      </c>
      <c r="U77" s="32">
        <f t="shared" si="12"/>
        <v>1.1876622838784944E-2</v>
      </c>
      <c r="W77" s="4">
        <f>+I77+CB77</f>
        <v>101090.31</v>
      </c>
      <c r="X77" s="83"/>
      <c r="Y77" s="4">
        <f>+K77+CD77</f>
        <v>0</v>
      </c>
      <c r="Z77" s="83"/>
      <c r="AA77" s="4">
        <f>+M77+CF77</f>
        <v>101090.31</v>
      </c>
      <c r="AC77" s="6">
        <f>+O77+CH77</f>
        <v>97</v>
      </c>
      <c r="AE77" s="35"/>
      <c r="AF77" s="35"/>
      <c r="AG77" s="35"/>
      <c r="AH77" s="35"/>
      <c r="AU77" s="19"/>
      <c r="AW77" s="17"/>
      <c r="AY77" s="17"/>
      <c r="BM77" s="12"/>
      <c r="BO77" s="30"/>
      <c r="BS77" s="30"/>
      <c r="BU77" s="27"/>
      <c r="BV77">
        <v>8511705</v>
      </c>
      <c r="BW77" s="35"/>
      <c r="BX77">
        <v>278946</v>
      </c>
      <c r="BY77" s="35"/>
      <c r="BZ77">
        <v>1.1876622838784944E-2</v>
      </c>
      <c r="CA77" s="35"/>
      <c r="CB77">
        <v>101090.31</v>
      </c>
      <c r="CC77" s="61"/>
      <c r="CD77">
        <v>0</v>
      </c>
      <c r="CE77" s="61"/>
      <c r="CF77">
        <v>101090.31</v>
      </c>
      <c r="CG77" s="44"/>
      <c r="CH77">
        <v>97</v>
      </c>
    </row>
    <row r="78" spans="1:126">
      <c r="A78" s="20" t="s">
        <v>75</v>
      </c>
      <c r="C78" s="28">
        <f>+TSPT_COT!AS68</f>
        <v>0</v>
      </c>
      <c r="E78" s="28">
        <f>+TSPT_COT!AU68</f>
        <v>0</v>
      </c>
      <c r="G78" s="32">
        <f t="shared" si="11"/>
        <v>0</v>
      </c>
      <c r="I78" s="83">
        <f>+TSPT_COT!AY68</f>
        <v>0</v>
      </c>
      <c r="J78" s="83"/>
      <c r="K78" s="83">
        <f>+TSPT_COT!BA68</f>
        <v>0</v>
      </c>
      <c r="L78" s="83"/>
      <c r="M78" s="83">
        <f>+TSPT_COT!BC68</f>
        <v>0</v>
      </c>
      <c r="O78" s="140">
        <f>+TSPT_COT!BE68</f>
        <v>0</v>
      </c>
      <c r="Q78" s="18">
        <f>+C78+BV78</f>
        <v>0</v>
      </c>
      <c r="S78" s="18">
        <f>+E78+BX78</f>
        <v>0</v>
      </c>
      <c r="U78" s="32">
        <f t="shared" si="12"/>
        <v>0</v>
      </c>
      <c r="W78" s="4">
        <f>+I78+CB78</f>
        <v>0</v>
      </c>
      <c r="X78" s="83"/>
      <c r="Y78" s="4">
        <f>+K78+CD78</f>
        <v>0</v>
      </c>
      <c r="Z78" s="83"/>
      <c r="AA78" s="4">
        <f>+M78+CF78</f>
        <v>0</v>
      </c>
      <c r="AC78" s="6">
        <f>+O78+CH78</f>
        <v>0</v>
      </c>
      <c r="AE78" s="35"/>
      <c r="AF78" s="35"/>
      <c r="AG78" s="35"/>
      <c r="AH78" s="35"/>
      <c r="AU78" s="19"/>
      <c r="AW78" s="17"/>
      <c r="AY78" s="17"/>
      <c r="BM78" s="12"/>
      <c r="BO78" s="30"/>
      <c r="BS78" s="30"/>
      <c r="BU78" s="27"/>
      <c r="BV78">
        <v>0</v>
      </c>
      <c r="BW78" s="35"/>
      <c r="BX78">
        <v>0</v>
      </c>
      <c r="BY78" s="35"/>
      <c r="BZ78">
        <v>0</v>
      </c>
      <c r="CA78" s="35"/>
      <c r="CB78">
        <v>0</v>
      </c>
      <c r="CC78" s="61"/>
      <c r="CD78">
        <v>0</v>
      </c>
      <c r="CE78" s="61"/>
      <c r="CF78">
        <v>0</v>
      </c>
      <c r="CG78" s="44"/>
      <c r="CH78">
        <v>0</v>
      </c>
    </row>
    <row r="79" spans="1:126">
      <c r="A79" s="20" t="s">
        <v>76</v>
      </c>
      <c r="C79" s="28">
        <f>+TSPT_COT!AS69</f>
        <v>0</v>
      </c>
      <c r="E79" s="28">
        <f>+TSPT_COT!AU69</f>
        <v>0</v>
      </c>
      <c r="G79" s="32">
        <f>IF(I79=0,0,I79/C79)</f>
        <v>0</v>
      </c>
      <c r="I79" s="83">
        <f>+TSPT_COT!AY69</f>
        <v>0</v>
      </c>
      <c r="J79" s="83"/>
      <c r="K79" s="83">
        <f>+TSPT_COT!BA69</f>
        <v>0</v>
      </c>
      <c r="L79" s="83"/>
      <c r="M79" s="83">
        <f>+TSPT_COT!BC69</f>
        <v>0</v>
      </c>
      <c r="O79" s="140">
        <f>+TSPT_COT!BE69</f>
        <v>0</v>
      </c>
      <c r="Q79" s="18">
        <f>+C79+BV79</f>
        <v>0</v>
      </c>
      <c r="S79" s="18">
        <f>+E79+BX79</f>
        <v>0</v>
      </c>
      <c r="U79" s="32">
        <f>IF(W79=0,0,W79/Q79)</f>
        <v>0</v>
      </c>
      <c r="W79" s="4">
        <f>+I79+CB79</f>
        <v>0</v>
      </c>
      <c r="X79" s="83"/>
      <c r="Y79" s="4">
        <f>+K79+CD79</f>
        <v>0</v>
      </c>
      <c r="Z79" s="83"/>
      <c r="AA79" s="4">
        <f>+M79+CF79</f>
        <v>0</v>
      </c>
      <c r="AC79" s="6">
        <f>+O79+CH79</f>
        <v>0</v>
      </c>
      <c r="AE79" s="35"/>
      <c r="AF79" s="35"/>
      <c r="AG79" s="35"/>
      <c r="AH79" s="35"/>
      <c r="AU79" s="19"/>
      <c r="AW79" s="17"/>
      <c r="AY79" s="17"/>
      <c r="BM79" s="12"/>
      <c r="BO79" s="30"/>
      <c r="BS79" s="30"/>
      <c r="BU79" s="27"/>
      <c r="BV79">
        <v>0</v>
      </c>
      <c r="BW79" s="35"/>
      <c r="BX79">
        <v>0</v>
      </c>
      <c r="BY79" s="35"/>
      <c r="BZ79">
        <v>0</v>
      </c>
      <c r="CA79" s="35"/>
      <c r="CB79">
        <v>0</v>
      </c>
      <c r="CC79" s="61"/>
      <c r="CD79">
        <v>0</v>
      </c>
      <c r="CE79" s="61"/>
      <c r="CF79">
        <v>0</v>
      </c>
      <c r="CG79" s="44"/>
      <c r="CH79">
        <v>0</v>
      </c>
    </row>
    <row r="80" spans="1:126">
      <c r="A80" s="20" t="s">
        <v>77</v>
      </c>
      <c r="C80" s="28">
        <f>+TSPT_COT!AS70</f>
        <v>0</v>
      </c>
      <c r="E80" s="28">
        <f>+TSPT_COT!AU70</f>
        <v>0</v>
      </c>
      <c r="G80" s="32">
        <f t="shared" si="11"/>
        <v>0</v>
      </c>
      <c r="I80" s="83">
        <f>+TSPT_COT!AY70</f>
        <v>0</v>
      </c>
      <c r="J80" s="83"/>
      <c r="K80" s="83">
        <f>+TSPT_COT!BA70</f>
        <v>0</v>
      </c>
      <c r="L80" s="83"/>
      <c r="M80" s="83">
        <f>+TSPT_COT!BC70</f>
        <v>0</v>
      </c>
      <c r="O80" s="140">
        <f>+TSPT_COT!BE70</f>
        <v>0</v>
      </c>
      <c r="Q80" s="18">
        <f>+C80+BV80</f>
        <v>499124</v>
      </c>
      <c r="S80" s="18">
        <f>+E80+BX80</f>
        <v>16447</v>
      </c>
      <c r="U80" s="32">
        <f t="shared" si="12"/>
        <v>0.22240960162204182</v>
      </c>
      <c r="W80" s="4">
        <f>+I80+CB80</f>
        <v>111009.97</v>
      </c>
      <c r="X80" s="83"/>
      <c r="Y80" s="4">
        <f>+K80+CD80</f>
        <v>0</v>
      </c>
      <c r="Z80" s="83"/>
      <c r="AA80" s="4">
        <f>+M80+CF80</f>
        <v>111009.97</v>
      </c>
      <c r="AC80" s="6">
        <f>+O80+CH80</f>
        <v>111</v>
      </c>
      <c r="AE80" s="35"/>
      <c r="AF80" s="35"/>
      <c r="AG80" s="35"/>
      <c r="AH80" s="35"/>
      <c r="AU80" s="19"/>
      <c r="AW80" s="17"/>
      <c r="AY80" s="17"/>
      <c r="BM80" s="12"/>
      <c r="BO80" s="30"/>
      <c r="BS80" s="30"/>
      <c r="BU80" s="27"/>
      <c r="BV80">
        <v>499124</v>
      </c>
      <c r="BW80" s="35"/>
      <c r="BX80">
        <v>16447</v>
      </c>
      <c r="BY80" s="35"/>
      <c r="BZ80">
        <v>0.22240960162204182</v>
      </c>
      <c r="CA80" s="35"/>
      <c r="CB80">
        <v>111009.97</v>
      </c>
      <c r="CC80" s="61"/>
      <c r="CD80">
        <v>0</v>
      </c>
      <c r="CE80" s="61"/>
      <c r="CF80">
        <v>111009.97</v>
      </c>
      <c r="CG80" s="44"/>
      <c r="CH80">
        <v>111</v>
      </c>
    </row>
    <row r="81" spans="1:126">
      <c r="A81" s="45" t="s">
        <v>78</v>
      </c>
      <c r="C81" s="73">
        <f>+TSPT_COT!AS71</f>
        <v>0</v>
      </c>
      <c r="E81" s="73">
        <f>+TSPT_COT!AU71</f>
        <v>0</v>
      </c>
      <c r="G81" s="119" t="e">
        <f>IF(I81=0,0,I81/C81)</f>
        <v>#DIV/0!</v>
      </c>
      <c r="I81" s="88">
        <f>+TSPT_COT!AY71</f>
        <v>256680</v>
      </c>
      <c r="J81" s="83"/>
      <c r="K81" s="88">
        <f>+TSPT_COT!BA71</f>
        <v>0</v>
      </c>
      <c r="L81" s="83"/>
      <c r="M81" s="88">
        <f>+TSPT_COT!BC71</f>
        <v>256680</v>
      </c>
      <c r="O81" s="138">
        <f>+TSPT_COT!BE71</f>
        <v>257</v>
      </c>
      <c r="Q81" s="40">
        <f>SUM(Q77:Q80)</f>
        <v>9010829</v>
      </c>
      <c r="R81" s="37"/>
      <c r="S81" s="40">
        <f>SUM(S77:S80)</f>
        <v>295393</v>
      </c>
      <c r="T81" s="37"/>
      <c r="U81" s="119">
        <f>IF(W81=0,0,W81/Q81)</f>
        <v>0.35871527802824804</v>
      </c>
      <c r="V81" s="37"/>
      <c r="W81" s="85">
        <f>SUM(W76:W80)</f>
        <v>3232322.0300000003</v>
      </c>
      <c r="X81" s="86"/>
      <c r="Y81" s="85">
        <f>SUM(Y76:Y80)</f>
        <v>0</v>
      </c>
      <c r="Z81" s="86"/>
      <c r="AA81" s="85">
        <f>SUM(AA76:AA80)</f>
        <v>3232322.0300000003</v>
      </c>
      <c r="AB81" s="37"/>
      <c r="AC81" s="133">
        <f>SUM(AC76:AC80)</f>
        <v>2981</v>
      </c>
      <c r="AE81" s="35"/>
      <c r="AF81" s="35"/>
      <c r="AG81" s="35"/>
      <c r="AH81" s="35"/>
      <c r="AU81" s="19"/>
      <c r="AW81" s="17"/>
      <c r="AY81" s="17"/>
      <c r="BM81" s="12"/>
      <c r="BO81" s="30"/>
      <c r="BS81" s="30"/>
      <c r="BU81" s="27"/>
      <c r="BV81">
        <v>9010829</v>
      </c>
      <c r="BW81" s="35"/>
      <c r="BX81">
        <v>295393</v>
      </c>
      <c r="BY81" s="35"/>
      <c r="BZ81">
        <v>0.33022955268599596</v>
      </c>
      <c r="CA81" s="35"/>
      <c r="CB81">
        <v>2975642.03</v>
      </c>
      <c r="CC81" s="61"/>
      <c r="CD81">
        <v>0</v>
      </c>
      <c r="CE81" s="61"/>
      <c r="CF81">
        <v>2975642.03</v>
      </c>
      <c r="CG81" s="44"/>
      <c r="CH81">
        <v>2724</v>
      </c>
    </row>
    <row r="82" spans="1:126">
      <c r="A82" s="27"/>
      <c r="C82" s="28"/>
      <c r="E82" s="15"/>
      <c r="G82" s="32"/>
      <c r="I82" s="83"/>
      <c r="J82" s="83"/>
      <c r="K82" s="83"/>
      <c r="L82" s="83"/>
      <c r="O82" s="34"/>
      <c r="U82" s="32"/>
      <c r="W82"/>
      <c r="X82"/>
      <c r="Y82"/>
      <c r="Z82"/>
      <c r="AA82"/>
      <c r="AE82" s="35"/>
      <c r="AF82" s="35"/>
      <c r="AG82" s="35"/>
      <c r="AH82" s="35"/>
      <c r="AU82" s="19"/>
      <c r="AW82" s="17"/>
      <c r="AY82" s="17"/>
      <c r="BM82" s="12"/>
      <c r="BO82" s="30"/>
      <c r="BS82" s="30"/>
      <c r="BU82" s="27"/>
      <c r="BW82" s="35"/>
      <c r="BY82" s="35"/>
      <c r="CA82" s="35"/>
      <c r="CC82" s="61"/>
      <c r="CE82" s="61"/>
      <c r="CF82"/>
      <c r="CG82" s="44"/>
    </row>
    <row r="83" spans="1:126">
      <c r="A83" s="20" t="s">
        <v>73</v>
      </c>
      <c r="C83" s="28">
        <f>+TSPT_COT!AS73</f>
        <v>2480000</v>
      </c>
      <c r="E83" s="28">
        <f>+TSPT_COT!AU73</f>
        <v>80000</v>
      </c>
      <c r="G83" s="32">
        <f t="shared" ref="G83:G88" si="18">IF(I83=0,0,I83/C83)</f>
        <v>0.13348265725806452</v>
      </c>
      <c r="I83" s="159">
        <f>+TSPT_COT!AY73</f>
        <v>331036.99</v>
      </c>
      <c r="J83" s="83"/>
      <c r="K83" s="159">
        <f>+TSPT_COT!BA73</f>
        <v>3720</v>
      </c>
      <c r="L83" s="83"/>
      <c r="M83" s="159">
        <f>+TSPT_COT!BC73</f>
        <v>334756.99</v>
      </c>
      <c r="O83" s="140">
        <f>+TSPT_COT!BE73</f>
        <v>335</v>
      </c>
      <c r="Q83" s="18">
        <f>+C83+BV83</f>
        <v>36240000</v>
      </c>
      <c r="S83" s="18">
        <f>+E83+BX83</f>
        <v>1191667</v>
      </c>
      <c r="U83" s="32">
        <f t="shared" ref="U83:U88" si="19">IF(W83=0,0,W83/Q83)</f>
        <v>0.14399718405077264</v>
      </c>
      <c r="W83" s="151">
        <f>+I83+CB83</f>
        <v>5218457.95</v>
      </c>
      <c r="X83"/>
      <c r="Y83" s="151">
        <f>+K83+CD83</f>
        <v>64770</v>
      </c>
      <c r="Z83"/>
      <c r="AA83" s="151">
        <f>+M83+CF83</f>
        <v>5283227.95</v>
      </c>
      <c r="AC83" s="6">
        <f>+O83+CH83</f>
        <v>4831</v>
      </c>
      <c r="AE83" s="35"/>
      <c r="AF83" s="35"/>
      <c r="AG83" s="35"/>
      <c r="AH83" s="35"/>
      <c r="AU83" s="19"/>
      <c r="AW83" s="17"/>
      <c r="AY83" s="17"/>
      <c r="BM83" s="12"/>
      <c r="BO83" s="30"/>
      <c r="BS83" s="30"/>
      <c r="BU83" s="27"/>
      <c r="BV83">
        <v>33760000</v>
      </c>
      <c r="BW83" s="35"/>
      <c r="BX83">
        <v>1111667</v>
      </c>
      <c r="BY83" s="35"/>
      <c r="BZ83">
        <v>0.14476957819905215</v>
      </c>
      <c r="CA83" s="35"/>
      <c r="CB83">
        <v>4887420.96</v>
      </c>
      <c r="CC83" s="61"/>
      <c r="CD83">
        <v>61050</v>
      </c>
      <c r="CE83" s="61"/>
      <c r="CF83">
        <v>4948470.96</v>
      </c>
      <c r="CG83" s="44"/>
      <c r="CH83">
        <v>4496</v>
      </c>
    </row>
    <row r="84" spans="1:126">
      <c r="A84" s="20" t="s">
        <v>88</v>
      </c>
      <c r="C84" s="28">
        <f>+TSPT_COT!AS74</f>
        <v>2499732</v>
      </c>
      <c r="E84" s="28">
        <f>+TSPT_COT!AU74</f>
        <v>80637</v>
      </c>
      <c r="G84" s="32">
        <f t="shared" si="18"/>
        <v>8.1999990398970782E-3</v>
      </c>
      <c r="I84" s="159">
        <f>+TSPT_COT!AY74</f>
        <v>20497.800000000003</v>
      </c>
      <c r="J84" s="83"/>
      <c r="K84" s="159">
        <f>+TSPT_COT!BA74</f>
        <v>5249.44</v>
      </c>
      <c r="L84" s="83"/>
      <c r="M84" s="159">
        <f>+TSPT_COT!BC74</f>
        <v>25747.24</v>
      </c>
      <c r="O84" s="140">
        <f>+TSPT_COT!BE74</f>
        <v>26</v>
      </c>
      <c r="Q84" s="18">
        <f>+C84+BV84</f>
        <v>36292067</v>
      </c>
      <c r="S84" s="18">
        <f>+E84+BX84</f>
        <v>1192977</v>
      </c>
      <c r="U84" s="32">
        <f t="shared" si="19"/>
        <v>7.3586525121316464E-3</v>
      </c>
      <c r="W84" s="151">
        <f>+I84+CB84</f>
        <v>267060.71000000002</v>
      </c>
      <c r="X84"/>
      <c r="Y84" s="151">
        <f>+K84+CD84</f>
        <v>145122.68</v>
      </c>
      <c r="Z84"/>
      <c r="AA84" s="151">
        <f>+M84+CF84</f>
        <v>412183.39</v>
      </c>
      <c r="AC84" s="6">
        <f>+O84+CH84</f>
        <v>371</v>
      </c>
      <c r="AE84" s="35"/>
      <c r="AF84" s="35"/>
      <c r="AG84" s="35"/>
      <c r="AH84" s="35"/>
      <c r="AU84" s="19"/>
      <c r="AW84" s="17"/>
      <c r="AY84" s="17"/>
      <c r="BM84" s="12"/>
      <c r="BO84" s="30"/>
      <c r="BS84" s="30"/>
      <c r="BU84" s="27"/>
      <c r="BV84">
        <v>33792335</v>
      </c>
      <c r="BW84" s="35"/>
      <c r="BX84">
        <v>1112340</v>
      </c>
      <c r="BY84" s="35"/>
      <c r="BZ84">
        <v>7.2964152965457997E-3</v>
      </c>
      <c r="CA84" s="35"/>
      <c r="CB84">
        <v>246562.91</v>
      </c>
      <c r="CC84" s="61"/>
      <c r="CD84">
        <v>139873.24</v>
      </c>
      <c r="CE84" s="61"/>
      <c r="CF84">
        <v>386436.15</v>
      </c>
      <c r="CG84" s="44"/>
      <c r="CH84">
        <v>345</v>
      </c>
    </row>
    <row r="85" spans="1:126">
      <c r="A85" s="20" t="s">
        <v>89</v>
      </c>
      <c r="C85" s="28">
        <f>+TSPT_COT!AS75</f>
        <v>0</v>
      </c>
      <c r="E85" s="28">
        <f>+TSPT_COT!AU75</f>
        <v>0</v>
      </c>
      <c r="G85" s="160">
        <f t="shared" si="18"/>
        <v>0</v>
      </c>
      <c r="I85" s="159">
        <f>+TSPT_COT!AY75</f>
        <v>0</v>
      </c>
      <c r="J85" s="83"/>
      <c r="K85" s="159">
        <f>+TSPT_COT!BA75</f>
        <v>0</v>
      </c>
      <c r="L85" s="83"/>
      <c r="M85" s="159">
        <f>+TSPT_COT!BC75</f>
        <v>0</v>
      </c>
      <c r="O85" s="140">
        <f>+TSPT_COT!BE75</f>
        <v>0</v>
      </c>
      <c r="Q85" s="18">
        <f>+C85+BV85</f>
        <v>0</v>
      </c>
      <c r="S85" s="18">
        <f>+E85+BX85</f>
        <v>0</v>
      </c>
      <c r="U85" s="160">
        <f t="shared" si="19"/>
        <v>0</v>
      </c>
      <c r="W85" s="151">
        <f>+I85+CB85</f>
        <v>0</v>
      </c>
      <c r="X85"/>
      <c r="Y85" s="151">
        <f>+K85+CD85</f>
        <v>0</v>
      </c>
      <c r="Z85"/>
      <c r="AA85" s="151">
        <f>+M85+CF85</f>
        <v>0</v>
      </c>
      <c r="AC85" s="6">
        <f>+O85+CH85</f>
        <v>0</v>
      </c>
      <c r="AE85" s="35"/>
      <c r="AF85" s="35"/>
      <c r="AG85" s="35"/>
      <c r="AH85" s="35"/>
      <c r="AU85" s="19"/>
      <c r="AW85" s="17"/>
      <c r="AY85" s="17"/>
      <c r="BM85" s="12"/>
      <c r="BO85" s="30"/>
      <c r="BS85" s="30"/>
      <c r="BU85" s="27"/>
      <c r="BV85">
        <v>0</v>
      </c>
      <c r="BW85" s="35"/>
      <c r="BX85">
        <v>0</v>
      </c>
      <c r="BY85" s="35"/>
      <c r="BZ85">
        <v>0</v>
      </c>
      <c r="CA85" s="35"/>
      <c r="CB85">
        <v>0</v>
      </c>
      <c r="CC85" s="61"/>
      <c r="CD85">
        <v>0</v>
      </c>
      <c r="CE85" s="61"/>
      <c r="CF85">
        <v>0</v>
      </c>
      <c r="CG85" s="44"/>
      <c r="CH85">
        <v>0</v>
      </c>
    </row>
    <row r="86" spans="1:126">
      <c r="A86" s="20" t="s">
        <v>90</v>
      </c>
      <c r="C86" s="28">
        <f>+TSPT_COT!AS76</f>
        <v>0</v>
      </c>
      <c r="E86" s="28">
        <f>+TSPT_COT!AU76</f>
        <v>0</v>
      </c>
      <c r="G86" s="160">
        <f t="shared" si="18"/>
        <v>0</v>
      </c>
      <c r="I86" s="159">
        <f>+TSPT_COT!AY76</f>
        <v>0</v>
      </c>
      <c r="J86" s="83"/>
      <c r="K86" s="159">
        <f>+TSPT_COT!BA76</f>
        <v>0</v>
      </c>
      <c r="L86" s="83"/>
      <c r="M86" s="159">
        <f>+TSPT_COT!BC76</f>
        <v>0</v>
      </c>
      <c r="O86" s="140">
        <f>+TSPT_COT!BE76</f>
        <v>0</v>
      </c>
      <c r="Q86" s="18">
        <f>+C86+BV86</f>
        <v>257209</v>
      </c>
      <c r="S86" s="18">
        <f>+E86+BX86</f>
        <v>0</v>
      </c>
      <c r="U86" s="160">
        <f t="shared" si="19"/>
        <v>7.8579676449890955E-3</v>
      </c>
      <c r="W86" s="151">
        <f>+I86+CB86</f>
        <v>2021.14</v>
      </c>
      <c r="X86"/>
      <c r="Y86" s="151">
        <f>+K86+CD86</f>
        <v>2028.02</v>
      </c>
      <c r="Z86"/>
      <c r="AA86" s="151">
        <f>+M86+CF86</f>
        <v>4049.16</v>
      </c>
      <c r="AC86" s="6">
        <f>+O86+CH86</f>
        <v>4</v>
      </c>
      <c r="AE86" s="35"/>
      <c r="AF86" s="35"/>
      <c r="AG86" s="35"/>
      <c r="AH86" s="35"/>
      <c r="AU86" s="19"/>
      <c r="AW86" s="17"/>
      <c r="AY86" s="17"/>
      <c r="BM86" s="12"/>
      <c r="BO86" s="30"/>
      <c r="BS86" s="30"/>
      <c r="BU86" s="27"/>
      <c r="BV86">
        <v>257209</v>
      </c>
      <c r="BW86" s="35"/>
      <c r="BX86">
        <v>0</v>
      </c>
      <c r="BY86" s="35"/>
      <c r="BZ86">
        <v>7.8579676449890938E-3</v>
      </c>
      <c r="CA86" s="35"/>
      <c r="CB86">
        <v>2021.14</v>
      </c>
      <c r="CC86" s="61"/>
      <c r="CD86">
        <v>2028.02</v>
      </c>
      <c r="CE86" s="61"/>
      <c r="CF86">
        <v>4049.16</v>
      </c>
      <c r="CG86" s="44"/>
      <c r="CH86">
        <v>4</v>
      </c>
    </row>
    <row r="87" spans="1:126">
      <c r="A87" s="20" t="s">
        <v>91</v>
      </c>
      <c r="C87" s="93">
        <f>+TSPT_COT!AS77</f>
        <v>0</v>
      </c>
      <c r="E87" s="93">
        <f>+TSPT_COT!AU77</f>
        <v>0</v>
      </c>
      <c r="G87" s="228">
        <f t="shared" si="18"/>
        <v>0</v>
      </c>
      <c r="I87" s="229">
        <f>+TSPT_COT!AY77</f>
        <v>0</v>
      </c>
      <c r="J87" s="83"/>
      <c r="K87" s="229">
        <f>+TSPT_COT!BA77</f>
        <v>0</v>
      </c>
      <c r="L87" s="83"/>
      <c r="M87" s="229">
        <f>+TSPT_COT!BC77</f>
        <v>0</v>
      </c>
      <c r="O87" s="169">
        <f>+TSPT_COT!BE77</f>
        <v>0</v>
      </c>
      <c r="Q87" s="21">
        <f>+C87+BV87</f>
        <v>739398</v>
      </c>
      <c r="S87" s="21">
        <f>+E87+BX87</f>
        <v>24614</v>
      </c>
      <c r="U87" s="228">
        <f t="shared" si="19"/>
        <v>0.20530808847197315</v>
      </c>
      <c r="W87" s="230">
        <f>+I87+CB87</f>
        <v>151804.39000000001</v>
      </c>
      <c r="X87"/>
      <c r="Y87" s="230">
        <f>+K87+CD87</f>
        <v>6784.18</v>
      </c>
      <c r="Z87"/>
      <c r="AA87" s="230">
        <f>+M87+CF87</f>
        <v>158588.57</v>
      </c>
      <c r="AC87" s="231">
        <f>+O87+CH87</f>
        <v>159</v>
      </c>
      <c r="AE87" s="35"/>
      <c r="AF87" s="35"/>
      <c r="AG87" s="35"/>
      <c r="AH87" s="35"/>
      <c r="AU87" s="19"/>
      <c r="AW87" s="17"/>
      <c r="AY87" s="17"/>
      <c r="BM87" s="12"/>
      <c r="BO87" s="30"/>
      <c r="BS87" s="30"/>
      <c r="BU87" s="27"/>
      <c r="BV87">
        <v>739398</v>
      </c>
      <c r="BW87" s="35"/>
      <c r="BX87">
        <v>24614</v>
      </c>
      <c r="BY87" s="35"/>
      <c r="BZ87">
        <v>0.20530808847197315</v>
      </c>
      <c r="CA87" s="35"/>
      <c r="CB87">
        <v>151804.39000000001</v>
      </c>
      <c r="CC87" s="61"/>
      <c r="CD87">
        <v>6784.18</v>
      </c>
      <c r="CE87" s="61"/>
      <c r="CF87">
        <v>158588.57</v>
      </c>
      <c r="CG87" s="44"/>
      <c r="CH87">
        <v>159</v>
      </c>
    </row>
    <row r="88" spans="1:126" s="117" customFormat="1">
      <c r="A88" s="45" t="s">
        <v>78</v>
      </c>
      <c r="C88" s="210">
        <f>SUM(C84:C87)</f>
        <v>2499732</v>
      </c>
      <c r="E88" s="210">
        <f>SUM(E84:E87)</f>
        <v>80637</v>
      </c>
      <c r="G88" s="119">
        <f t="shared" si="18"/>
        <v>0.14062899142788107</v>
      </c>
      <c r="I88" s="121">
        <f>SUM(I83:I87)</f>
        <v>351534.79</v>
      </c>
      <c r="J88" s="121"/>
      <c r="K88" s="121">
        <f>SUM(K83:K87)</f>
        <v>8969.4399999999987</v>
      </c>
      <c r="L88" s="121"/>
      <c r="M88" s="121">
        <f>SUM(M83:M87)</f>
        <v>360504.23</v>
      </c>
      <c r="O88" s="227">
        <f>SUM(O83:O87)</f>
        <v>361</v>
      </c>
      <c r="Q88" s="210">
        <f>SUM(Q84:Q87)</f>
        <v>37288674</v>
      </c>
      <c r="S88" s="210">
        <f>SUM(S84:S87)</f>
        <v>1217591</v>
      </c>
      <c r="U88" s="119">
        <f t="shared" si="19"/>
        <v>0.15123477413007497</v>
      </c>
      <c r="W88" s="121">
        <f>SUM(W83:W87)</f>
        <v>5639344.1899999995</v>
      </c>
      <c r="X88" s="121"/>
      <c r="Y88" s="121">
        <f>SUM(Y83:Y87)</f>
        <v>218704.87999999998</v>
      </c>
      <c r="Z88" s="121"/>
      <c r="AA88" s="121">
        <f>SUM(AA83:AA87)</f>
        <v>5858049.0700000003</v>
      </c>
      <c r="AC88" s="227">
        <f>SUM(AC83:AC87)</f>
        <v>5365</v>
      </c>
      <c r="AE88" s="123"/>
      <c r="AF88" s="123"/>
      <c r="AG88" s="123"/>
      <c r="AH88" s="123"/>
      <c r="AU88" s="124"/>
      <c r="AW88" s="125"/>
      <c r="AY88" s="125"/>
      <c r="BM88" s="126"/>
      <c r="BO88" s="127"/>
      <c r="BS88" s="127"/>
      <c r="BU88" s="31"/>
      <c r="BV88" s="117">
        <v>34788942</v>
      </c>
      <c r="BW88" s="123"/>
      <c r="BX88" s="117">
        <v>1136954</v>
      </c>
      <c r="BY88" s="123"/>
      <c r="BZ88" s="117">
        <v>0.15199684428460056</v>
      </c>
      <c r="CA88" s="123"/>
      <c r="CB88" s="117">
        <v>5287809.4000000004</v>
      </c>
      <c r="CC88" s="128"/>
      <c r="CD88" s="117">
        <v>209735.44</v>
      </c>
      <c r="CE88" s="128"/>
      <c r="CF88" s="117">
        <v>5497544.8400000017</v>
      </c>
      <c r="CG88" s="129"/>
      <c r="CH88" s="117">
        <v>5004</v>
      </c>
    </row>
    <row r="89" spans="1:126">
      <c r="A89" s="45"/>
      <c r="C89" s="28"/>
      <c r="E89" s="28"/>
      <c r="G89" s="32"/>
      <c r="I89" s="130"/>
      <c r="J89" s="83"/>
      <c r="K89" s="130"/>
      <c r="L89" s="83"/>
      <c r="M89" s="159"/>
      <c r="O89" s="170"/>
      <c r="Q89" s="18"/>
      <c r="S89" s="35"/>
      <c r="U89" s="32"/>
      <c r="W89" s="83"/>
      <c r="X89" s="83"/>
      <c r="Y89" s="83"/>
      <c r="Z89" s="83"/>
      <c r="AA89" s="83"/>
      <c r="AC89" s="140"/>
      <c r="AE89" s="35"/>
      <c r="AF89" s="35"/>
      <c r="AG89" s="35"/>
      <c r="AH89" s="35"/>
      <c r="AU89" s="19"/>
      <c r="AW89" s="17"/>
      <c r="AY89" s="17"/>
      <c r="BM89" s="12"/>
      <c r="BO89" s="30"/>
      <c r="BS89" s="30"/>
      <c r="BU89" s="27" t="s">
        <v>65</v>
      </c>
      <c r="BW89" s="35"/>
      <c r="BY89" s="35"/>
      <c r="CA89" s="35"/>
      <c r="CC89" s="61"/>
      <c r="CE89" s="61"/>
      <c r="CF89"/>
      <c r="CG89" s="44"/>
    </row>
    <row r="90" spans="1:126">
      <c r="A90" s="27" t="str">
        <f>+TSPT_COT!A80</f>
        <v xml:space="preserve">   Demand</v>
      </c>
      <c r="C90" s="28">
        <f>TSPT_COT!AS80</f>
        <v>0</v>
      </c>
      <c r="E90" s="28">
        <f>TSPT_COT!AU80</f>
        <v>0</v>
      </c>
      <c r="G90" s="32">
        <f t="shared" ref="G90:G95" si="20">IF(I90=0,0,I90/C90)</f>
        <v>0</v>
      </c>
      <c r="I90" s="130">
        <f>+TSPT_COT!AY80</f>
        <v>0</v>
      </c>
      <c r="J90" s="83"/>
      <c r="K90" s="130">
        <f>+TSPT_COT!BA80</f>
        <v>0</v>
      </c>
      <c r="L90" s="83"/>
      <c r="M90" s="130">
        <f>+TSPT_COT!BC80</f>
        <v>0</v>
      </c>
      <c r="O90" s="170">
        <f>+TSPT_COT!BE80</f>
        <v>0</v>
      </c>
      <c r="Q90" s="18">
        <f>+C90+BV90</f>
        <v>1200000</v>
      </c>
      <c r="S90" s="35">
        <f>ROUND(Q90/SLS_COS!$AZ$3,0)</f>
        <v>3288</v>
      </c>
      <c r="U90" s="32">
        <f t="shared" ref="U90:U95" si="21">IF(W90=0,0,W90/Q90)</f>
        <v>0.03</v>
      </c>
      <c r="W90" s="83">
        <f>+I90+CB90</f>
        <v>36000</v>
      </c>
      <c r="X90" s="83"/>
      <c r="Y90" s="83">
        <f>+K90+CD90</f>
        <v>0</v>
      </c>
      <c r="Z90" s="83"/>
      <c r="AA90" s="83">
        <f>+M90+CF90</f>
        <v>36000</v>
      </c>
      <c r="AC90" s="140">
        <f>ROUND(AA90/1000,0)</f>
        <v>36</v>
      </c>
      <c r="AE90" s="35"/>
      <c r="AF90" s="35"/>
      <c r="AG90" s="35"/>
      <c r="AH90" s="35"/>
      <c r="AU90" s="19"/>
      <c r="AW90" s="17"/>
      <c r="AY90" s="17"/>
      <c r="BM90" s="12"/>
      <c r="BO90" s="30"/>
      <c r="BS90" s="30"/>
      <c r="BU90" s="27" t="s">
        <v>92</v>
      </c>
      <c r="BV90">
        <v>1200000</v>
      </c>
      <c r="BW90" s="35"/>
      <c r="BX90">
        <v>3593</v>
      </c>
      <c r="BY90" s="35"/>
      <c r="BZ90">
        <v>0.03</v>
      </c>
      <c r="CA90" s="35"/>
      <c r="CB90">
        <v>36000</v>
      </c>
      <c r="CC90" s="61"/>
      <c r="CD90">
        <v>0</v>
      </c>
      <c r="CE90" s="61"/>
      <c r="CF90">
        <v>36000</v>
      </c>
      <c r="CG90" s="44"/>
      <c r="CH90">
        <v>36</v>
      </c>
    </row>
    <row r="91" spans="1:126">
      <c r="A91" s="27" t="str">
        <f>+TSPT_COT!A81</f>
        <v xml:space="preserve">   FT-Thoreau</v>
      </c>
      <c r="C91" s="28">
        <f>TSPT_COT!AS81</f>
        <v>0</v>
      </c>
      <c r="E91" s="28">
        <f>TSPT_COT!AU81</f>
        <v>0</v>
      </c>
      <c r="G91" s="32">
        <f t="shared" si="20"/>
        <v>0</v>
      </c>
      <c r="I91" s="130">
        <f>+TSPT_COT!AY81</f>
        <v>0</v>
      </c>
      <c r="J91" s="83"/>
      <c r="K91" s="130">
        <f>+TSPT_COT!BA81</f>
        <v>0</v>
      </c>
      <c r="L91" s="83"/>
      <c r="M91" s="130">
        <f>+TSPT_COT!BC81</f>
        <v>0</v>
      </c>
      <c r="O91" s="170">
        <f>+TSPT_COT!BE81</f>
        <v>0</v>
      </c>
      <c r="Q91" s="18">
        <f>+C91+BV91</f>
        <v>2925189</v>
      </c>
      <c r="S91" s="35">
        <f>ROUND(Q91/SLS_COS!$AZ$3,0)</f>
        <v>8014</v>
      </c>
      <c r="U91" s="32">
        <f t="shared" si="21"/>
        <v>6.8766975398854568E-3</v>
      </c>
      <c r="W91" s="83">
        <f>+I91+CB91</f>
        <v>20115.64</v>
      </c>
      <c r="X91" s="83"/>
      <c r="Y91" s="83">
        <f>+K91+CD91</f>
        <v>12431.13</v>
      </c>
      <c r="Z91" s="83"/>
      <c r="AA91" s="83">
        <f>+M91+CF91</f>
        <v>32546.77</v>
      </c>
      <c r="AC91" s="140">
        <f>ROUND(AA91/1000,0)</f>
        <v>33</v>
      </c>
      <c r="AE91" s="35"/>
      <c r="AF91" s="35"/>
      <c r="AG91" s="35"/>
      <c r="AH91" s="35"/>
      <c r="AU91" s="19"/>
      <c r="AW91" s="17"/>
      <c r="AY91" s="17"/>
      <c r="BM91" s="12"/>
      <c r="BO91" s="30"/>
      <c r="BS91" s="30"/>
      <c r="BU91" s="27" t="s">
        <v>93</v>
      </c>
      <c r="BV91">
        <v>2925189</v>
      </c>
      <c r="BW91" s="35"/>
      <c r="BX91">
        <v>8758</v>
      </c>
      <c r="BY91" s="35"/>
      <c r="BZ91">
        <v>6.8766975398854568E-3</v>
      </c>
      <c r="CA91" s="35"/>
      <c r="CB91">
        <v>20115.64</v>
      </c>
      <c r="CC91" s="61"/>
      <c r="CD91">
        <v>12431.13</v>
      </c>
      <c r="CE91" s="61"/>
      <c r="CF91">
        <v>32546.77</v>
      </c>
      <c r="CG91" s="44"/>
      <c r="CH91">
        <v>29</v>
      </c>
    </row>
    <row r="92" spans="1:126">
      <c r="A92" s="27" t="str">
        <f>+TSPT_COT!A82</f>
        <v xml:space="preserve">   FR-Thoreau</v>
      </c>
      <c r="C92" s="28">
        <f>TSPT_COT!AS82</f>
        <v>0</v>
      </c>
      <c r="E92" s="28">
        <f>TSPT_COT!AU82</f>
        <v>0</v>
      </c>
      <c r="G92" s="32">
        <f t="shared" si="20"/>
        <v>0</v>
      </c>
      <c r="I92" s="130">
        <f>+TSPT_COT!AY82</f>
        <v>0</v>
      </c>
      <c r="J92" s="83"/>
      <c r="K92" s="130">
        <f>+TSPT_COT!BA82</f>
        <v>0</v>
      </c>
      <c r="L92" s="83"/>
      <c r="M92" s="130">
        <f>+TSPT_COT!BC82</f>
        <v>0</v>
      </c>
      <c r="O92" s="170">
        <f>+TSPT_COT!BE82</f>
        <v>0</v>
      </c>
      <c r="Q92" s="18">
        <f>+C92+BV92</f>
        <v>0</v>
      </c>
      <c r="S92" s="35">
        <f>ROUND(Q92/SLS_COS!$AZ$3,0)</f>
        <v>0</v>
      </c>
      <c r="U92" s="32">
        <f t="shared" si="21"/>
        <v>0</v>
      </c>
      <c r="W92" s="83">
        <f>+I92+CB92</f>
        <v>0</v>
      </c>
      <c r="X92" s="83"/>
      <c r="Y92" s="83">
        <f>+K92+CD92</f>
        <v>0</v>
      </c>
      <c r="Z92" s="83"/>
      <c r="AA92" s="83">
        <f>+M92+CF92</f>
        <v>0</v>
      </c>
      <c r="AC92" s="140">
        <f>ROUND(AA92/1000,0)</f>
        <v>0</v>
      </c>
      <c r="AE92" s="35"/>
      <c r="AF92" s="35"/>
      <c r="AG92" s="35"/>
      <c r="AH92" s="35"/>
      <c r="AU92" s="19"/>
      <c r="AW92" s="17"/>
      <c r="AY92" s="17"/>
      <c r="BM92" s="12"/>
      <c r="BO92" s="30"/>
      <c r="BS92" s="30"/>
      <c r="BU92" s="27" t="s">
        <v>94</v>
      </c>
      <c r="BV92">
        <v>0</v>
      </c>
      <c r="BW92" s="35"/>
      <c r="BX92">
        <v>0</v>
      </c>
      <c r="BY92" s="35"/>
      <c r="BZ92">
        <v>0</v>
      </c>
      <c r="CA92" s="35"/>
      <c r="CB92">
        <v>0</v>
      </c>
      <c r="CC92" s="61"/>
      <c r="CD92">
        <v>0</v>
      </c>
      <c r="CE92" s="61"/>
      <c r="CF92">
        <v>0</v>
      </c>
      <c r="CG92" s="44"/>
      <c r="CH92">
        <v>0</v>
      </c>
    </row>
    <row r="93" spans="1:126">
      <c r="A93" s="27" t="str">
        <f>+TSPT_COT!A83</f>
        <v xml:space="preserve">   LFT-Thoreau</v>
      </c>
      <c r="C93" s="28">
        <f>TSPT_COT!AS83</f>
        <v>0</v>
      </c>
      <c r="E93" s="28">
        <f>TSPT_COT!AU83</f>
        <v>0</v>
      </c>
      <c r="G93" s="32">
        <f t="shared" si="20"/>
        <v>0</v>
      </c>
      <c r="I93" s="130">
        <f>+TSPT_COT!AY83</f>
        <v>0</v>
      </c>
      <c r="J93" s="83"/>
      <c r="K93" s="130">
        <f>+TSPT_COT!BA83</f>
        <v>0</v>
      </c>
      <c r="L93" s="83"/>
      <c r="M93" s="130">
        <f>+TSPT_COT!BC83</f>
        <v>0</v>
      </c>
      <c r="O93" s="170">
        <f>+TSPT_COT!BE83</f>
        <v>0</v>
      </c>
      <c r="Q93" s="18">
        <f>+C93+BV93</f>
        <v>0</v>
      </c>
      <c r="S93" s="35">
        <f>ROUND(Q93/SLS_COS!$AZ$3,0)</f>
        <v>0</v>
      </c>
      <c r="U93" s="32">
        <f t="shared" si="21"/>
        <v>0</v>
      </c>
      <c r="W93" s="83">
        <f>+I93+CB93</f>
        <v>0</v>
      </c>
      <c r="X93" s="83"/>
      <c r="Y93" s="83">
        <f>+K93+CD93</f>
        <v>0</v>
      </c>
      <c r="Z93" s="83"/>
      <c r="AA93" s="83">
        <f>+M93+CF93</f>
        <v>0</v>
      </c>
      <c r="AC93" s="140">
        <f>ROUND(AA93/1000,0)</f>
        <v>0</v>
      </c>
      <c r="AE93" s="35"/>
      <c r="AF93" s="35"/>
      <c r="AG93" s="35"/>
      <c r="AH93" s="35"/>
      <c r="AU93" s="19"/>
      <c r="AW93" s="17"/>
      <c r="AY93" s="17"/>
      <c r="BM93" s="12"/>
      <c r="BO93" s="30"/>
      <c r="BS93" s="30"/>
      <c r="BU93" s="27" t="s">
        <v>95</v>
      </c>
      <c r="BV93">
        <v>0</v>
      </c>
      <c r="BW93" s="35"/>
      <c r="BX93">
        <v>0</v>
      </c>
      <c r="BY93" s="35"/>
      <c r="BZ93">
        <v>0</v>
      </c>
      <c r="CA93" s="35"/>
      <c r="CB93">
        <v>0</v>
      </c>
      <c r="CC93" s="61"/>
      <c r="CD93">
        <v>0</v>
      </c>
      <c r="CE93" s="61"/>
      <c r="CF93">
        <v>0</v>
      </c>
      <c r="CG93" s="44"/>
      <c r="CH93">
        <v>0</v>
      </c>
    </row>
    <row r="94" spans="1:126">
      <c r="A94" s="27" t="str">
        <f>+TSPT_COT!A84</f>
        <v xml:space="preserve">   IT-Thoreau</v>
      </c>
      <c r="C94" s="28">
        <f>TSPT_COT!AS84</f>
        <v>0</v>
      </c>
      <c r="E94" s="28">
        <f>TSPT_COT!AU84</f>
        <v>0</v>
      </c>
      <c r="G94" s="32">
        <f t="shared" si="20"/>
        <v>0</v>
      </c>
      <c r="I94" s="130">
        <f>+TSPT_COT!AY84</f>
        <v>0</v>
      </c>
      <c r="J94" s="83"/>
      <c r="K94" s="130">
        <f>+TSPT_COT!BA84</f>
        <v>0</v>
      </c>
      <c r="L94" s="83"/>
      <c r="M94" s="130">
        <f>+TSPT_COT!BC84</f>
        <v>0</v>
      </c>
      <c r="O94" s="170">
        <f>+TSPT_COT!BE84</f>
        <v>0</v>
      </c>
      <c r="Q94" s="18">
        <f>+C94+BV94</f>
        <v>2406</v>
      </c>
      <c r="S94" s="35">
        <f>ROUND(Q94/SLS_COS!$AZ$3,0)</f>
        <v>7</v>
      </c>
      <c r="U94" s="32">
        <f t="shared" si="21"/>
        <v>0.10671654197838736</v>
      </c>
      <c r="W94" s="83">
        <f>+I94+CB94</f>
        <v>256.76</v>
      </c>
      <c r="X94" s="83"/>
      <c r="Y94" s="83">
        <f>+K94+CD94</f>
        <v>16.34</v>
      </c>
      <c r="Z94" s="83"/>
      <c r="AA94" s="83">
        <f>+M94+CF94</f>
        <v>273.10000000000002</v>
      </c>
      <c r="AC94" s="140">
        <f>ROUND(AA94/1000,0)</f>
        <v>0</v>
      </c>
      <c r="AE94" s="35"/>
      <c r="AF94" s="35"/>
      <c r="AG94" s="35"/>
      <c r="AH94" s="35"/>
      <c r="AU94" s="19"/>
      <c r="AW94" s="17"/>
      <c r="AY94" s="17"/>
      <c r="BM94" s="12"/>
      <c r="BO94" s="30"/>
      <c r="BS94" s="30"/>
      <c r="BU94" s="27"/>
      <c r="BV94">
        <v>2406</v>
      </c>
      <c r="BW94" s="35"/>
      <c r="BX94">
        <v>7</v>
      </c>
      <c r="BY94" s="35"/>
      <c r="BZ94">
        <v>0.10671654197838736</v>
      </c>
      <c r="CA94" s="35"/>
      <c r="CB94">
        <v>256.76</v>
      </c>
      <c r="CC94" s="61"/>
      <c r="CD94">
        <v>16.34</v>
      </c>
      <c r="CE94" s="61"/>
      <c r="CF94">
        <v>273.10000000000002</v>
      </c>
      <c r="CG94" s="44"/>
      <c r="CH94">
        <v>0</v>
      </c>
    </row>
    <row r="95" spans="1:126" s="117" customFormat="1">
      <c r="A95" s="31" t="str">
        <f>+TSPT_COT!A85</f>
        <v xml:space="preserve">     Sub-Total</v>
      </c>
      <c r="B95" s="37"/>
      <c r="C95" s="38">
        <f>TSPT_COT!AS85</f>
        <v>0</v>
      </c>
      <c r="D95" s="37"/>
      <c r="E95" s="38">
        <f>TSPT_COT!AU85</f>
        <v>0</v>
      </c>
      <c r="F95" s="37"/>
      <c r="G95" s="119">
        <f t="shared" si="20"/>
        <v>0</v>
      </c>
      <c r="H95" s="37"/>
      <c r="I95" s="85">
        <f>TSPT_COT!AY85</f>
        <v>0</v>
      </c>
      <c r="J95" s="86"/>
      <c r="K95" s="85">
        <f>TSPT_COT!BA85</f>
        <v>0</v>
      </c>
      <c r="L95" s="86"/>
      <c r="M95" s="85">
        <f>TSPT_COT!BC85</f>
        <v>0</v>
      </c>
      <c r="N95" s="37"/>
      <c r="O95" s="133">
        <f>TSPT_COT!BE85</f>
        <v>0</v>
      </c>
      <c r="P95" s="37"/>
      <c r="Q95" s="40">
        <f>SUM(Q91:Q94)</f>
        <v>2927595</v>
      </c>
      <c r="R95" s="37"/>
      <c r="S95" s="40">
        <f>SUM(S90:S93)</f>
        <v>11302</v>
      </c>
      <c r="T95" s="37"/>
      <c r="U95" s="119">
        <f t="shared" si="21"/>
        <v>1.9255532271369502E-2</v>
      </c>
      <c r="V95" s="37"/>
      <c r="W95" s="85">
        <f>SUM(W90:W94)</f>
        <v>56372.4</v>
      </c>
      <c r="X95" s="86"/>
      <c r="Y95" s="85">
        <f>SUM(Y90:Y94)</f>
        <v>12447.47</v>
      </c>
      <c r="Z95" s="86"/>
      <c r="AA95" s="85">
        <f>SUM(AA90:AA94)</f>
        <v>68819.87000000001</v>
      </c>
      <c r="AB95" s="37"/>
      <c r="AC95" s="133">
        <f>SUM(AC90:AC94)</f>
        <v>69</v>
      </c>
      <c r="AD95" s="37"/>
      <c r="AE95" s="41"/>
      <c r="AF95" s="41"/>
      <c r="AG95" s="41"/>
      <c r="AH95" s="41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68"/>
      <c r="AV95" s="37"/>
      <c r="AW95" s="43"/>
      <c r="AX95" s="37"/>
      <c r="AY95" s="43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42"/>
      <c r="BN95" s="37"/>
      <c r="BO95" s="31"/>
      <c r="BP95" s="37"/>
      <c r="BQ95" s="37"/>
      <c r="BR95" s="37"/>
      <c r="BS95" s="31"/>
      <c r="BT95" s="37"/>
      <c r="BU95" s="31" t="s">
        <v>69</v>
      </c>
      <c r="BV95" s="117">
        <v>2927595</v>
      </c>
      <c r="BW95" s="41"/>
      <c r="BX95" s="117">
        <v>12351</v>
      </c>
      <c r="BY95" s="41"/>
      <c r="BZ95" s="117">
        <v>1.9255532271369502E-2</v>
      </c>
      <c r="CA95" s="41"/>
      <c r="CB95" s="117">
        <v>56372.4</v>
      </c>
      <c r="CC95" s="69"/>
      <c r="CD95" s="117">
        <v>12447.47</v>
      </c>
      <c r="CE95" s="69"/>
      <c r="CF95" s="117">
        <v>68819.87</v>
      </c>
      <c r="CG95" s="70"/>
      <c r="CH95" s="117">
        <v>65</v>
      </c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</row>
    <row r="96" spans="1:126">
      <c r="A96" s="31"/>
      <c r="C96" s="28"/>
      <c r="E96" s="15"/>
      <c r="G96" s="32"/>
      <c r="I96" s="83"/>
      <c r="J96" s="83"/>
      <c r="K96" s="83"/>
      <c r="L96" s="83"/>
      <c r="O96" s="34"/>
      <c r="Q96" s="18"/>
      <c r="S96" s="35"/>
      <c r="U96" s="32"/>
      <c r="W96" s="83"/>
      <c r="X96" s="83"/>
      <c r="Y96" s="83"/>
      <c r="Z96" s="83"/>
      <c r="AA96" s="83"/>
      <c r="AC96" s="140"/>
      <c r="AE96" s="35"/>
      <c r="AF96" s="35"/>
      <c r="AG96" s="35"/>
      <c r="AH96" s="35"/>
      <c r="AU96" s="19"/>
      <c r="AW96" s="17"/>
      <c r="AY96" s="17"/>
      <c r="BM96" s="12"/>
      <c r="BO96" s="30"/>
      <c r="BS96" s="30"/>
      <c r="BU96" s="27"/>
      <c r="BW96" s="35"/>
      <c r="BY96" s="35"/>
      <c r="CA96" s="35"/>
      <c r="CC96" s="61"/>
      <c r="CE96" s="61"/>
      <c r="CF96"/>
      <c r="CG96" s="44"/>
    </row>
    <row r="97" spans="1:126">
      <c r="A97" s="27"/>
      <c r="AE97" s="35"/>
      <c r="AF97" s="35"/>
      <c r="AG97" s="35"/>
      <c r="AH97" s="35"/>
      <c r="AU97" s="19"/>
      <c r="AW97" s="17"/>
      <c r="AY97" s="17"/>
      <c r="BM97" s="12"/>
      <c r="BO97" s="30"/>
      <c r="BS97" s="30"/>
      <c r="BU97" s="27"/>
      <c r="BW97" s="35"/>
      <c r="BY97" s="35"/>
      <c r="CA97" s="35"/>
      <c r="CC97" s="61"/>
      <c r="CE97" s="61"/>
      <c r="CF97"/>
      <c r="CG97" s="44"/>
    </row>
    <row r="98" spans="1:126">
      <c r="A98" s="27" t="str">
        <f>+TSPT_COT!A87</f>
        <v xml:space="preserve">   Demand(W of Th/Th)</v>
      </c>
      <c r="C98" s="28">
        <f>TSPT_COT!AS87</f>
        <v>0</v>
      </c>
      <c r="E98" s="28">
        <f>TSPT_COT!AU87</f>
        <v>0</v>
      </c>
      <c r="G98" s="32">
        <f t="shared" ref="G98:G103" si="22">IF(I98=0,0,I98/C98)</f>
        <v>0</v>
      </c>
      <c r="I98" s="130">
        <f>TSPT_COT!AY87</f>
        <v>0</v>
      </c>
      <c r="J98" s="83"/>
      <c r="K98" s="130">
        <f>TSPT_COT!BA87</f>
        <v>0</v>
      </c>
      <c r="L98" s="83"/>
      <c r="M98" s="130">
        <f>TSPT_COT!BC87</f>
        <v>0</v>
      </c>
      <c r="O98" s="34">
        <f>TSPT_COT!BE87</f>
        <v>0</v>
      </c>
      <c r="Q98" s="18">
        <f>+C98+BV98</f>
        <v>0</v>
      </c>
      <c r="S98" s="35">
        <f>ROUND(Q98/SLS_COS!$AZ$3,0)</f>
        <v>0</v>
      </c>
      <c r="U98" s="32">
        <f t="shared" ref="U98:U103" si="23">IF(W98=0,0,W98/Q98)</f>
        <v>0</v>
      </c>
      <c r="W98" s="83">
        <f>+I98+CB98</f>
        <v>0</v>
      </c>
      <c r="X98" s="83"/>
      <c r="Y98" s="83">
        <f>+K98+CD98</f>
        <v>0</v>
      </c>
      <c r="Z98" s="83"/>
      <c r="AA98" s="83">
        <f>+M98+CF98</f>
        <v>0</v>
      </c>
      <c r="AC98" s="140">
        <f>ROUND(AA98/1000,0)</f>
        <v>0</v>
      </c>
      <c r="AE98" s="35"/>
      <c r="AF98" s="35"/>
      <c r="AG98" s="35"/>
      <c r="AH98" s="35"/>
      <c r="AU98" s="19"/>
      <c r="AW98" s="17"/>
      <c r="AY98" s="17"/>
      <c r="BM98" s="12"/>
      <c r="BO98" s="30"/>
      <c r="BS98" s="30"/>
      <c r="BU98" s="27"/>
      <c r="BV98">
        <v>0</v>
      </c>
      <c r="BW98" s="35"/>
      <c r="BX98">
        <v>0</v>
      </c>
      <c r="BY98" s="35"/>
      <c r="BZ98">
        <v>0</v>
      </c>
      <c r="CA98" s="35"/>
      <c r="CB98">
        <v>0</v>
      </c>
      <c r="CC98" s="61"/>
      <c r="CD98">
        <v>0</v>
      </c>
      <c r="CE98" s="61"/>
      <c r="CF98">
        <v>0</v>
      </c>
      <c r="CG98" s="44"/>
      <c r="CH98">
        <v>0</v>
      </c>
    </row>
    <row r="99" spans="1:126">
      <c r="A99" s="27" t="str">
        <f>+TSPT_COT!A88</f>
        <v xml:space="preserve">   FT(W of Th/Th)</v>
      </c>
      <c r="C99" s="28">
        <f>TSPT_COT!AS88</f>
        <v>0</v>
      </c>
      <c r="E99" s="28">
        <f>TSPT_COT!AU88</f>
        <v>0</v>
      </c>
      <c r="G99" s="32">
        <f t="shared" si="22"/>
        <v>0</v>
      </c>
      <c r="I99" s="130">
        <f>TSPT_COT!AY88</f>
        <v>0</v>
      </c>
      <c r="J99" s="83"/>
      <c r="K99" s="130">
        <f>TSPT_COT!BA88</f>
        <v>0</v>
      </c>
      <c r="L99" s="83"/>
      <c r="M99" s="130">
        <f>TSPT_COT!BC88</f>
        <v>0</v>
      </c>
      <c r="O99" s="34">
        <f>TSPT_COT!BE88</f>
        <v>0</v>
      </c>
      <c r="Q99" s="18">
        <f>+C99+BV99</f>
        <v>0</v>
      </c>
      <c r="S99" s="35">
        <f>ROUND(Q99/SLS_COS!$AZ$3,0)</f>
        <v>0</v>
      </c>
      <c r="U99" s="32">
        <f t="shared" si="23"/>
        <v>0</v>
      </c>
      <c r="W99" s="83">
        <f t="shared" ref="W99:AA102" si="24">+I99+CB99</f>
        <v>0</v>
      </c>
      <c r="X99" s="83"/>
      <c r="Y99" s="83">
        <f t="shared" si="24"/>
        <v>0</v>
      </c>
      <c r="Z99" s="83"/>
      <c r="AA99" s="83">
        <f t="shared" si="24"/>
        <v>0</v>
      </c>
      <c r="AC99" s="140">
        <f>ROUND(AA99/1000,0)</f>
        <v>0</v>
      </c>
      <c r="AE99" s="35"/>
      <c r="AF99" s="35"/>
      <c r="AG99" s="35"/>
      <c r="AH99" s="35"/>
      <c r="AU99" s="19"/>
      <c r="AW99" s="17"/>
      <c r="AY99" s="17"/>
      <c r="BM99" s="12"/>
      <c r="BO99" s="30"/>
      <c r="BS99" s="30"/>
      <c r="BU99" s="27"/>
      <c r="BV99">
        <v>0</v>
      </c>
      <c r="BW99" s="35"/>
      <c r="BX99">
        <v>0</v>
      </c>
      <c r="BY99" s="35"/>
      <c r="BZ99">
        <v>0</v>
      </c>
      <c r="CA99" s="35"/>
      <c r="CB99">
        <v>0</v>
      </c>
      <c r="CC99" s="61"/>
      <c r="CD99">
        <v>0</v>
      </c>
      <c r="CE99" s="61"/>
      <c r="CF99">
        <v>0</v>
      </c>
      <c r="CG99" s="44"/>
      <c r="CH99">
        <v>0</v>
      </c>
    </row>
    <row r="100" spans="1:126">
      <c r="A100" s="27" t="str">
        <f>+TSPT_COT!A89</f>
        <v xml:space="preserve">   FR(W of Th/Th)</v>
      </c>
      <c r="C100" s="28">
        <f>TSPT_COT!AS89</f>
        <v>0</v>
      </c>
      <c r="E100" s="28">
        <f>TSPT_COT!AU89</f>
        <v>0</v>
      </c>
      <c r="G100" s="32">
        <f t="shared" si="22"/>
        <v>0</v>
      </c>
      <c r="I100" s="130">
        <f>TSPT_COT!AY89</f>
        <v>0</v>
      </c>
      <c r="J100" s="83"/>
      <c r="K100" s="130">
        <f>TSPT_COT!BA89</f>
        <v>0</v>
      </c>
      <c r="L100" s="83"/>
      <c r="M100" s="130">
        <f>TSPT_COT!BC89</f>
        <v>0</v>
      </c>
      <c r="O100" s="34">
        <f>TSPT_COT!BE89</f>
        <v>0</v>
      </c>
      <c r="Q100" s="18">
        <f>+C100+BV100</f>
        <v>0</v>
      </c>
      <c r="S100" s="35">
        <f>ROUND(Q100/SLS_COS!$AZ$3,0)</f>
        <v>0</v>
      </c>
      <c r="U100" s="32">
        <f t="shared" si="23"/>
        <v>0</v>
      </c>
      <c r="W100" s="83">
        <f t="shared" si="24"/>
        <v>0</v>
      </c>
      <c r="X100" s="83"/>
      <c r="Y100" s="83">
        <f t="shared" si="24"/>
        <v>0</v>
      </c>
      <c r="Z100" s="83"/>
      <c r="AA100" s="83">
        <f t="shared" si="24"/>
        <v>0</v>
      </c>
      <c r="AC100" s="140">
        <f>ROUND(AA100/1000,0)</f>
        <v>0</v>
      </c>
      <c r="AE100" s="35"/>
      <c r="AF100" s="35"/>
      <c r="AG100" s="35"/>
      <c r="AH100" s="35"/>
      <c r="AU100" s="19"/>
      <c r="AW100" s="17"/>
      <c r="AY100" s="17"/>
      <c r="BM100" s="12"/>
      <c r="BO100" s="30"/>
      <c r="BS100" s="30"/>
      <c r="BU100" s="27"/>
      <c r="BV100">
        <v>0</v>
      </c>
      <c r="BW100" s="35"/>
      <c r="BX100">
        <v>0</v>
      </c>
      <c r="BY100" s="35"/>
      <c r="BZ100">
        <v>0</v>
      </c>
      <c r="CA100" s="35"/>
      <c r="CB100">
        <v>0</v>
      </c>
      <c r="CC100" s="61"/>
      <c r="CD100">
        <v>0</v>
      </c>
      <c r="CE100" s="61"/>
      <c r="CF100">
        <v>0</v>
      </c>
      <c r="CG100" s="44"/>
      <c r="CH100">
        <v>0</v>
      </c>
    </row>
    <row r="101" spans="1:126">
      <c r="A101" s="27" t="str">
        <f>+TSPT_COT!A90</f>
        <v xml:space="preserve">   LFT(W of Th/Th)</v>
      </c>
      <c r="C101" s="28">
        <f>TSPT_COT!AS90</f>
        <v>0</v>
      </c>
      <c r="E101" s="28">
        <f>TSPT_COT!AU90</f>
        <v>0</v>
      </c>
      <c r="G101" s="32">
        <f t="shared" si="22"/>
        <v>0</v>
      </c>
      <c r="I101" s="130">
        <f>TSPT_COT!AY90</f>
        <v>0</v>
      </c>
      <c r="J101" s="83"/>
      <c r="K101" s="130">
        <f>TSPT_COT!BA90</f>
        <v>0</v>
      </c>
      <c r="L101" s="83"/>
      <c r="M101" s="130">
        <f>TSPT_COT!BC90</f>
        <v>0</v>
      </c>
      <c r="O101" s="34">
        <f>TSPT_COT!BE90</f>
        <v>0</v>
      </c>
      <c r="Q101" s="18">
        <f>+C101+BV101</f>
        <v>0</v>
      </c>
      <c r="S101" s="35">
        <f>ROUND(Q101/SLS_COS!$AZ$3,0)</f>
        <v>0</v>
      </c>
      <c r="U101" s="32">
        <f t="shared" si="23"/>
        <v>0</v>
      </c>
      <c r="W101" s="83">
        <f t="shared" si="24"/>
        <v>0</v>
      </c>
      <c r="X101" s="83"/>
      <c r="Y101" s="83">
        <f t="shared" si="24"/>
        <v>0</v>
      </c>
      <c r="Z101" s="83"/>
      <c r="AA101" s="83">
        <f t="shared" si="24"/>
        <v>0</v>
      </c>
      <c r="AC101" s="140">
        <f>ROUND(AA101/1000,0)</f>
        <v>0</v>
      </c>
      <c r="AE101" s="35"/>
      <c r="AF101" s="35"/>
      <c r="AG101" s="35"/>
      <c r="AH101" s="35"/>
      <c r="AU101" s="19"/>
      <c r="AW101" s="17"/>
      <c r="AY101" s="17"/>
      <c r="BM101" s="12"/>
      <c r="BO101" s="30"/>
      <c r="BS101" s="30"/>
      <c r="BU101" s="27"/>
      <c r="BV101">
        <v>0</v>
      </c>
      <c r="BW101" s="35"/>
      <c r="BX101">
        <v>0</v>
      </c>
      <c r="BY101" s="35"/>
      <c r="BZ101">
        <v>0</v>
      </c>
      <c r="CA101" s="35"/>
      <c r="CB101">
        <v>0</v>
      </c>
      <c r="CC101" s="61"/>
      <c r="CD101">
        <v>0</v>
      </c>
      <c r="CE101" s="61"/>
      <c r="CF101">
        <v>0</v>
      </c>
      <c r="CG101" s="44"/>
      <c r="CH101">
        <v>0</v>
      </c>
    </row>
    <row r="102" spans="1:126" s="117" customFormat="1">
      <c r="A102" s="27" t="str">
        <f>+TSPT_COT!A91</f>
        <v xml:space="preserve">   IT(W of Th/Th)</v>
      </c>
      <c r="C102" s="28">
        <f>TSPT_COT!AS91</f>
        <v>0</v>
      </c>
      <c r="D102"/>
      <c r="E102" s="28">
        <f>TSPT_COT!AU91</f>
        <v>0</v>
      </c>
      <c r="F102"/>
      <c r="G102" s="32">
        <f t="shared" si="22"/>
        <v>0</v>
      </c>
      <c r="H102"/>
      <c r="I102" s="130">
        <f>TSPT_COT!AY91</f>
        <v>0</v>
      </c>
      <c r="J102" s="83"/>
      <c r="K102" s="130">
        <f>TSPT_COT!BA91</f>
        <v>0</v>
      </c>
      <c r="L102" s="83"/>
      <c r="M102" s="130">
        <f>TSPT_COT!BC91</f>
        <v>0</v>
      </c>
      <c r="N102"/>
      <c r="O102" s="34">
        <f>TSPT_COT!BE91</f>
        <v>0</v>
      </c>
      <c r="P102"/>
      <c r="Q102" s="18">
        <f>+C102+BV102</f>
        <v>0</v>
      </c>
      <c r="R102"/>
      <c r="S102" s="35">
        <f>ROUND(Q102/SLS_COS!$AZ$3,0)</f>
        <v>0</v>
      </c>
      <c r="T102"/>
      <c r="U102" s="32">
        <f t="shared" si="23"/>
        <v>0</v>
      </c>
      <c r="V102"/>
      <c r="W102" s="83">
        <f t="shared" si="24"/>
        <v>0</v>
      </c>
      <c r="X102" s="83"/>
      <c r="Y102" s="83">
        <f t="shared" si="24"/>
        <v>0</v>
      </c>
      <c r="Z102" s="83"/>
      <c r="AA102" s="83">
        <f t="shared" si="24"/>
        <v>0</v>
      </c>
      <c r="AB102"/>
      <c r="AC102" s="140">
        <f>ROUND(AA102/1000,0)</f>
        <v>0</v>
      </c>
      <c r="AE102" s="123"/>
      <c r="AF102" s="123"/>
      <c r="AG102" s="123"/>
      <c r="AH102" s="123"/>
      <c r="AU102" s="124"/>
      <c r="AW102" s="125"/>
      <c r="AY102" s="125"/>
      <c r="BM102" s="126"/>
      <c r="BO102" s="127"/>
      <c r="BS102" s="127"/>
      <c r="BU102" s="31"/>
      <c r="BV102">
        <v>0</v>
      </c>
      <c r="BW102" s="123"/>
      <c r="BX102">
        <v>0</v>
      </c>
      <c r="BY102" s="123"/>
      <c r="BZ102">
        <v>0</v>
      </c>
      <c r="CA102" s="123"/>
      <c r="CB102">
        <v>0</v>
      </c>
      <c r="CC102" s="128"/>
      <c r="CD102">
        <v>0</v>
      </c>
      <c r="CE102" s="128"/>
      <c r="CF102">
        <v>0</v>
      </c>
      <c r="CG102" s="129"/>
      <c r="CH102">
        <v>0</v>
      </c>
    </row>
    <row r="103" spans="1:126">
      <c r="A103" s="31" t="str">
        <f>+TSPT_COT!A92</f>
        <v xml:space="preserve">     Sub-Total</v>
      </c>
      <c r="C103" s="118">
        <f>TSPT_COT!AS92</f>
        <v>0</v>
      </c>
      <c r="D103" s="117"/>
      <c r="E103" s="118">
        <f>TSPT_COT!AU92</f>
        <v>0</v>
      </c>
      <c r="F103" s="117"/>
      <c r="G103" s="75">
        <f t="shared" si="22"/>
        <v>0</v>
      </c>
      <c r="H103" s="117"/>
      <c r="I103" s="120">
        <f>TSPT_COT!AY92</f>
        <v>0</v>
      </c>
      <c r="J103" s="121"/>
      <c r="K103" s="120">
        <f>TSPT_COT!BA92</f>
        <v>0</v>
      </c>
      <c r="L103" s="121"/>
      <c r="M103" s="120">
        <f>TSPT_COT!BC92</f>
        <v>0</v>
      </c>
      <c r="N103" s="117"/>
      <c r="O103" s="135">
        <f>TSPT_COT!BE92</f>
        <v>0</v>
      </c>
      <c r="P103" s="117"/>
      <c r="Q103" s="122">
        <f>SUM(Q99:Q102)</f>
        <v>0</v>
      </c>
      <c r="R103" s="117"/>
      <c r="S103" s="122">
        <f>SUM(S99:S102)</f>
        <v>0</v>
      </c>
      <c r="T103" s="117"/>
      <c r="U103" s="75">
        <f t="shared" si="23"/>
        <v>0</v>
      </c>
      <c r="V103" s="117"/>
      <c r="W103" s="120">
        <f>SUM(W98:W102)</f>
        <v>0</v>
      </c>
      <c r="X103" s="121"/>
      <c r="Y103" s="120">
        <f>SUM(Y98:Y102)</f>
        <v>0</v>
      </c>
      <c r="Z103" s="121"/>
      <c r="AA103" s="120">
        <f>SUM(AA98:AA102)</f>
        <v>0</v>
      </c>
      <c r="AB103" s="121"/>
      <c r="AC103" s="135">
        <f>ROUND(W103/1000,0)</f>
        <v>0</v>
      </c>
      <c r="AE103" s="35"/>
      <c r="AF103" s="35"/>
      <c r="AG103" s="35"/>
      <c r="AH103" s="35"/>
      <c r="AU103" s="19"/>
      <c r="AW103" s="17"/>
      <c r="AY103" s="17"/>
      <c r="BM103" s="12"/>
      <c r="BO103" s="30"/>
      <c r="BS103" s="30"/>
      <c r="BU103" s="27"/>
      <c r="BV103">
        <v>0</v>
      </c>
      <c r="BW103" s="35"/>
      <c r="BX103">
        <v>0</v>
      </c>
      <c r="BY103" s="35"/>
      <c r="BZ103">
        <v>0</v>
      </c>
      <c r="CA103" s="35"/>
      <c r="CB103">
        <v>0</v>
      </c>
      <c r="CC103" s="61"/>
      <c r="CD103">
        <v>0</v>
      </c>
      <c r="CE103" s="61"/>
      <c r="CF103">
        <v>0</v>
      </c>
      <c r="CG103" s="44"/>
      <c r="CH103">
        <v>0</v>
      </c>
    </row>
    <row r="104" spans="1:126">
      <c r="A104" s="27"/>
      <c r="B104" s="37"/>
      <c r="AD104" s="37"/>
      <c r="AE104" s="41"/>
      <c r="AF104" s="41"/>
      <c r="AG104" s="41"/>
      <c r="AH104" s="41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68"/>
      <c r="AV104" s="37"/>
      <c r="AW104" s="43"/>
      <c r="AX104" s="37"/>
      <c r="AY104" s="43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42"/>
      <c r="BN104" s="37"/>
      <c r="BO104" s="31"/>
      <c r="BP104" s="37"/>
      <c r="BQ104" s="37"/>
      <c r="BR104" s="37"/>
      <c r="BS104" s="31"/>
      <c r="BT104" s="37"/>
      <c r="BU104" s="31" t="s">
        <v>96</v>
      </c>
      <c r="BW104" s="41"/>
      <c r="BY104" s="41"/>
      <c r="CA104" s="41"/>
      <c r="CC104" s="69"/>
      <c r="CE104" s="69"/>
      <c r="CF104"/>
      <c r="CG104" s="70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</row>
    <row r="105" spans="1:126">
      <c r="A105" s="31" t="str">
        <f>+TSPT_COT!A94</f>
        <v xml:space="preserve">     Total East</v>
      </c>
      <c r="C105" s="38">
        <f>TSPT_COT!AS94</f>
        <v>11483369</v>
      </c>
      <c r="D105" s="37"/>
      <c r="E105" s="38">
        <f>TSPT_COT!AU94</f>
        <v>370434</v>
      </c>
      <c r="F105" s="37"/>
      <c r="G105" s="234">
        <f>IF(I105=0,0,I105/C105)</f>
        <v>0.13917610676797026</v>
      </c>
      <c r="H105" s="37"/>
      <c r="I105" s="85">
        <f>TSPT_COT!AY94</f>
        <v>1598210.5899999999</v>
      </c>
      <c r="J105" s="86"/>
      <c r="K105" s="85">
        <f>TSPT_COT!BA94</f>
        <v>32178.93</v>
      </c>
      <c r="L105" s="86"/>
      <c r="M105" s="85">
        <f>TSPT_COT!BC94</f>
        <v>1630389.52</v>
      </c>
      <c r="N105" s="37"/>
      <c r="O105" s="133">
        <f>TSPT_COT!BE94</f>
        <v>1631</v>
      </c>
      <c r="P105" s="37"/>
      <c r="Q105" s="38">
        <f>+Q103+Q95+Q88+Q81+Q74+Q66</f>
        <v>164756703</v>
      </c>
      <c r="R105" s="13"/>
      <c r="S105" s="38">
        <f>+S103+S95+S88+S81+S74+S66</f>
        <v>1840806</v>
      </c>
      <c r="T105" s="13"/>
      <c r="U105" s="75">
        <f>IF(W105=0,0,W105/Q105)</f>
        <v>0.11204225602887918</v>
      </c>
      <c r="V105" s="37"/>
      <c r="W105" s="85">
        <f>+W103+W95+W88+W81+W74+W66</f>
        <v>18459712.700000007</v>
      </c>
      <c r="X105" s="86"/>
      <c r="Y105" s="85">
        <f>+Y103+Y95+Y88+Y81+Y74+Y66</f>
        <v>543311.01</v>
      </c>
      <c r="Z105" s="86"/>
      <c r="AA105" s="85">
        <f>+AA103+AA95+AA88+AA81+AA74+AA66</f>
        <v>19003023.710000001</v>
      </c>
      <c r="AB105" s="37"/>
      <c r="AC105" s="133">
        <f>+AC103+AC95+AC88+AC81+AC74+AC66</f>
        <v>18257</v>
      </c>
      <c r="AE105" s="35"/>
      <c r="AF105" s="35"/>
      <c r="AG105" s="35"/>
      <c r="AH105" s="35"/>
      <c r="AU105" s="19"/>
      <c r="AW105" s="17"/>
      <c r="AY105" s="17"/>
      <c r="BM105" s="12"/>
      <c r="BO105" s="30"/>
      <c r="BS105" s="30"/>
      <c r="BU105" s="27"/>
      <c r="BV105">
        <v>153273334</v>
      </c>
      <c r="BW105" s="35"/>
      <c r="BX105">
        <v>1763699</v>
      </c>
      <c r="BY105" s="35"/>
      <c r="BZ105">
        <v>0.1100093647731314</v>
      </c>
      <c r="CA105" s="35"/>
      <c r="CB105">
        <v>16861502.110000003</v>
      </c>
      <c r="CC105" s="61"/>
      <c r="CD105">
        <v>511132.08</v>
      </c>
      <c r="CE105" s="61"/>
      <c r="CF105">
        <v>17372634.190000001</v>
      </c>
      <c r="CG105" s="44"/>
      <c r="CH105">
        <v>15613</v>
      </c>
    </row>
    <row r="106" spans="1:126">
      <c r="A106" s="27"/>
      <c r="C106" s="28"/>
      <c r="E106" s="15"/>
      <c r="G106" s="32"/>
      <c r="I106" s="83"/>
      <c r="J106" s="83"/>
      <c r="K106" s="83"/>
      <c r="L106" s="83"/>
      <c r="O106" s="34"/>
      <c r="Q106" s="18"/>
      <c r="S106" s="35"/>
      <c r="U106" s="32"/>
      <c r="W106" s="83"/>
      <c r="X106" s="83"/>
      <c r="Y106" s="83"/>
      <c r="Z106" s="83"/>
      <c r="AA106" s="83"/>
      <c r="AC106" s="140"/>
      <c r="AE106" s="35"/>
      <c r="AF106" s="35"/>
      <c r="AG106" s="35"/>
      <c r="AH106" s="35"/>
      <c r="AU106" s="19"/>
      <c r="AW106" s="17"/>
      <c r="AY106" s="17"/>
      <c r="BM106" s="12"/>
      <c r="BO106" s="30"/>
      <c r="BS106" s="30"/>
      <c r="BU106" s="27" t="s">
        <v>97</v>
      </c>
      <c r="BW106" s="35"/>
      <c r="BY106" s="35"/>
      <c r="CA106" s="35"/>
      <c r="CC106" s="61"/>
      <c r="CE106" s="61"/>
      <c r="CF106"/>
      <c r="CG106" s="44"/>
    </row>
    <row r="107" spans="1:126">
      <c r="A107" s="31" t="str">
        <f>+TSPT_COT!A96</f>
        <v>Ignacio to Blanco(I/B LINK-500545 DEL)</v>
      </c>
      <c r="C107" s="31"/>
      <c r="E107" s="15"/>
      <c r="G107" s="32"/>
      <c r="I107" s="130"/>
      <c r="J107" s="83"/>
      <c r="K107" s="130"/>
      <c r="L107" s="83"/>
      <c r="M107" s="130"/>
      <c r="O107" s="34"/>
      <c r="Q107" s="18"/>
      <c r="S107" s="35"/>
      <c r="U107" s="32"/>
      <c r="W107" s="83"/>
      <c r="X107" s="83"/>
      <c r="Y107" s="83"/>
      <c r="Z107" s="83"/>
      <c r="AA107" s="83"/>
      <c r="AC107" s="140"/>
      <c r="AE107" s="35"/>
      <c r="AF107" s="35"/>
      <c r="AG107" s="35"/>
      <c r="AH107" s="35"/>
      <c r="AU107" s="19"/>
      <c r="AW107" s="17"/>
      <c r="AY107" s="17"/>
      <c r="BM107" s="12"/>
      <c r="BO107" s="30"/>
      <c r="BS107" s="30"/>
      <c r="BU107" s="27" t="s">
        <v>65</v>
      </c>
      <c r="BW107" s="35"/>
      <c r="BY107" s="35"/>
      <c r="CA107" s="35"/>
      <c r="CC107" s="61"/>
      <c r="CE107" s="61"/>
      <c r="CF107"/>
      <c r="CG107" s="44"/>
    </row>
    <row r="108" spans="1:126">
      <c r="A108" s="27" t="str">
        <f>+TSPT_COT!A97</f>
        <v xml:space="preserve">   Demand(SJ2)</v>
      </c>
      <c r="C108" s="243">
        <f>+TSPT_COT!C97</f>
        <v>8664832</v>
      </c>
      <c r="E108" s="243">
        <f>+TSPT_COT!E97</f>
        <v>279511</v>
      </c>
      <c r="G108" s="89">
        <f>+TSPT_COT!G97</f>
        <v>4.8015205603524687E-2</v>
      </c>
      <c r="I108" s="130">
        <f>TSPT_COT!AY97</f>
        <v>416043.69</v>
      </c>
      <c r="J108" s="83"/>
      <c r="K108" s="130">
        <f>TSPT_COT!BA97</f>
        <v>0</v>
      </c>
      <c r="L108" s="83"/>
      <c r="M108" s="130">
        <f>TSPT_COT!BC97</f>
        <v>416043.69</v>
      </c>
      <c r="O108" s="34">
        <f>TSPT_COT!BE97</f>
        <v>416</v>
      </c>
      <c r="Q108" s="18">
        <f>+C108+BV108</f>
        <v>102637733</v>
      </c>
      <c r="S108" s="35">
        <f>ROUND(Q108/SLS_COS!$AZ$3,0)</f>
        <v>281199</v>
      </c>
      <c r="U108" s="32">
        <f t="shared" ref="U108:U113" si="25">IF(W108=0,0,W108/Q108)</f>
        <v>4.4226853003466092E-2</v>
      </c>
      <c r="W108" s="83">
        <f>+I108+CB108</f>
        <v>4539343.9300000006</v>
      </c>
      <c r="X108" s="83"/>
      <c r="Y108" s="83">
        <f>+K108+CD108</f>
        <v>1320</v>
      </c>
      <c r="Z108" s="83"/>
      <c r="AA108" s="83">
        <f>+M108+CF108</f>
        <v>4540663.9300000006</v>
      </c>
      <c r="AC108" s="140">
        <f>ROUND(AA108/1000,0)</f>
        <v>4541</v>
      </c>
      <c r="AE108" s="35"/>
      <c r="AF108" s="35"/>
      <c r="AG108" s="35"/>
      <c r="AH108" s="35"/>
      <c r="AU108" s="19"/>
      <c r="AW108" s="17"/>
      <c r="AY108" s="17"/>
      <c r="BM108" s="12"/>
      <c r="BO108" s="30"/>
      <c r="BS108" s="30"/>
      <c r="BU108" s="27" t="s">
        <v>98</v>
      </c>
      <c r="BV108">
        <v>93972901</v>
      </c>
      <c r="BW108" s="35"/>
      <c r="BX108">
        <v>281356</v>
      </c>
      <c r="BY108" s="35"/>
      <c r="BZ108">
        <v>4.3877545506443398E-2</v>
      </c>
      <c r="CA108" s="35"/>
      <c r="CB108">
        <v>4123300.24</v>
      </c>
      <c r="CC108" s="61"/>
      <c r="CD108">
        <v>1320</v>
      </c>
      <c r="CE108" s="61"/>
      <c r="CF108">
        <v>4124620.24</v>
      </c>
      <c r="CG108" s="44"/>
      <c r="CH108">
        <v>3796</v>
      </c>
    </row>
    <row r="109" spans="1:126">
      <c r="A109" s="27" t="str">
        <f>+TSPT_COT!A98</f>
        <v xml:space="preserve">   FT(SJ2)</v>
      </c>
      <c r="C109" s="243">
        <f>+TSPT_COT!C98</f>
        <v>8676424</v>
      </c>
      <c r="E109" s="243">
        <f>+TSPT_COT!E98</f>
        <v>279885</v>
      </c>
      <c r="G109" s="89">
        <f>+TSPT_COT!G98</f>
        <v>1.1000015674660435E-3</v>
      </c>
      <c r="I109" s="130">
        <f>TSPT_COT!AY98</f>
        <v>9544.08</v>
      </c>
      <c r="J109" s="83"/>
      <c r="K109" s="130">
        <f>TSPT_COT!BA98</f>
        <v>0</v>
      </c>
      <c r="L109" s="83"/>
      <c r="M109" s="130">
        <f>TSPT_COT!BC98</f>
        <v>9544.08</v>
      </c>
      <c r="O109" s="34">
        <f>TSPT_COT!BE98</f>
        <v>10</v>
      </c>
      <c r="Q109" s="18">
        <f>+C109+BV109</f>
        <v>87282007</v>
      </c>
      <c r="S109" s="35">
        <f>ROUND(Q109/SLS_COS!$AZ$3,0)</f>
        <v>239129</v>
      </c>
      <c r="U109" s="32">
        <f t="shared" si="25"/>
        <v>9.3320711564297558E-4</v>
      </c>
      <c r="W109" s="83">
        <f>+I109+CB109</f>
        <v>81452.19</v>
      </c>
      <c r="X109" s="83"/>
      <c r="Y109" s="83">
        <f>+K109+CD109</f>
        <v>66070.59</v>
      </c>
      <c r="Z109" s="83"/>
      <c r="AA109" s="83">
        <f>+M109+CF109</f>
        <v>147522.78</v>
      </c>
      <c r="AC109" s="140">
        <f>ROUND(AA109/1000,0)</f>
        <v>148</v>
      </c>
      <c r="AE109" s="35"/>
      <c r="AF109" s="35"/>
      <c r="AG109" s="35"/>
      <c r="AH109" s="35"/>
      <c r="AU109" s="19"/>
      <c r="AW109" s="17"/>
      <c r="AY109" s="17"/>
      <c r="BM109" s="12"/>
      <c r="BO109" s="30"/>
      <c r="BS109" s="30"/>
      <c r="BU109" s="27" t="s">
        <v>99</v>
      </c>
      <c r="BV109">
        <v>78605583</v>
      </c>
      <c r="BW109" s="35"/>
      <c r="BX109">
        <v>235346</v>
      </c>
      <c r="BY109" s="35"/>
      <c r="BZ109">
        <v>9.1479647189945782E-4</v>
      </c>
      <c r="CA109" s="35"/>
      <c r="CB109">
        <v>71908.11</v>
      </c>
      <c r="CC109" s="61"/>
      <c r="CD109">
        <v>66070.59</v>
      </c>
      <c r="CE109" s="61"/>
      <c r="CF109">
        <v>137978.70000000001</v>
      </c>
      <c r="CG109" s="44"/>
      <c r="CH109">
        <v>129</v>
      </c>
    </row>
    <row r="110" spans="1:126">
      <c r="A110" s="27" t="str">
        <f>+TSPT_COT!A99</f>
        <v xml:space="preserve">   FR(SJ2)</v>
      </c>
      <c r="C110" s="243">
        <f>+TSPT_COT!C99</f>
        <v>465000</v>
      </c>
      <c r="E110" s="243">
        <f>+TSPT_COT!E99</f>
        <v>15000</v>
      </c>
      <c r="G110" s="89">
        <f>+TSPT_COT!G99</f>
        <v>1.1000000000000001E-3</v>
      </c>
      <c r="I110" s="130">
        <f>TSPT_COT!AY99</f>
        <v>511.5</v>
      </c>
      <c r="J110" s="83"/>
      <c r="K110" s="130">
        <f>TSPT_COT!BA99</f>
        <v>0</v>
      </c>
      <c r="L110" s="83"/>
      <c r="M110" s="130">
        <f>TSPT_COT!BC99</f>
        <v>511.5</v>
      </c>
      <c r="O110" s="34">
        <f>TSPT_COT!BE99</f>
        <v>1</v>
      </c>
      <c r="Q110" s="18">
        <f>+C110+BV110</f>
        <v>1791879</v>
      </c>
      <c r="S110" s="35">
        <f>ROUND(Q110/SLS_COS!$AZ$3,0)</f>
        <v>4909</v>
      </c>
      <c r="U110" s="32">
        <f t="shared" si="25"/>
        <v>1.1000017300275297E-3</v>
      </c>
      <c r="W110" s="83">
        <f>+I110+CB110</f>
        <v>1971.07</v>
      </c>
      <c r="X110" s="83"/>
      <c r="Y110" s="83">
        <f>+K110+CD110</f>
        <v>0</v>
      </c>
      <c r="Z110" s="83"/>
      <c r="AA110" s="83">
        <f>+M110+CF110</f>
        <v>1971.07</v>
      </c>
      <c r="AC110" s="140">
        <f>ROUND(AA110/1000,0)</f>
        <v>2</v>
      </c>
      <c r="AE110" s="35"/>
      <c r="AF110" s="35"/>
      <c r="AG110" s="35"/>
      <c r="AH110" s="35"/>
      <c r="AU110" s="19"/>
      <c r="AW110" s="17"/>
      <c r="AY110" s="17"/>
      <c r="BM110" s="12"/>
      <c r="BO110" s="30"/>
      <c r="BS110" s="30"/>
      <c r="BU110" s="27" t="s">
        <v>100</v>
      </c>
      <c r="BV110">
        <v>1326879</v>
      </c>
      <c r="BW110" s="35"/>
      <c r="BX110">
        <v>3973</v>
      </c>
      <c r="BY110" s="35"/>
      <c r="BZ110">
        <v>1.1000023363094901E-3</v>
      </c>
      <c r="CA110" s="35"/>
      <c r="CB110">
        <v>1459.57</v>
      </c>
      <c r="CC110" s="61"/>
      <c r="CD110">
        <v>0</v>
      </c>
      <c r="CE110" s="61"/>
      <c r="CF110">
        <v>1459.57</v>
      </c>
      <c r="CG110" s="44"/>
      <c r="CH110">
        <v>1</v>
      </c>
    </row>
    <row r="111" spans="1:126">
      <c r="A111" s="27" t="str">
        <f>+TSPT_COT!A100</f>
        <v xml:space="preserve">   LFT(SJ2)</v>
      </c>
      <c r="C111" s="243">
        <f>+TSPT_COT!C100</f>
        <v>0</v>
      </c>
      <c r="E111" s="243">
        <f>+TSPT_COT!E100</f>
        <v>0</v>
      </c>
      <c r="G111" s="89">
        <f>+TSPT_COT!G100</f>
        <v>0</v>
      </c>
      <c r="I111" s="130">
        <f>TSPT_COT!AY100</f>
        <v>0</v>
      </c>
      <c r="J111" s="83"/>
      <c r="K111" s="130">
        <f>TSPT_COT!BA100</f>
        <v>0</v>
      </c>
      <c r="L111" s="83"/>
      <c r="M111" s="130">
        <f>TSPT_COT!BC100</f>
        <v>0</v>
      </c>
      <c r="O111" s="34">
        <f>TSPT_COT!BE100</f>
        <v>0</v>
      </c>
      <c r="Q111" s="18">
        <f>+C111+BV111</f>
        <v>0</v>
      </c>
      <c r="S111" s="35">
        <f>ROUND(Q111/SLS_COS!$AZ$3,0)</f>
        <v>0</v>
      </c>
      <c r="U111" s="32">
        <f t="shared" si="25"/>
        <v>0</v>
      </c>
      <c r="W111" s="83">
        <f>+I111+CB111</f>
        <v>0</v>
      </c>
      <c r="X111" s="83"/>
      <c r="Y111" s="83">
        <f>+K111+CD111</f>
        <v>0</v>
      </c>
      <c r="Z111" s="83"/>
      <c r="AA111" s="83">
        <f>+M111+CF111</f>
        <v>0</v>
      </c>
      <c r="AC111" s="140">
        <f>ROUND(AA111/1000,0)</f>
        <v>0</v>
      </c>
      <c r="AE111" s="35"/>
      <c r="AF111" s="35"/>
      <c r="AG111" s="35"/>
      <c r="AH111" s="35"/>
      <c r="AU111" s="19"/>
      <c r="AW111" s="17"/>
      <c r="AY111" s="17"/>
      <c r="BM111" s="12"/>
      <c r="BO111" s="30"/>
      <c r="BS111" s="30"/>
      <c r="BU111" s="27"/>
      <c r="BV111">
        <v>0</v>
      </c>
      <c r="BW111" s="35"/>
      <c r="BX111">
        <v>0</v>
      </c>
      <c r="BY111" s="35"/>
      <c r="BZ111">
        <v>0</v>
      </c>
      <c r="CA111" s="35"/>
      <c r="CB111">
        <v>0</v>
      </c>
      <c r="CC111" s="61"/>
      <c r="CD111">
        <v>0</v>
      </c>
      <c r="CE111" s="61"/>
      <c r="CF111">
        <v>0</v>
      </c>
      <c r="CG111" s="44"/>
      <c r="CH111">
        <v>0</v>
      </c>
    </row>
    <row r="112" spans="1:126" s="117" customFormat="1">
      <c r="A112" s="27" t="str">
        <f>+TSPT_COT!A101</f>
        <v xml:space="preserve">   IT(SJ2)</v>
      </c>
      <c r="B112" s="37"/>
      <c r="C112" s="244">
        <f>+TSPT_COT!C101</f>
        <v>58851</v>
      </c>
      <c r="D112"/>
      <c r="E112" s="244">
        <f>+TSPT_COT!E101</f>
        <v>1898</v>
      </c>
      <c r="F112"/>
      <c r="G112" s="232">
        <f>+TSPT_COT!G101</f>
        <v>0.10310003228492294</v>
      </c>
      <c r="H112"/>
      <c r="I112" s="131">
        <f>TSPT_COT!AY101</f>
        <v>6067.54</v>
      </c>
      <c r="J112" s="83"/>
      <c r="K112" s="131">
        <f>TSPT_COT!BA101</f>
        <v>0</v>
      </c>
      <c r="L112" s="83"/>
      <c r="M112" s="131">
        <f>TSPT_COT!BC101</f>
        <v>6067.54</v>
      </c>
      <c r="N112"/>
      <c r="O112" s="97">
        <f>TSPT_COT!BE101</f>
        <v>6</v>
      </c>
      <c r="P112" s="37"/>
      <c r="Q112" s="21">
        <f>+C112+BV112</f>
        <v>9421933</v>
      </c>
      <c r="R112" s="37"/>
      <c r="S112" s="226">
        <f>ROUND(Q112/SLS_COS!$AZ$3,0)</f>
        <v>25814</v>
      </c>
      <c r="T112" s="37"/>
      <c r="U112" s="95">
        <f t="shared" si="25"/>
        <v>4.4511408646187564E-2</v>
      </c>
      <c r="V112" s="37"/>
      <c r="W112" s="98">
        <f>+I112+CB112</f>
        <v>419383.50999999995</v>
      </c>
      <c r="X112" s="86"/>
      <c r="Y112" s="98">
        <f>+K112+CD112</f>
        <v>25702.400000000001</v>
      </c>
      <c r="Z112" s="86"/>
      <c r="AA112" s="98">
        <f>+M112+CF112</f>
        <v>445085.91</v>
      </c>
      <c r="AB112" s="37"/>
      <c r="AC112" s="169">
        <f>ROUND(AA112/1000,0)</f>
        <v>445</v>
      </c>
      <c r="AD112" s="37"/>
      <c r="AE112" s="41"/>
      <c r="AF112" s="41"/>
      <c r="AG112" s="41"/>
      <c r="AH112" s="41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68"/>
      <c r="AV112" s="37"/>
      <c r="AW112" s="43"/>
      <c r="AX112" s="37"/>
      <c r="AY112" s="43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42"/>
      <c r="BN112" s="37"/>
      <c r="BO112" s="31"/>
      <c r="BP112" s="37"/>
      <c r="BQ112" s="37"/>
      <c r="BR112" s="37"/>
      <c r="BS112" s="31"/>
      <c r="BT112" s="37"/>
      <c r="BU112" s="31" t="s">
        <v>101</v>
      </c>
      <c r="BV112">
        <v>9363082</v>
      </c>
      <c r="BW112" s="41"/>
      <c r="BX112">
        <v>28033</v>
      </c>
      <c r="BY112" s="41"/>
      <c r="BZ112">
        <v>4.4143153931579367E-2</v>
      </c>
      <c r="CA112" s="41"/>
      <c r="CB112">
        <v>413315.97</v>
      </c>
      <c r="CC112" s="69"/>
      <c r="CD112">
        <v>25702.400000000001</v>
      </c>
      <c r="CE112" s="69"/>
      <c r="CF112">
        <v>439018.37</v>
      </c>
      <c r="CG112" s="70"/>
      <c r="CH112">
        <v>439</v>
      </c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</row>
    <row r="113" spans="1:126">
      <c r="A113" s="31" t="str">
        <f>+TSPT_COT!A102</f>
        <v xml:space="preserve">     Sub-Total Ignacio to Blanco</v>
      </c>
      <c r="C113" s="243">
        <f>+TSPT_COT!C102</f>
        <v>9200275</v>
      </c>
      <c r="E113" s="243">
        <f>+TSPT_COT!E102</f>
        <v>296783</v>
      </c>
      <c r="G113" s="89">
        <f>+TSPT_COT!G102</f>
        <v>4.6973249169182441E-2</v>
      </c>
      <c r="I113" s="130">
        <f>TSPT_COT!AY102</f>
        <v>432166.81</v>
      </c>
      <c r="J113" s="83"/>
      <c r="K113" s="130">
        <f>TSPT_COT!BA102</f>
        <v>0</v>
      </c>
      <c r="L113" s="83"/>
      <c r="M113" s="130">
        <f>TSPT_COT!BC102</f>
        <v>432166.81</v>
      </c>
      <c r="O113" s="34">
        <f>TSPT_COT!BE102</f>
        <v>433</v>
      </c>
      <c r="Q113" s="35">
        <f>SUM(Q109:Q112)</f>
        <v>98495819</v>
      </c>
      <c r="S113" s="35">
        <f>SUM(S109:S112)</f>
        <v>269852</v>
      </c>
      <c r="U113" s="32">
        <f t="shared" si="25"/>
        <v>5.1191520119244868E-2</v>
      </c>
      <c r="W113" s="83">
        <f>SUM(W108:W112)</f>
        <v>5042150.7000000011</v>
      </c>
      <c r="X113" s="83"/>
      <c r="Y113" s="83">
        <f>SUM(Y108:Y112)</f>
        <v>93092.989999999991</v>
      </c>
      <c r="Z113" s="83"/>
      <c r="AA113" s="83">
        <f>SUM(AA108:AA112)</f>
        <v>5135243.6900000013</v>
      </c>
      <c r="AC113" s="140">
        <f>SUM(AC108:AC112)</f>
        <v>5136</v>
      </c>
      <c r="AE113" s="35"/>
      <c r="AF113" s="35"/>
      <c r="AG113" s="35"/>
      <c r="AH113" s="35"/>
      <c r="AU113" s="19"/>
      <c r="AW113" s="17"/>
      <c r="AY113" s="17"/>
      <c r="BM113" s="12"/>
      <c r="BO113" s="30"/>
      <c r="BS113" s="30"/>
      <c r="BU113" s="27"/>
      <c r="BV113">
        <v>89295544</v>
      </c>
      <c r="BW113" s="35"/>
      <c r="BX113">
        <v>267352</v>
      </c>
      <c r="BY113" s="35"/>
      <c r="BZ113">
        <v>5.1626135902145362E-2</v>
      </c>
      <c r="CA113" s="35"/>
      <c r="CB113">
        <v>4609983.8899999997</v>
      </c>
      <c r="CC113" s="61"/>
      <c r="CD113">
        <v>93092.99</v>
      </c>
      <c r="CE113" s="61"/>
      <c r="CF113">
        <v>4703076.88</v>
      </c>
      <c r="CG113" s="44"/>
      <c r="CH113">
        <v>4365</v>
      </c>
    </row>
    <row r="114" spans="1:126">
      <c r="A114" s="31"/>
      <c r="C114" s="28"/>
      <c r="E114" s="15"/>
      <c r="G114" s="32"/>
      <c r="I114" s="83"/>
      <c r="J114" s="83"/>
      <c r="K114" s="83"/>
      <c r="L114" s="83"/>
      <c r="O114" s="34"/>
      <c r="Q114" s="18"/>
      <c r="S114" s="35"/>
      <c r="U114" s="32"/>
      <c r="W114" s="83"/>
      <c r="X114" s="83"/>
      <c r="Y114" s="83"/>
      <c r="Z114" s="83"/>
      <c r="AA114" s="83"/>
      <c r="AC114" s="140"/>
      <c r="AE114" s="35"/>
      <c r="AF114" s="35"/>
      <c r="AG114" s="35"/>
      <c r="AH114" s="35"/>
      <c r="AU114" s="19"/>
      <c r="AW114" s="17"/>
      <c r="AY114" s="17"/>
      <c r="BM114" s="12"/>
      <c r="BO114" s="30"/>
      <c r="BS114" s="30"/>
      <c r="BU114" s="27"/>
      <c r="BW114" s="35"/>
      <c r="BY114" s="35"/>
      <c r="CA114" s="35"/>
      <c r="CC114" s="61"/>
      <c r="CE114" s="61"/>
      <c r="CF114"/>
      <c r="CG114" s="44"/>
    </row>
    <row r="115" spans="1:126">
      <c r="A115" s="31" t="str">
        <f>+TSPT_COT!A104</f>
        <v>Ignacio to El Paso Blanco</v>
      </c>
      <c r="C115" s="28"/>
      <c r="E115" s="28"/>
      <c r="G115" s="32"/>
      <c r="I115" s="159"/>
      <c r="J115" s="83"/>
      <c r="K115" s="159"/>
      <c r="L115" s="83"/>
      <c r="M115" s="159"/>
      <c r="O115" s="140"/>
      <c r="Q115" s="18"/>
      <c r="S115" s="18"/>
      <c r="U115" s="32"/>
      <c r="W115" s="151"/>
      <c r="X115" s="83"/>
      <c r="Y115" s="151"/>
      <c r="Z115" s="83"/>
      <c r="AA115" s="151"/>
      <c r="AC115" s="140"/>
      <c r="AE115" s="35"/>
      <c r="AF115" s="35"/>
      <c r="AG115" s="35"/>
      <c r="AH115" s="35"/>
      <c r="AU115" s="19"/>
      <c r="AW115" s="17"/>
      <c r="AY115" s="17"/>
      <c r="BM115" s="12"/>
      <c r="BO115" s="30"/>
      <c r="BS115" s="30"/>
      <c r="BU115" s="27"/>
      <c r="BW115" s="35"/>
      <c r="BY115" s="35"/>
      <c r="CA115" s="35"/>
      <c r="CC115" s="61"/>
      <c r="CE115" s="61"/>
      <c r="CF115"/>
      <c r="CG115" s="44"/>
    </row>
    <row r="116" spans="1:126">
      <c r="A116" s="27" t="str">
        <f>+TSPT_COT!A105</f>
        <v xml:space="preserve">   Demand</v>
      </c>
      <c r="C116" s="28">
        <f>+TSPT_COT!AS105</f>
        <v>9494983</v>
      </c>
      <c r="E116" s="28">
        <f>+TSPT_COT!AU105</f>
        <v>306290</v>
      </c>
      <c r="G116" s="32">
        <f t="shared" ref="G116:G121" si="26">IF(I116=0,0,I116/C116)</f>
        <v>3.4532875940904789E-2</v>
      </c>
      <c r="I116" s="130">
        <f>+TSPT_COT!AY105</f>
        <v>327889.07</v>
      </c>
      <c r="J116" s="83"/>
      <c r="K116" s="130">
        <f>+TSPT_COT!BA105</f>
        <v>0</v>
      </c>
      <c r="L116" s="83"/>
      <c r="M116" s="130">
        <f>+TSPT_COT!BC105</f>
        <v>327889.07</v>
      </c>
      <c r="O116" s="140">
        <f>+TSPT_COT!BE105</f>
        <v>328</v>
      </c>
      <c r="Q116" s="18">
        <f>+C116+BV116</f>
        <v>109205737</v>
      </c>
      <c r="S116" s="18">
        <f>+E116+BX116</f>
        <v>3589418</v>
      </c>
      <c r="U116" s="32">
        <f t="shared" ref="U116:U121" si="27">IF(W116=0,0,W116/Q116)</f>
        <v>4.4017239130944193E-2</v>
      </c>
      <c r="W116" s="151">
        <f>+I116+CB116</f>
        <v>4806935.04</v>
      </c>
      <c r="X116" s="83"/>
      <c r="Y116" s="151">
        <f>+K116+CD116</f>
        <v>31558.02</v>
      </c>
      <c r="Z116" s="83"/>
      <c r="AA116" s="151">
        <f>+M116+CF116</f>
        <v>4838493.0600000005</v>
      </c>
      <c r="AC116" s="140">
        <f>ROUND(AA116/1000,0)</f>
        <v>4838</v>
      </c>
      <c r="AE116" s="35"/>
      <c r="AF116" s="35"/>
      <c r="AG116" s="35"/>
      <c r="AH116" s="35"/>
      <c r="AU116" s="19"/>
      <c r="AW116" s="17"/>
      <c r="AY116" s="17"/>
      <c r="BM116" s="12"/>
      <c r="BO116" s="30"/>
      <c r="BS116" s="30"/>
      <c r="BU116" s="27"/>
      <c r="BV116">
        <v>99710754</v>
      </c>
      <c r="BW116" s="35"/>
      <c r="BX116">
        <v>3283128</v>
      </c>
      <c r="BY116" s="35"/>
      <c r="BZ116">
        <v>4.4920390131640169E-2</v>
      </c>
      <c r="CA116" s="35"/>
      <c r="CB116">
        <v>4479045.97</v>
      </c>
      <c r="CC116" s="61"/>
      <c r="CD116">
        <v>31558.02</v>
      </c>
      <c r="CE116" s="61"/>
      <c r="CF116">
        <v>4510603.99</v>
      </c>
      <c r="CG116" s="44"/>
      <c r="CH116">
        <v>4107</v>
      </c>
    </row>
    <row r="117" spans="1:126">
      <c r="A117" s="27" t="str">
        <f>+TSPT_COT!A106</f>
        <v xml:space="preserve">   FT</v>
      </c>
      <c r="C117" s="28">
        <f>+TSPT_COT!AS106</f>
        <v>6275753</v>
      </c>
      <c r="E117" s="28">
        <f>+TSPT_COT!AU106</f>
        <v>202444</v>
      </c>
      <c r="G117" s="32">
        <f t="shared" si="26"/>
        <v>1.1000002708838287E-3</v>
      </c>
      <c r="I117" s="130">
        <f>+TSPT_COT!AY106</f>
        <v>6903.33</v>
      </c>
      <c r="J117" s="83"/>
      <c r="K117" s="130">
        <f>+TSPT_COT!BA106</f>
        <v>13179.08</v>
      </c>
      <c r="L117" s="83"/>
      <c r="M117" s="130">
        <f>+TSPT_COT!BC106</f>
        <v>20082.41</v>
      </c>
      <c r="O117" s="140">
        <f>+TSPT_COT!BE106</f>
        <v>20</v>
      </c>
      <c r="Q117" s="18">
        <f>+C117+BV117</f>
        <v>87169855</v>
      </c>
      <c r="S117" s="18">
        <f>+E117+BX117</f>
        <v>2866672</v>
      </c>
      <c r="U117" s="32">
        <f t="shared" si="27"/>
        <v>1.656184698253771E-3</v>
      </c>
      <c r="W117" s="151">
        <f>+I117+CB117</f>
        <v>144369.37999999998</v>
      </c>
      <c r="X117" s="83"/>
      <c r="Y117" s="151">
        <f>+K117+CD117</f>
        <v>106288.79000000001</v>
      </c>
      <c r="Z117" s="83"/>
      <c r="AA117" s="151">
        <f>+M117+CF117</f>
        <v>250658.17</v>
      </c>
      <c r="AC117" s="140">
        <f>ROUND(AA117/1000,0)</f>
        <v>251</v>
      </c>
      <c r="AE117" s="35"/>
      <c r="AF117" s="35"/>
      <c r="AG117" s="35"/>
      <c r="AH117" s="35"/>
      <c r="AU117" s="19"/>
      <c r="AW117" s="17"/>
      <c r="AY117" s="17"/>
      <c r="BM117" s="12"/>
      <c r="BO117" s="30"/>
      <c r="BS117" s="30"/>
      <c r="BU117" s="27"/>
      <c r="BV117">
        <v>80894102</v>
      </c>
      <c r="BW117" s="35"/>
      <c r="BX117">
        <v>2664228</v>
      </c>
      <c r="BY117" s="35"/>
      <c r="BZ117">
        <v>1.6993334075208596E-3</v>
      </c>
      <c r="CA117" s="35"/>
      <c r="CB117">
        <v>137466.04999999999</v>
      </c>
      <c r="CC117" s="61"/>
      <c r="CD117">
        <v>93109.71</v>
      </c>
      <c r="CE117" s="61"/>
      <c r="CF117">
        <v>230575.76</v>
      </c>
      <c r="CG117" s="44"/>
      <c r="CH117">
        <v>210</v>
      </c>
    </row>
    <row r="118" spans="1:126">
      <c r="A118" s="27" t="str">
        <f>+TSPT_COT!A107</f>
        <v xml:space="preserve">   FR</v>
      </c>
      <c r="C118" s="28">
        <f>+TSPT_COT!AS107</f>
        <v>0</v>
      </c>
      <c r="E118" s="28">
        <f>+TSPT_COT!AU107</f>
        <v>0</v>
      </c>
      <c r="G118" s="32">
        <f t="shared" si="26"/>
        <v>0</v>
      </c>
      <c r="I118" s="130">
        <f>+TSPT_COT!AY107</f>
        <v>0</v>
      </c>
      <c r="J118" s="83"/>
      <c r="K118" s="130">
        <f>+TSPT_COT!BA107</f>
        <v>0</v>
      </c>
      <c r="L118" s="83"/>
      <c r="M118" s="130">
        <f>+TSPT_COT!BC107</f>
        <v>0</v>
      </c>
      <c r="O118" s="140">
        <f>+TSPT_COT!BE107</f>
        <v>0</v>
      </c>
      <c r="Q118" s="18">
        <f>+C118+BV118</f>
        <v>0</v>
      </c>
      <c r="S118" s="18">
        <f>+E118+BX118</f>
        <v>0</v>
      </c>
      <c r="U118" s="32">
        <f t="shared" si="27"/>
        <v>0</v>
      </c>
      <c r="W118" s="151">
        <f>+I118+CB118</f>
        <v>0</v>
      </c>
      <c r="X118" s="83"/>
      <c r="Y118" s="151">
        <f>+K118+CD118</f>
        <v>0</v>
      </c>
      <c r="Z118" s="83"/>
      <c r="AA118" s="151">
        <f>+M118+CF118</f>
        <v>0</v>
      </c>
      <c r="AC118" s="140">
        <f>ROUND(AA118/1000,0)</f>
        <v>0</v>
      </c>
      <c r="AE118" s="35"/>
      <c r="AF118" s="35"/>
      <c r="AG118" s="35"/>
      <c r="AH118" s="35"/>
      <c r="AU118" s="19"/>
      <c r="AW118" s="17"/>
      <c r="AY118" s="17"/>
      <c r="BM118" s="12"/>
      <c r="BO118" s="30"/>
      <c r="BS118" s="30"/>
      <c r="BU118" s="27"/>
      <c r="BV118">
        <v>0</v>
      </c>
      <c r="BW118" s="35"/>
      <c r="BX118">
        <v>0</v>
      </c>
      <c r="BY118" s="35"/>
      <c r="BZ118">
        <v>0</v>
      </c>
      <c r="CA118" s="35"/>
      <c r="CB118">
        <v>0</v>
      </c>
      <c r="CC118" s="61"/>
      <c r="CD118">
        <v>0</v>
      </c>
      <c r="CE118" s="61"/>
      <c r="CF118">
        <v>0</v>
      </c>
      <c r="CG118" s="44"/>
      <c r="CH118">
        <v>0</v>
      </c>
    </row>
    <row r="119" spans="1:126">
      <c r="A119" s="27" t="str">
        <f>+TSPT_COT!A108</f>
        <v xml:space="preserve">   LFT</v>
      </c>
      <c r="C119" s="28">
        <f>+TSPT_COT!AS108</f>
        <v>0</v>
      </c>
      <c r="E119" s="28">
        <f>+TSPT_COT!AU108</f>
        <v>0</v>
      </c>
      <c r="G119" s="32">
        <f t="shared" si="26"/>
        <v>0</v>
      </c>
      <c r="I119" s="130">
        <f>+TSPT_COT!AY108</f>
        <v>0</v>
      </c>
      <c r="J119" s="83"/>
      <c r="K119" s="130">
        <f>+TSPT_COT!BA108</f>
        <v>0</v>
      </c>
      <c r="L119" s="83"/>
      <c r="M119" s="130">
        <f>+TSPT_COT!BC108</f>
        <v>0</v>
      </c>
      <c r="O119" s="140">
        <f>+TSPT_COT!BE108</f>
        <v>0</v>
      </c>
      <c r="Q119" s="18">
        <f>+C119+BV119</f>
        <v>0</v>
      </c>
      <c r="S119" s="18">
        <f>+E119+BX119</f>
        <v>0</v>
      </c>
      <c r="U119" s="32">
        <f t="shared" si="27"/>
        <v>0</v>
      </c>
      <c r="W119" s="151">
        <f>+I119+CB119</f>
        <v>0</v>
      </c>
      <c r="X119" s="83"/>
      <c r="Y119" s="151">
        <f>+K119+CD119</f>
        <v>0</v>
      </c>
      <c r="Z119" s="83"/>
      <c r="AA119" s="151">
        <f>+M119+CF119</f>
        <v>0</v>
      </c>
      <c r="AC119" s="140">
        <f>ROUND(AA119/1000,0)</f>
        <v>0</v>
      </c>
      <c r="AE119" s="35"/>
      <c r="AF119" s="35"/>
      <c r="AG119" s="35"/>
      <c r="AH119" s="35"/>
      <c r="AU119" s="19"/>
      <c r="AW119" s="17"/>
      <c r="AY119" s="17"/>
      <c r="BM119" s="12"/>
      <c r="BO119" s="30"/>
      <c r="BS119" s="30"/>
      <c r="BU119" s="27"/>
      <c r="BV119">
        <v>0</v>
      </c>
      <c r="BW119" s="35"/>
      <c r="BX119">
        <v>0</v>
      </c>
      <c r="BY119" s="35"/>
      <c r="BZ119">
        <v>0</v>
      </c>
      <c r="CA119" s="35"/>
      <c r="CB119">
        <v>0</v>
      </c>
      <c r="CC119" s="61"/>
      <c r="CD119">
        <v>0</v>
      </c>
      <c r="CE119" s="61"/>
      <c r="CF119">
        <v>0</v>
      </c>
      <c r="CG119" s="44"/>
      <c r="CH119">
        <v>0</v>
      </c>
    </row>
    <row r="120" spans="1:126">
      <c r="A120" s="27" t="str">
        <f>+TSPT_COT!A109</f>
        <v xml:space="preserve">   IT</v>
      </c>
      <c r="C120" s="93">
        <f>+TSPT_COT!AS109</f>
        <v>2052919</v>
      </c>
      <c r="E120" s="93">
        <f>+TSPT_COT!AU109</f>
        <v>66223</v>
      </c>
      <c r="G120" s="95">
        <f t="shared" si="26"/>
        <v>2.74178133672103E-2</v>
      </c>
      <c r="I120" s="131">
        <f>+TSPT_COT!AY109</f>
        <v>56286.55</v>
      </c>
      <c r="J120" s="83"/>
      <c r="K120" s="131">
        <f>+TSPT_COT!BA109</f>
        <v>4311.13</v>
      </c>
      <c r="L120" s="83"/>
      <c r="M120" s="131">
        <f>+TSPT_COT!BC109</f>
        <v>60597.68</v>
      </c>
      <c r="O120" s="169">
        <f>+TSPT_COT!BE109</f>
        <v>61</v>
      </c>
      <c r="Q120" s="21">
        <f>+C120+BV120</f>
        <v>29816261</v>
      </c>
      <c r="S120" s="21">
        <f>+E120+BX120</f>
        <v>982848</v>
      </c>
      <c r="U120" s="95">
        <f t="shared" si="27"/>
        <v>4.1069801810495285E-2</v>
      </c>
      <c r="W120" s="230">
        <f>+I120+CB120</f>
        <v>1224547.93</v>
      </c>
      <c r="X120" s="83"/>
      <c r="Y120" s="230">
        <f>+K120+CD120</f>
        <v>59482.42</v>
      </c>
      <c r="Z120" s="83"/>
      <c r="AA120" s="230">
        <f>+M120+CF120</f>
        <v>1284030.3499999999</v>
      </c>
      <c r="AC120" s="169">
        <f>ROUND(AA120/1000,0)</f>
        <v>1284</v>
      </c>
      <c r="AE120" s="35"/>
      <c r="AF120" s="35"/>
      <c r="AG120" s="35"/>
      <c r="AH120" s="35"/>
      <c r="AU120" s="19"/>
      <c r="AW120" s="17"/>
      <c r="AY120" s="17"/>
      <c r="BM120" s="12"/>
      <c r="BO120" s="30"/>
      <c r="BS120" s="30"/>
      <c r="BU120" s="27"/>
      <c r="BV120">
        <v>27763342</v>
      </c>
      <c r="BW120" s="35"/>
      <c r="BX120">
        <v>916625</v>
      </c>
      <c r="BY120" s="35"/>
      <c r="BZ120">
        <v>4.2079277775708697E-2</v>
      </c>
      <c r="CA120" s="35"/>
      <c r="CB120">
        <v>1168261.3799999999</v>
      </c>
      <c r="CC120" s="61"/>
      <c r="CD120">
        <v>55171.29</v>
      </c>
      <c r="CE120" s="61"/>
      <c r="CF120">
        <v>1223432.67</v>
      </c>
      <c r="CG120" s="44"/>
      <c r="CH120">
        <v>1128</v>
      </c>
    </row>
    <row r="121" spans="1:126">
      <c r="A121" s="31" t="str">
        <f>+TSPT_COT!A110</f>
        <v xml:space="preserve">     Sub-Total Ignacio to El Paso Blanco</v>
      </c>
      <c r="C121" s="28">
        <f>+TSPT_COT!AS110</f>
        <v>8328672</v>
      </c>
      <c r="E121" s="28">
        <f>+TSPT_COT!AU110</f>
        <v>268667</v>
      </c>
      <c r="G121" s="32">
        <f t="shared" si="26"/>
        <v>4.6955739162257801E-2</v>
      </c>
      <c r="I121" s="130">
        <f>+TSPT_COT!AY110</f>
        <v>391078.95</v>
      </c>
      <c r="J121" s="83"/>
      <c r="K121" s="130">
        <f>+TSPT_COT!BA110</f>
        <v>17490.21</v>
      </c>
      <c r="L121" s="83"/>
      <c r="M121" s="130">
        <f>+TSPT_COT!BC110</f>
        <v>408569.16</v>
      </c>
      <c r="O121" s="140">
        <f>+TSPT_COT!BE110</f>
        <v>409</v>
      </c>
      <c r="Q121" s="35">
        <f>SUM(Q117:Q120)</f>
        <v>116986116</v>
      </c>
      <c r="S121" s="35">
        <f>SUM(S117:S120)</f>
        <v>3849520</v>
      </c>
      <c r="U121" s="32">
        <f t="shared" si="27"/>
        <v>5.279132739136326E-2</v>
      </c>
      <c r="W121" s="83">
        <f>SUM(W116:W120)</f>
        <v>6175852.3499999996</v>
      </c>
      <c r="X121" s="83"/>
      <c r="Y121" s="83">
        <f>SUM(Y116:Y120)</f>
        <v>197329.22999999998</v>
      </c>
      <c r="Z121" s="83"/>
      <c r="AA121" s="83">
        <f>SUM(AA116:AA120)</f>
        <v>6373181.5800000001</v>
      </c>
      <c r="AC121" s="140">
        <f>SUM(AC116:AC120)</f>
        <v>6373</v>
      </c>
      <c r="AE121" s="35"/>
      <c r="AF121" s="35"/>
      <c r="AG121" s="35"/>
      <c r="AH121" s="35"/>
      <c r="AU121" s="19"/>
      <c r="AW121" s="17"/>
      <c r="AY121" s="17"/>
      <c r="BM121" s="12"/>
      <c r="BO121" s="30"/>
      <c r="BS121" s="30"/>
      <c r="BU121" s="27"/>
      <c r="BV121">
        <v>108657444</v>
      </c>
      <c r="BW121" s="35"/>
      <c r="BX121">
        <v>3580853</v>
      </c>
      <c r="BY121" s="35"/>
      <c r="BZ121">
        <v>5.3238629467484991E-2</v>
      </c>
      <c r="CA121" s="35"/>
      <c r="CB121">
        <v>5784773.4000000004</v>
      </c>
      <c r="CC121" s="61"/>
      <c r="CD121">
        <v>179839.02</v>
      </c>
      <c r="CE121" s="61"/>
      <c r="CF121">
        <v>5964612.4199999999</v>
      </c>
      <c r="CG121" s="44"/>
      <c r="CH121">
        <v>5445</v>
      </c>
    </row>
    <row r="122" spans="1:126">
      <c r="A122" s="27"/>
      <c r="C122" s="28"/>
      <c r="E122" s="15"/>
      <c r="G122" s="32"/>
      <c r="I122" s="83"/>
      <c r="J122" s="83"/>
      <c r="K122" s="83"/>
      <c r="L122" s="83"/>
      <c r="O122" s="34"/>
      <c r="Q122" s="18"/>
      <c r="S122" s="35"/>
      <c r="U122" s="32"/>
      <c r="W122" s="83"/>
      <c r="X122" s="83"/>
      <c r="Y122" s="83"/>
      <c r="Z122" s="83"/>
      <c r="AA122" s="83"/>
      <c r="AC122" s="140"/>
      <c r="AE122" s="35"/>
      <c r="AF122" s="35"/>
      <c r="AG122" s="35"/>
      <c r="AH122" s="35"/>
      <c r="AU122" s="19"/>
      <c r="AW122" s="17"/>
      <c r="AY122" s="17"/>
      <c r="BM122" s="12"/>
      <c r="BO122" s="30"/>
      <c r="BS122" s="30"/>
      <c r="BU122" s="27" t="s">
        <v>102</v>
      </c>
      <c r="BW122" s="35"/>
      <c r="BY122" s="35"/>
      <c r="CA122" s="35"/>
      <c r="CC122" s="61"/>
      <c r="CE122" s="61"/>
      <c r="CF122"/>
      <c r="CG122" s="44"/>
    </row>
    <row r="123" spans="1:126">
      <c r="A123" s="31" t="str">
        <f>+TSPT_COT!A112</f>
        <v>San Juan</v>
      </c>
      <c r="AU123" s="19"/>
      <c r="AW123" s="17"/>
      <c r="AY123" s="17"/>
      <c r="BM123" s="12"/>
      <c r="BO123" s="30"/>
      <c r="BS123" s="30"/>
      <c r="BU123" s="27" t="s">
        <v>65</v>
      </c>
      <c r="BW123" s="35"/>
      <c r="BY123" s="35"/>
      <c r="CA123" s="35"/>
      <c r="CC123" s="61"/>
      <c r="CE123" s="61"/>
      <c r="CF123"/>
      <c r="CG123" s="44"/>
    </row>
    <row r="124" spans="1:126">
      <c r="A124" s="27" t="str">
        <f>+TSPT_COT!A113</f>
        <v xml:space="preserve">   Demand</v>
      </c>
      <c r="C124" s="28">
        <f>TSPT_COT!AS113</f>
        <v>773</v>
      </c>
      <c r="E124" s="15">
        <f>TSPT_COT!AU113</f>
        <v>26</v>
      </c>
      <c r="G124" s="32">
        <f t="shared" ref="G124:G129" si="28">IF(I124=0,0,I124/C124)</f>
        <v>0.13279430789133248</v>
      </c>
      <c r="I124" s="130">
        <f>TSPT_COT!AY113</f>
        <v>102.65</v>
      </c>
      <c r="J124" s="83"/>
      <c r="K124" s="130">
        <f>TSPT_COT!BA113</f>
        <v>10.130000000000001</v>
      </c>
      <c r="L124" s="83"/>
      <c r="M124" s="130">
        <f>TSPT_COT!BC113</f>
        <v>112.78</v>
      </c>
      <c r="O124" s="34">
        <f>TSPT_COT!BE113</f>
        <v>0</v>
      </c>
      <c r="Q124" s="18">
        <f>+C124+BV124</f>
        <v>1729</v>
      </c>
      <c r="S124" s="18">
        <f>+E124+BX124</f>
        <v>57</v>
      </c>
      <c r="U124" s="32">
        <f t="shared" ref="U124:U129" si="29">IF(W124=0,0,W124/Q124)</f>
        <v>0.13279930595714953</v>
      </c>
      <c r="W124" s="4">
        <f>+I124+CB124</f>
        <v>229.60999999991154</v>
      </c>
      <c r="X124" s="83"/>
      <c r="Y124" s="4">
        <f>+K124+CD124</f>
        <v>22.75</v>
      </c>
      <c r="Z124" s="83"/>
      <c r="AA124" s="4">
        <f>+M124+CF124</f>
        <v>252.35999999991154</v>
      </c>
      <c r="AC124" s="6">
        <f>+O124+CH124</f>
        <v>0</v>
      </c>
      <c r="AE124" s="35"/>
      <c r="AF124" s="35"/>
      <c r="AG124" s="35"/>
      <c r="AH124" s="35"/>
      <c r="AU124" s="19"/>
      <c r="AW124" s="17"/>
      <c r="AY124" s="17"/>
      <c r="BM124" s="12"/>
      <c r="BO124" s="30"/>
      <c r="BS124" s="30"/>
      <c r="BU124" s="27" t="s">
        <v>66</v>
      </c>
      <c r="BV124">
        <v>956</v>
      </c>
      <c r="BW124" s="35"/>
      <c r="BX124">
        <v>31</v>
      </c>
      <c r="BY124" s="35"/>
      <c r="BZ124">
        <v>0.13280334728024218</v>
      </c>
      <c r="CA124" s="35"/>
      <c r="CB124">
        <v>126.95999999991153</v>
      </c>
      <c r="CC124" s="61"/>
      <c r="CD124">
        <v>12.62</v>
      </c>
      <c r="CE124" s="61"/>
      <c r="CF124">
        <v>139.57999999991154</v>
      </c>
      <c r="CG124" s="44"/>
      <c r="CH124">
        <v>0</v>
      </c>
    </row>
    <row r="125" spans="1:126">
      <c r="A125" s="27" t="str">
        <f>+TSPT_COT!A114</f>
        <v xml:space="preserve">   FT-San Juan</v>
      </c>
      <c r="C125" s="28">
        <f>TSPT_COT!AS114</f>
        <v>0</v>
      </c>
      <c r="E125" s="15">
        <f>TSPT_COT!AU114</f>
        <v>0</v>
      </c>
      <c r="G125" s="32">
        <f t="shared" si="28"/>
        <v>0</v>
      </c>
      <c r="I125" s="130">
        <f>TSPT_COT!AY114</f>
        <v>0</v>
      </c>
      <c r="J125" s="83"/>
      <c r="K125" s="130">
        <f>TSPT_COT!BA114</f>
        <v>0</v>
      </c>
      <c r="L125" s="83"/>
      <c r="M125" s="130">
        <f>TSPT_COT!BC114</f>
        <v>0</v>
      </c>
      <c r="O125" s="34">
        <f>TSPT_COT!BE114</f>
        <v>0</v>
      </c>
      <c r="Q125" s="18">
        <f>+C125+BV125</f>
        <v>9853</v>
      </c>
      <c r="S125" s="18">
        <f>+E125+BX125</f>
        <v>329</v>
      </c>
      <c r="U125" s="32">
        <f t="shared" si="29"/>
        <v>3.9553435501877468E-2</v>
      </c>
      <c r="W125" s="4">
        <f>+I125+CB125</f>
        <v>389.71999999999866</v>
      </c>
      <c r="X125" s="83"/>
      <c r="Y125" s="4">
        <f>+K125+CD125</f>
        <v>64.02</v>
      </c>
      <c r="Z125" s="83"/>
      <c r="AA125" s="4">
        <f>+M125+CF125</f>
        <v>453.7399999999987</v>
      </c>
      <c r="AC125" s="6">
        <f>+O125+CH125</f>
        <v>0</v>
      </c>
      <c r="AE125" s="35"/>
      <c r="AF125" s="35"/>
      <c r="AG125" s="35"/>
      <c r="AH125" s="35"/>
      <c r="AU125" s="19"/>
      <c r="AW125" s="17"/>
      <c r="AY125" s="17"/>
      <c r="BM125" s="12"/>
      <c r="BO125" s="30"/>
      <c r="BS125" s="30"/>
      <c r="BU125" s="27" t="s">
        <v>67</v>
      </c>
      <c r="BV125">
        <v>9853</v>
      </c>
      <c r="BW125" s="35"/>
      <c r="BX125">
        <v>329</v>
      </c>
      <c r="BY125" s="35"/>
      <c r="BZ125">
        <v>3.9553435501877468E-2</v>
      </c>
      <c r="CA125" s="35"/>
      <c r="CB125">
        <v>389.71999999999866</v>
      </c>
      <c r="CC125" s="61"/>
      <c r="CD125">
        <v>64.02</v>
      </c>
      <c r="CE125" s="61"/>
      <c r="CF125">
        <v>453.7399999999987</v>
      </c>
      <c r="CG125" s="44"/>
      <c r="CH125">
        <v>0</v>
      </c>
    </row>
    <row r="126" spans="1:126">
      <c r="A126" s="27" t="str">
        <f>+TSPT_COT!A115</f>
        <v xml:space="preserve">   FR-San Juan</v>
      </c>
      <c r="C126" s="28">
        <f>TSPT_COT!AS115</f>
        <v>0</v>
      </c>
      <c r="E126" s="15">
        <f>TSPT_COT!AU115</f>
        <v>0</v>
      </c>
      <c r="G126" s="32">
        <f t="shared" si="28"/>
        <v>0</v>
      </c>
      <c r="I126" s="130">
        <f>TSPT_COT!AY115</f>
        <v>0</v>
      </c>
      <c r="J126" s="83"/>
      <c r="K126" s="130">
        <f>TSPT_COT!BA115</f>
        <v>0</v>
      </c>
      <c r="L126" s="83"/>
      <c r="M126" s="130">
        <f>TSPT_COT!BC115</f>
        <v>0</v>
      </c>
      <c r="O126" s="34">
        <f>TSPT_COT!BE115</f>
        <v>0</v>
      </c>
      <c r="Q126" s="18">
        <f>+C126+BV126</f>
        <v>0</v>
      </c>
      <c r="S126" s="18">
        <f>+E126+BX126</f>
        <v>0</v>
      </c>
      <c r="U126" s="32">
        <f t="shared" si="29"/>
        <v>0</v>
      </c>
      <c r="W126" s="4">
        <f>+I126+CB126</f>
        <v>0</v>
      </c>
      <c r="X126" s="83"/>
      <c r="Y126" s="4">
        <f>+K126+CD126</f>
        <v>0</v>
      </c>
      <c r="Z126" s="83"/>
      <c r="AA126" s="4">
        <f>+M126+CF126</f>
        <v>0</v>
      </c>
      <c r="AC126" s="6">
        <f>+O126+CH126</f>
        <v>0</v>
      </c>
      <c r="AE126" s="35"/>
      <c r="AF126" s="35"/>
      <c r="AG126" s="35"/>
      <c r="AH126" s="35"/>
      <c r="AU126" s="19"/>
      <c r="AW126" s="17"/>
      <c r="AY126" s="17"/>
      <c r="BM126" s="12"/>
      <c r="BO126" s="30"/>
      <c r="BS126" s="30"/>
      <c r="BU126" s="27" t="s">
        <v>68</v>
      </c>
      <c r="BV126">
        <v>0</v>
      </c>
      <c r="BW126" s="35"/>
      <c r="BX126">
        <v>0</v>
      </c>
      <c r="BY126" s="35"/>
      <c r="BZ126">
        <v>0</v>
      </c>
      <c r="CA126" s="35"/>
      <c r="CB126">
        <v>0</v>
      </c>
      <c r="CC126" s="61"/>
      <c r="CD126">
        <v>0</v>
      </c>
      <c r="CE126" s="61"/>
      <c r="CF126">
        <v>0</v>
      </c>
      <c r="CG126" s="44"/>
      <c r="CH126">
        <v>0</v>
      </c>
    </row>
    <row r="127" spans="1:126">
      <c r="A127" s="27" t="str">
        <f>+TSPT_COT!A116</f>
        <v xml:space="preserve">   LFT-San Juan</v>
      </c>
      <c r="C127" s="28">
        <f>TSPT_COT!AS116</f>
        <v>0</v>
      </c>
      <c r="E127" s="15">
        <f>TSPT_COT!AU116</f>
        <v>0</v>
      </c>
      <c r="G127" s="32">
        <f t="shared" si="28"/>
        <v>0</v>
      </c>
      <c r="I127" s="130">
        <f>TSPT_COT!AY116</f>
        <v>0</v>
      </c>
      <c r="J127" s="83"/>
      <c r="K127" s="130">
        <f>TSPT_COT!BA116</f>
        <v>0</v>
      </c>
      <c r="L127" s="83"/>
      <c r="M127" s="130">
        <f>TSPT_COT!BC116</f>
        <v>0</v>
      </c>
      <c r="O127" s="34">
        <f>TSPT_COT!BE116</f>
        <v>0</v>
      </c>
      <c r="Q127" s="18">
        <f>+C127+BV127</f>
        <v>0</v>
      </c>
      <c r="S127" s="18">
        <f>+E127+BX127</f>
        <v>0</v>
      </c>
      <c r="U127" s="32">
        <f t="shared" si="29"/>
        <v>0</v>
      </c>
      <c r="W127" s="4">
        <f>+I127+CB127</f>
        <v>0</v>
      </c>
      <c r="X127" s="83"/>
      <c r="Y127" s="4">
        <f>+K127+CD127</f>
        <v>0</v>
      </c>
      <c r="Z127" s="83"/>
      <c r="AA127" s="4">
        <f>+M127+CF127</f>
        <v>0</v>
      </c>
      <c r="AC127" s="6">
        <f>+O127+CH127</f>
        <v>0</v>
      </c>
      <c r="AE127" s="35"/>
      <c r="AF127" s="35"/>
      <c r="AG127" s="35"/>
      <c r="AH127" s="35"/>
      <c r="AU127" s="19"/>
      <c r="AW127" s="17"/>
      <c r="AY127" s="17"/>
      <c r="BM127" s="12"/>
      <c r="BO127" s="30"/>
      <c r="BS127" s="30"/>
      <c r="BU127" s="27"/>
      <c r="BV127">
        <v>0</v>
      </c>
      <c r="BW127" s="35"/>
      <c r="BX127">
        <v>0</v>
      </c>
      <c r="BY127" s="35"/>
      <c r="BZ127">
        <v>0</v>
      </c>
      <c r="CA127" s="35"/>
      <c r="CB127">
        <v>0</v>
      </c>
      <c r="CC127" s="61"/>
      <c r="CD127">
        <v>0</v>
      </c>
      <c r="CE127" s="61"/>
      <c r="CF127">
        <v>0</v>
      </c>
      <c r="CG127" s="44"/>
      <c r="CH127">
        <v>0</v>
      </c>
    </row>
    <row r="128" spans="1:126">
      <c r="A128" s="27" t="str">
        <f>+TSPT_COT!A117</f>
        <v xml:space="preserve">   IT-San Jaun</v>
      </c>
      <c r="B128" s="37"/>
      <c r="C128" s="28">
        <f>TSPT_COT!AS117</f>
        <v>0</v>
      </c>
      <c r="E128" s="15">
        <f>TSPT_COT!AU117</f>
        <v>0</v>
      </c>
      <c r="G128" s="32">
        <f t="shared" si="28"/>
        <v>0</v>
      </c>
      <c r="I128" s="130">
        <f>TSPT_COT!AY117</f>
        <v>0</v>
      </c>
      <c r="J128" s="83"/>
      <c r="K128" s="130">
        <f>TSPT_COT!BA117</f>
        <v>0</v>
      </c>
      <c r="L128" s="83"/>
      <c r="M128" s="130">
        <f>TSPT_COT!BC117</f>
        <v>0</v>
      </c>
      <c r="O128" s="34">
        <f>TSPT_COT!BE117</f>
        <v>0</v>
      </c>
      <c r="Q128" s="18">
        <f>+C128+BV128</f>
        <v>0</v>
      </c>
      <c r="S128" s="18">
        <f>+E128+BX128</f>
        <v>0</v>
      </c>
      <c r="U128" s="32">
        <f t="shared" si="29"/>
        <v>0</v>
      </c>
      <c r="W128" s="4">
        <f>+I128+CB128</f>
        <v>0</v>
      </c>
      <c r="X128" s="83"/>
      <c r="Y128" s="4">
        <f>+K128+CD128</f>
        <v>0</v>
      </c>
      <c r="Z128" s="83"/>
      <c r="AA128" s="4">
        <f>+M128+CF128</f>
        <v>0</v>
      </c>
      <c r="AC128" s="6">
        <f>+O128+CH128</f>
        <v>0</v>
      </c>
      <c r="AE128" s="35"/>
      <c r="AF128" s="35"/>
      <c r="AG128" s="35"/>
      <c r="AH128" s="35"/>
      <c r="AP128" s="37"/>
      <c r="AQ128" s="37"/>
      <c r="AR128" s="37"/>
      <c r="AS128" s="37"/>
      <c r="AT128" s="37"/>
      <c r="AU128" s="68"/>
      <c r="AV128" s="37"/>
      <c r="AW128" s="43"/>
      <c r="AX128" s="37"/>
      <c r="AY128" s="43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42"/>
      <c r="BN128" s="37"/>
      <c r="BO128" s="31"/>
      <c r="BP128" s="37"/>
      <c r="BQ128" s="37"/>
      <c r="BR128" s="37"/>
      <c r="BS128" s="31"/>
      <c r="BT128" s="37"/>
      <c r="BU128" s="31" t="s">
        <v>69</v>
      </c>
      <c r="BV128">
        <v>0</v>
      </c>
      <c r="BW128" s="41"/>
      <c r="BX128">
        <v>0</v>
      </c>
      <c r="BY128" s="41"/>
      <c r="BZ128">
        <v>0</v>
      </c>
      <c r="CA128" s="41"/>
      <c r="CB128">
        <v>0</v>
      </c>
      <c r="CC128" s="69"/>
      <c r="CD128">
        <v>0</v>
      </c>
      <c r="CE128" s="69"/>
      <c r="CF128">
        <v>0</v>
      </c>
      <c r="CG128" s="70"/>
      <c r="CH128">
        <v>0</v>
      </c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</row>
    <row r="129" spans="1:126">
      <c r="A129" s="31" t="str">
        <f>+TSPT_COT!A118</f>
        <v xml:space="preserve">     Sub-Total</v>
      </c>
      <c r="C129" s="38">
        <f>TSPT_COT!AS118</f>
        <v>0</v>
      </c>
      <c r="D129" s="37"/>
      <c r="E129" s="38">
        <f>TSPT_COT!AU118</f>
        <v>0</v>
      </c>
      <c r="F129" s="37"/>
      <c r="G129" s="134" t="e">
        <f t="shared" si="28"/>
        <v>#DIV/0!</v>
      </c>
      <c r="H129" s="37"/>
      <c r="I129" s="85">
        <f>TSPT_COT!AY118</f>
        <v>102.65</v>
      </c>
      <c r="J129" s="86"/>
      <c r="K129" s="85">
        <f>TSPT_COT!BA118</f>
        <v>10.130000000000001</v>
      </c>
      <c r="L129" s="86"/>
      <c r="M129" s="85">
        <f>TSPT_COT!BC118</f>
        <v>112.78</v>
      </c>
      <c r="N129" s="37"/>
      <c r="O129" s="133">
        <f>TSPT_COT!BE118</f>
        <v>0</v>
      </c>
      <c r="P129" s="37"/>
      <c r="Q129" s="67">
        <f>SUM(Q125:Q128)</f>
        <v>9853</v>
      </c>
      <c r="R129" s="13"/>
      <c r="S129" s="67">
        <f>SUM(S125:S128)</f>
        <v>329</v>
      </c>
      <c r="T129" s="13"/>
      <c r="U129" s="134">
        <f t="shared" si="29"/>
        <v>6.2856997868660336E-2</v>
      </c>
      <c r="V129" s="37"/>
      <c r="W129" s="85">
        <f>SUM(W124:W128)</f>
        <v>619.32999999991023</v>
      </c>
      <c r="X129" s="86"/>
      <c r="Y129" s="85">
        <f>SUM(Y124:Y128)</f>
        <v>86.77</v>
      </c>
      <c r="Z129" s="86"/>
      <c r="AA129" s="85">
        <f>SUM(AA124:AA128)</f>
        <v>706.09999999991021</v>
      </c>
      <c r="AB129" s="37"/>
      <c r="AC129" s="133">
        <f>SUM(AC124:AC128)</f>
        <v>0</v>
      </c>
      <c r="AD129" s="37"/>
      <c r="AE129" s="41"/>
      <c r="AF129" s="41"/>
      <c r="AG129" s="41"/>
      <c r="AH129" s="41"/>
      <c r="AI129" s="37"/>
      <c r="AJ129" s="37"/>
      <c r="AK129" s="37"/>
      <c r="AL129" s="37"/>
      <c r="AM129" s="37"/>
      <c r="AN129" s="37"/>
      <c r="AO129" s="37"/>
      <c r="AU129" s="19"/>
      <c r="AW129" s="17"/>
      <c r="AY129" s="17"/>
      <c r="BM129" s="12"/>
      <c r="BO129" s="30"/>
      <c r="BS129" s="30"/>
      <c r="BU129" s="27"/>
      <c r="BV129">
        <v>9853</v>
      </c>
      <c r="BW129" s="35"/>
      <c r="BX129">
        <v>329</v>
      </c>
      <c r="BY129" s="35"/>
      <c r="BZ129">
        <v>5.2438851111327539E-2</v>
      </c>
      <c r="CA129" s="35"/>
      <c r="CB129">
        <v>516.67999999991025</v>
      </c>
      <c r="CC129" s="61"/>
      <c r="CD129">
        <v>76.64</v>
      </c>
      <c r="CE129" s="61"/>
      <c r="CF129">
        <v>593.31999999991024</v>
      </c>
      <c r="CG129" s="44"/>
      <c r="CH129">
        <v>0</v>
      </c>
    </row>
    <row r="130" spans="1:126">
      <c r="A130" s="27"/>
      <c r="AW130" s="17"/>
      <c r="AY130" s="17"/>
      <c r="BM130" s="12"/>
      <c r="BO130" s="30"/>
      <c r="BS130" s="30"/>
      <c r="BU130" s="27" t="s">
        <v>65</v>
      </c>
      <c r="BW130" s="35"/>
      <c r="BY130" s="35"/>
      <c r="CA130" s="35"/>
      <c r="CC130" s="61"/>
      <c r="CE130" s="61"/>
      <c r="CF130"/>
      <c r="CG130" s="44"/>
    </row>
    <row r="131" spans="1:126">
      <c r="A131" s="27" t="str">
        <f>+TSPT_COT!A120</f>
        <v xml:space="preserve">   Demand</v>
      </c>
      <c r="C131" s="28">
        <f>TSPT_COT!AS120</f>
        <v>0</v>
      </c>
      <c r="E131" s="15">
        <f>TSPT_COT!AU120</f>
        <v>0</v>
      </c>
      <c r="G131" s="32">
        <f t="shared" ref="G131:G138" si="30">IF(I131=0,0,I131/C131)</f>
        <v>0</v>
      </c>
      <c r="I131" s="130">
        <f>TSPT_COT!AY120</f>
        <v>0</v>
      </c>
      <c r="J131" s="83"/>
      <c r="K131" s="130">
        <f>TSPT_COT!BA120</f>
        <v>0</v>
      </c>
      <c r="L131" s="83"/>
      <c r="M131" s="130">
        <f>TSPT_COT!BC120</f>
        <v>0</v>
      </c>
      <c r="O131" s="34">
        <f>TSPT_COT!BE120</f>
        <v>0</v>
      </c>
      <c r="Q131" s="18">
        <f>+C131+BV131</f>
        <v>0</v>
      </c>
      <c r="S131" s="35">
        <f>ROUND(Q131/SLS_COS!$AZ$3,0)</f>
        <v>0</v>
      </c>
      <c r="U131" s="32">
        <f t="shared" ref="U131:U138" si="31">IF(W131=0,0,W131/Q131)</f>
        <v>0</v>
      </c>
      <c r="W131" s="83">
        <f>+I131+CB131</f>
        <v>0</v>
      </c>
      <c r="X131" s="83"/>
      <c r="Y131" s="83">
        <f>+K131+CD131</f>
        <v>0</v>
      </c>
      <c r="Z131" s="83"/>
      <c r="AA131" s="83">
        <f>+M131+CF131</f>
        <v>0</v>
      </c>
      <c r="AC131" s="140">
        <f>ROUND(AA131/1000,0)</f>
        <v>0</v>
      </c>
      <c r="AE131" s="35"/>
      <c r="AF131" s="35"/>
      <c r="AG131" s="35"/>
      <c r="AH131" s="35"/>
      <c r="AU131" s="19"/>
      <c r="AW131" s="17"/>
      <c r="AY131" s="17"/>
      <c r="BM131" s="12"/>
      <c r="BO131" s="30"/>
      <c r="BS131" s="30"/>
      <c r="BU131" s="27" t="s">
        <v>79</v>
      </c>
      <c r="BV131">
        <v>0</v>
      </c>
      <c r="BW131" s="35"/>
      <c r="BX131">
        <v>0</v>
      </c>
      <c r="BY131" s="35"/>
      <c r="BZ131">
        <v>0</v>
      </c>
      <c r="CA131" s="35"/>
      <c r="CB131">
        <v>0</v>
      </c>
      <c r="CC131" s="61"/>
      <c r="CD131">
        <v>0</v>
      </c>
      <c r="CE131" s="61"/>
      <c r="CF131">
        <v>0</v>
      </c>
      <c r="CG131" s="44"/>
      <c r="CH131">
        <v>0</v>
      </c>
    </row>
    <row r="132" spans="1:126">
      <c r="A132" s="27" t="str">
        <f>+TSPT_COT!A121</f>
        <v xml:space="preserve">   IT-East of Thoreau</v>
      </c>
      <c r="C132" s="28">
        <f>TSPT_COT!AS121</f>
        <v>0</v>
      </c>
      <c r="E132" s="15">
        <f>TSPT_COT!AU121</f>
        <v>0</v>
      </c>
      <c r="G132" s="32">
        <f t="shared" si="30"/>
        <v>0</v>
      </c>
      <c r="I132" s="130">
        <f>TSPT_COT!AY121</f>
        <v>0</v>
      </c>
      <c r="J132" s="83"/>
      <c r="K132" s="130">
        <f>TSPT_COT!BA121</f>
        <v>0</v>
      </c>
      <c r="L132" s="83"/>
      <c r="M132" s="130">
        <f>TSPT_COT!BC121</f>
        <v>0</v>
      </c>
      <c r="O132" s="34">
        <f>TSPT_COT!BE121</f>
        <v>0</v>
      </c>
      <c r="Q132" s="18">
        <f>+C132+BV132</f>
        <v>0</v>
      </c>
      <c r="S132" s="35">
        <f>ROUND(Q132/SLS_COS!$AZ$3,0)</f>
        <v>0</v>
      </c>
      <c r="U132" s="32">
        <f t="shared" si="31"/>
        <v>0</v>
      </c>
      <c r="W132" s="83">
        <f>+I132+CB132</f>
        <v>0</v>
      </c>
      <c r="X132" s="83"/>
      <c r="Y132" s="83">
        <f>+K132+CD132</f>
        <v>0</v>
      </c>
      <c r="Z132" s="83"/>
      <c r="AA132" s="83">
        <f>+M132+CF132</f>
        <v>0</v>
      </c>
      <c r="AC132" s="140">
        <f>ROUND(AA132/1000,0)</f>
        <v>0</v>
      </c>
      <c r="AE132" s="35"/>
      <c r="AF132" s="35"/>
      <c r="AG132" s="35"/>
      <c r="AH132" s="35"/>
      <c r="AU132" s="19"/>
      <c r="AW132" s="17"/>
      <c r="AY132" s="17"/>
      <c r="BM132" s="12"/>
      <c r="BO132" s="30"/>
      <c r="BS132" s="30"/>
      <c r="BU132" s="27" t="s">
        <v>80</v>
      </c>
      <c r="BV132">
        <v>0</v>
      </c>
      <c r="BW132" s="35"/>
      <c r="BX132">
        <v>0</v>
      </c>
      <c r="BY132" s="35"/>
      <c r="BZ132">
        <v>0</v>
      </c>
      <c r="CA132" s="35"/>
      <c r="CB132">
        <v>0</v>
      </c>
      <c r="CC132" s="61"/>
      <c r="CD132">
        <v>0</v>
      </c>
      <c r="CE132" s="61"/>
      <c r="CF132">
        <v>0</v>
      </c>
      <c r="CG132" s="44"/>
      <c r="CH132">
        <v>0</v>
      </c>
    </row>
    <row r="133" spans="1:126">
      <c r="A133" s="27" t="str">
        <f>+TSPT_COT!A122</f>
        <v xml:space="preserve">   FT-East of Thoreau</v>
      </c>
      <c r="C133" s="28">
        <f>TSPT_COT!AS122</f>
        <v>0</v>
      </c>
      <c r="E133" s="15">
        <f>TSPT_COT!AU122</f>
        <v>0</v>
      </c>
      <c r="G133" s="32">
        <f t="shared" si="30"/>
        <v>0</v>
      </c>
      <c r="I133" s="130">
        <f>TSPT_COT!AY122</f>
        <v>0</v>
      </c>
      <c r="J133" s="83"/>
      <c r="K133" s="130">
        <f>TSPT_COT!BA122</f>
        <v>0</v>
      </c>
      <c r="L133" s="83"/>
      <c r="M133" s="130">
        <f>TSPT_COT!BC122</f>
        <v>0</v>
      </c>
      <c r="O133" s="34">
        <f>TSPT_COT!BE122</f>
        <v>0</v>
      </c>
      <c r="Q133" s="18">
        <f>+C133+BV133</f>
        <v>1201</v>
      </c>
      <c r="S133" s="35">
        <f>ROUND(Q133/SLS_COS!$AZ$3,0)</f>
        <v>3</v>
      </c>
      <c r="U133" s="32">
        <f t="shared" si="31"/>
        <v>0.1327976686094921</v>
      </c>
      <c r="W133" s="83">
        <f>+I133+CB133</f>
        <v>159.49</v>
      </c>
      <c r="X133" s="83"/>
      <c r="Y133" s="83">
        <f>+K133+CD133</f>
        <v>21.86</v>
      </c>
      <c r="Z133" s="83"/>
      <c r="AA133" s="83">
        <f>+M133+CF133</f>
        <v>181.35</v>
      </c>
      <c r="AC133" s="140">
        <f>ROUND(AA133/1000,0)</f>
        <v>0</v>
      </c>
      <c r="AE133" s="35"/>
      <c r="AF133" s="35"/>
      <c r="AG133" s="35"/>
      <c r="AH133" s="35"/>
      <c r="AU133" s="19"/>
      <c r="AW133" s="17"/>
      <c r="AY133" s="17"/>
      <c r="BM133" s="12"/>
      <c r="BO133" s="30"/>
      <c r="BS133" s="30"/>
      <c r="BU133" s="27" t="s">
        <v>81</v>
      </c>
      <c r="BV133">
        <v>1201</v>
      </c>
      <c r="BW133" s="35"/>
      <c r="BX133">
        <v>4</v>
      </c>
      <c r="BY133" s="35"/>
      <c r="BZ133">
        <v>0.1327976686094921</v>
      </c>
      <c r="CA133" s="35"/>
      <c r="CB133">
        <v>159.49</v>
      </c>
      <c r="CC133" s="61"/>
      <c r="CD133">
        <v>21.86</v>
      </c>
      <c r="CE133" s="61"/>
      <c r="CF133">
        <v>181.35</v>
      </c>
      <c r="CG133" s="44"/>
      <c r="CH133">
        <v>0</v>
      </c>
    </row>
    <row r="134" spans="1:126">
      <c r="A134" s="27" t="str">
        <f>+TSPT_COT!A123</f>
        <v xml:space="preserve">   LFT-East of Thoreau</v>
      </c>
      <c r="C134" s="28">
        <f>TSPT_COT!AS123</f>
        <v>0</v>
      </c>
      <c r="E134" s="15">
        <f>TSPT_COT!AU123</f>
        <v>0</v>
      </c>
      <c r="G134" s="32">
        <f t="shared" si="30"/>
        <v>0</v>
      </c>
      <c r="I134" s="130">
        <f>TSPT_COT!AY123</f>
        <v>0</v>
      </c>
      <c r="J134" s="83"/>
      <c r="K134" s="130">
        <f>TSPT_COT!BA123</f>
        <v>0</v>
      </c>
      <c r="L134" s="83"/>
      <c r="M134" s="130">
        <f>TSPT_COT!BC123</f>
        <v>0</v>
      </c>
      <c r="O134" s="34">
        <f>TSPT_COT!BE123</f>
        <v>0</v>
      </c>
      <c r="Q134" s="18">
        <f>+C134+BV134</f>
        <v>0</v>
      </c>
      <c r="S134" s="35">
        <f>ROUND(Q134/SLS_COS!$AZ$3,0)</f>
        <v>0</v>
      </c>
      <c r="U134" s="32">
        <f t="shared" si="31"/>
        <v>0</v>
      </c>
      <c r="W134" s="83">
        <f>+I134+CB134</f>
        <v>0</v>
      </c>
      <c r="X134" s="83"/>
      <c r="Y134" s="83">
        <f>+K134+CD134</f>
        <v>0</v>
      </c>
      <c r="Z134" s="83"/>
      <c r="AA134" s="83">
        <f>+M134+CF134</f>
        <v>0</v>
      </c>
      <c r="AC134" s="140">
        <f>ROUND(AA134/1000,0)</f>
        <v>0</v>
      </c>
      <c r="AE134" s="35"/>
      <c r="AF134" s="35"/>
      <c r="AG134" s="35"/>
      <c r="AH134" s="35"/>
      <c r="AU134" s="19"/>
      <c r="AW134" s="17"/>
      <c r="AY134" s="17"/>
      <c r="BM134" s="12"/>
      <c r="BO134" s="30"/>
      <c r="BS134" s="30"/>
      <c r="BU134" s="27"/>
      <c r="BV134">
        <v>0</v>
      </c>
      <c r="BW134" s="35"/>
      <c r="BX134">
        <v>0</v>
      </c>
      <c r="BY134" s="35"/>
      <c r="BZ134">
        <v>0</v>
      </c>
      <c r="CA134" s="35"/>
      <c r="CB134">
        <v>0</v>
      </c>
      <c r="CC134" s="61"/>
      <c r="CD134">
        <v>0</v>
      </c>
      <c r="CE134" s="61"/>
      <c r="CF134">
        <v>0</v>
      </c>
      <c r="CG134" s="44"/>
      <c r="CH134">
        <v>0</v>
      </c>
    </row>
    <row r="135" spans="1:126" s="117" customFormat="1">
      <c r="A135" s="27" t="str">
        <f>+TSPT_COT!A124</f>
        <v xml:space="preserve">   FTR-East of Thoreau</v>
      </c>
      <c r="B135" s="37"/>
      <c r="C135" s="28">
        <f>TSPT_COT!AS124</f>
        <v>0</v>
      </c>
      <c r="D135"/>
      <c r="E135" s="15">
        <f>TSPT_COT!AU124</f>
        <v>0</v>
      </c>
      <c r="F135"/>
      <c r="G135" s="32">
        <f t="shared" si="30"/>
        <v>0</v>
      </c>
      <c r="H135"/>
      <c r="I135" s="130">
        <f>TSPT_COT!AY124</f>
        <v>0</v>
      </c>
      <c r="J135" s="83"/>
      <c r="K135" s="130">
        <f>TSPT_COT!BA124</f>
        <v>0</v>
      </c>
      <c r="L135" s="83"/>
      <c r="M135" s="130">
        <f>TSPT_COT!BC124</f>
        <v>0</v>
      </c>
      <c r="N135"/>
      <c r="O135" s="34">
        <f>TSPT_COT!BE124</f>
        <v>0</v>
      </c>
      <c r="P135"/>
      <c r="Q135" s="18">
        <f>+C135+BV135</f>
        <v>0</v>
      </c>
      <c r="R135"/>
      <c r="S135" s="35">
        <f>ROUND(Q135/SLS_COS!$AZ$3,0)</f>
        <v>0</v>
      </c>
      <c r="T135"/>
      <c r="U135" s="32">
        <f t="shared" si="31"/>
        <v>0</v>
      </c>
      <c r="V135"/>
      <c r="W135" s="83">
        <f>+I135+CB135</f>
        <v>0</v>
      </c>
      <c r="X135" s="83"/>
      <c r="Y135" s="83">
        <f>+K135+CD135</f>
        <v>0</v>
      </c>
      <c r="Z135" s="83"/>
      <c r="AA135" s="83">
        <f>+M135+CF135</f>
        <v>0</v>
      </c>
      <c r="AB135"/>
      <c r="AC135" s="140">
        <f>ROUND(AA135/1000,0)</f>
        <v>0</v>
      </c>
      <c r="AD135"/>
      <c r="AE135" s="35"/>
      <c r="AF135" s="35"/>
      <c r="AG135" s="35"/>
      <c r="AH135" s="35"/>
      <c r="AI135"/>
      <c r="AJ135"/>
      <c r="AK135"/>
      <c r="AL135"/>
      <c r="AM135"/>
      <c r="AN135"/>
      <c r="AO135"/>
      <c r="AP135"/>
      <c r="AQ135"/>
      <c r="AR135"/>
      <c r="AS135"/>
      <c r="AT135"/>
      <c r="AU135" s="19"/>
      <c r="AV135" s="37"/>
      <c r="AW135" s="43"/>
      <c r="AX135" s="37"/>
      <c r="AY135" s="43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42"/>
      <c r="BN135" s="37"/>
      <c r="BO135" s="31"/>
      <c r="BP135" s="37"/>
      <c r="BQ135" s="37"/>
      <c r="BR135" s="37"/>
      <c r="BS135" s="31"/>
      <c r="BT135" s="37"/>
      <c r="BU135" s="31" t="s">
        <v>69</v>
      </c>
      <c r="BV135">
        <v>0</v>
      </c>
      <c r="BW135" s="41"/>
      <c r="BX135">
        <v>0</v>
      </c>
      <c r="BY135" s="41"/>
      <c r="BZ135">
        <v>0</v>
      </c>
      <c r="CA135" s="41"/>
      <c r="CB135">
        <v>0</v>
      </c>
      <c r="CC135" s="69"/>
      <c r="CD135">
        <v>0</v>
      </c>
      <c r="CE135" s="69"/>
      <c r="CF135">
        <v>0</v>
      </c>
      <c r="CG135" s="70"/>
      <c r="CH135">
        <v>0</v>
      </c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</row>
    <row r="136" spans="1:126">
      <c r="A136" s="31" t="str">
        <f>+TSPT_COT!A125</f>
        <v xml:space="preserve">     Sub-Total</v>
      </c>
      <c r="C136" s="38">
        <f>TSPT_COT!AS125</f>
        <v>0</v>
      </c>
      <c r="D136" s="37"/>
      <c r="E136" s="38">
        <f>TSPT_COT!AU125</f>
        <v>0</v>
      </c>
      <c r="F136" s="37"/>
      <c r="G136" s="134">
        <f t="shared" si="30"/>
        <v>0</v>
      </c>
      <c r="H136" s="37"/>
      <c r="I136" s="85">
        <f>TSPT_COT!AY125</f>
        <v>0</v>
      </c>
      <c r="J136" s="86"/>
      <c r="K136" s="85">
        <f>TSPT_COT!BA125</f>
        <v>0</v>
      </c>
      <c r="L136" s="86"/>
      <c r="M136" s="85">
        <f>TSPT_COT!BC125</f>
        <v>0</v>
      </c>
      <c r="N136" s="37"/>
      <c r="O136" s="133">
        <f>TSPT_COT!BE125</f>
        <v>0</v>
      </c>
      <c r="P136" s="37"/>
      <c r="Q136" s="40">
        <f>SUM(Q132:Q135)</f>
        <v>1201</v>
      </c>
      <c r="R136" s="37"/>
      <c r="S136" s="40">
        <f>SUM(S132:S135)</f>
        <v>3</v>
      </c>
      <c r="T136" s="37"/>
      <c r="U136" s="134">
        <f t="shared" si="31"/>
        <v>0.1327976686094921</v>
      </c>
      <c r="V136" s="37"/>
      <c r="W136" s="85">
        <f>SUM(W131:W135)</f>
        <v>159.49</v>
      </c>
      <c r="X136" s="86"/>
      <c r="Y136" s="85">
        <f>SUM(Y131:Y135)</f>
        <v>21.86</v>
      </c>
      <c r="Z136" s="86"/>
      <c r="AA136" s="85">
        <f>SUM(AA131:AA135)</f>
        <v>181.35</v>
      </c>
      <c r="AB136" s="37"/>
      <c r="AC136" s="133">
        <f>SUM(AC131:AC135)</f>
        <v>0</v>
      </c>
      <c r="AD136" s="37"/>
      <c r="AE136" s="41"/>
      <c r="AF136" s="41"/>
      <c r="AG136" s="41"/>
      <c r="AH136" s="41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68"/>
      <c r="AW136" s="17"/>
      <c r="AY136" s="17"/>
      <c r="BM136" s="12"/>
      <c r="BO136" s="30"/>
      <c r="BS136" s="30"/>
      <c r="BU136" s="27"/>
      <c r="BV136">
        <v>1201</v>
      </c>
      <c r="BW136" s="35"/>
      <c r="BX136">
        <v>4</v>
      </c>
      <c r="BY136" s="35"/>
      <c r="BZ136">
        <v>0.1327976686094921</v>
      </c>
      <c r="CA136" s="35"/>
      <c r="CB136">
        <v>159.49</v>
      </c>
      <c r="CC136" s="61"/>
      <c r="CD136">
        <v>21.86</v>
      </c>
      <c r="CE136" s="61"/>
      <c r="CF136">
        <v>181.35</v>
      </c>
      <c r="CG136" s="44"/>
      <c r="CH136">
        <v>0</v>
      </c>
    </row>
    <row r="137" spans="1:126">
      <c r="A137" s="27"/>
      <c r="B137" s="37"/>
      <c r="C137" s="93"/>
      <c r="E137" s="94"/>
      <c r="G137" s="95"/>
      <c r="I137" s="98"/>
      <c r="J137" s="83"/>
      <c r="K137" s="98"/>
      <c r="L137" s="83"/>
      <c r="M137" s="211"/>
      <c r="O137" s="97"/>
      <c r="Q137" s="21"/>
      <c r="S137" s="226"/>
      <c r="U137" s="95"/>
      <c r="W137" s="98"/>
      <c r="X137" s="83"/>
      <c r="Y137" s="98"/>
      <c r="Z137" s="83"/>
      <c r="AA137" s="98"/>
      <c r="AC137" s="169"/>
      <c r="AE137" s="35"/>
      <c r="AF137" s="35"/>
      <c r="AG137" s="35"/>
      <c r="AH137" s="35"/>
      <c r="AU137" s="19"/>
      <c r="AV137" s="37"/>
      <c r="AW137" s="43"/>
      <c r="AX137" s="37"/>
      <c r="AY137" s="43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42"/>
      <c r="BN137" s="37"/>
      <c r="BO137" s="31"/>
      <c r="BP137" s="37"/>
      <c r="BQ137" s="37"/>
      <c r="BR137" s="37"/>
      <c r="BS137" s="31"/>
      <c r="BT137" s="37"/>
      <c r="BU137" s="31" t="s">
        <v>103</v>
      </c>
      <c r="BW137" s="41"/>
      <c r="BY137" s="41"/>
      <c r="CA137" s="41"/>
      <c r="CC137" s="69"/>
      <c r="CE137" s="69"/>
      <c r="CF137"/>
      <c r="CG137" s="70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</row>
    <row r="138" spans="1:126" s="117" customFormat="1">
      <c r="A138" s="31" t="str">
        <f>+TSPT_COT!A127</f>
        <v xml:space="preserve">     Total San Juan</v>
      </c>
      <c r="B138" s="37"/>
      <c r="C138" s="78">
        <f>+C136+C129</f>
        <v>0</v>
      </c>
      <c r="D138" s="37"/>
      <c r="E138" s="78">
        <f>+E136+E129</f>
        <v>0</v>
      </c>
      <c r="F138" s="37"/>
      <c r="G138" s="236" t="e">
        <f t="shared" si="30"/>
        <v>#DIV/0!</v>
      </c>
      <c r="H138" s="37"/>
      <c r="I138" s="90">
        <f>+I136+I129</f>
        <v>102.65</v>
      </c>
      <c r="J138" s="90"/>
      <c r="K138" s="90">
        <f>+K136+K129</f>
        <v>10.130000000000001</v>
      </c>
      <c r="L138" s="90"/>
      <c r="M138" s="90">
        <f>+M136+M129</f>
        <v>112.78</v>
      </c>
      <c r="N138" s="37"/>
      <c r="O138" s="156">
        <f>+O136+O129</f>
        <v>0</v>
      </c>
      <c r="P138" s="37"/>
      <c r="Q138" s="72">
        <f>+Q136+Q129</f>
        <v>11054</v>
      </c>
      <c r="R138" s="37"/>
      <c r="S138" s="72">
        <f>+S136+S129</f>
        <v>332</v>
      </c>
      <c r="T138" s="37"/>
      <c r="U138" s="235">
        <f t="shared" si="31"/>
        <v>7.0455943549838085E-2</v>
      </c>
      <c r="V138" s="37"/>
      <c r="W138" s="90">
        <f>+W136+W129</f>
        <v>778.81999999991024</v>
      </c>
      <c r="X138" s="90"/>
      <c r="Y138" s="90">
        <f>+Y136+Y129</f>
        <v>108.63</v>
      </c>
      <c r="Z138" s="90"/>
      <c r="AA138" s="90">
        <f>+AA136+AA129</f>
        <v>887.44999999991023</v>
      </c>
      <c r="AB138" s="37"/>
      <c r="AC138" s="156">
        <f>+AC136+AC129</f>
        <v>0</v>
      </c>
      <c r="AD138" s="37"/>
      <c r="AE138" s="41"/>
      <c r="AF138" s="41"/>
      <c r="AG138" s="41"/>
      <c r="AH138" s="41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68"/>
      <c r="AV138" s="37"/>
      <c r="AW138" s="43"/>
      <c r="AX138" s="37"/>
      <c r="AY138" s="43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42"/>
      <c r="BN138" s="37"/>
      <c r="BO138" s="31"/>
      <c r="BP138" s="37"/>
      <c r="BQ138" s="37"/>
      <c r="BR138" s="37"/>
      <c r="BS138" s="31"/>
      <c r="BT138" s="37"/>
      <c r="BU138" s="31"/>
      <c r="BV138" s="117">
        <v>11054</v>
      </c>
      <c r="BW138" s="41"/>
      <c r="BX138" s="117">
        <v>333</v>
      </c>
      <c r="BY138" s="41"/>
      <c r="BZ138" s="117">
        <v>6.1169712321323524E-2</v>
      </c>
      <c r="CA138" s="41"/>
      <c r="CB138" s="117">
        <v>676.16999999991026</v>
      </c>
      <c r="CC138" s="69"/>
      <c r="CD138" s="117">
        <v>98.5</v>
      </c>
      <c r="CE138" s="69"/>
      <c r="CF138" s="117">
        <v>774.66999999991026</v>
      </c>
      <c r="CG138" s="70"/>
      <c r="CH138" s="117">
        <v>0</v>
      </c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</row>
    <row r="139" spans="1:126">
      <c r="A139" s="31"/>
      <c r="C139" s="28"/>
      <c r="E139" s="15"/>
      <c r="G139" s="32"/>
      <c r="I139" s="83"/>
      <c r="J139" s="83"/>
      <c r="K139" s="83"/>
      <c r="L139" s="83"/>
      <c r="O139" s="34"/>
      <c r="Q139" s="18"/>
      <c r="S139" s="35"/>
      <c r="U139" s="32"/>
      <c r="W139" s="83"/>
      <c r="X139" s="83"/>
      <c r="Y139" s="83"/>
      <c r="Z139" s="83"/>
      <c r="AA139" s="83"/>
      <c r="AC139" s="140"/>
      <c r="AE139" s="35"/>
      <c r="AF139" s="35"/>
      <c r="AG139" s="35"/>
      <c r="AH139" s="35"/>
      <c r="AU139" s="19"/>
      <c r="AW139" s="17"/>
      <c r="AY139" s="17"/>
      <c r="BM139" s="12"/>
      <c r="BO139" s="30"/>
      <c r="BS139" s="30"/>
      <c r="BU139" s="27" t="s">
        <v>1</v>
      </c>
      <c r="BW139" s="35"/>
      <c r="BY139" s="35"/>
      <c r="CA139" s="35"/>
      <c r="CC139" s="61"/>
      <c r="CE139" s="61"/>
      <c r="CF139"/>
      <c r="CG139" s="44"/>
    </row>
    <row r="140" spans="1:126">
      <c r="A140" s="31" t="str">
        <f>+TSPT_COT!A129</f>
        <v>Thoreau</v>
      </c>
      <c r="AW140" s="17"/>
      <c r="AY140" s="17"/>
      <c r="BM140" s="12"/>
      <c r="BO140" s="30"/>
      <c r="BS140" s="30"/>
      <c r="BU140" s="27" t="s">
        <v>65</v>
      </c>
      <c r="BW140" s="35"/>
      <c r="BY140" s="35"/>
      <c r="CA140" s="35"/>
      <c r="CC140" s="61"/>
      <c r="CE140" s="61"/>
      <c r="CF140"/>
      <c r="CG140" s="44"/>
    </row>
    <row r="141" spans="1:126">
      <c r="A141" s="27" t="str">
        <f>+TSPT_COT!A130</f>
        <v xml:space="preserve">   Demand</v>
      </c>
      <c r="C141" s="28">
        <f>TSPT_COT!AS130</f>
        <v>14415000</v>
      </c>
      <c r="E141" s="15">
        <f>TSPT_COT!AU130</f>
        <v>465000</v>
      </c>
      <c r="G141" s="161">
        <f t="shared" ref="G141:G146" si="32">IF(I141=0,0,I141/C141)</f>
        <v>0.1074</v>
      </c>
      <c r="I141" s="130">
        <f>TSPT_COT!AY130</f>
        <v>1548171</v>
      </c>
      <c r="J141" s="83"/>
      <c r="K141" s="130">
        <f>TSPT_COT!BA130</f>
        <v>0</v>
      </c>
      <c r="L141" s="83"/>
      <c r="M141" s="130">
        <f>TSPT_COT!BC130</f>
        <v>1548171</v>
      </c>
      <c r="O141" s="34">
        <f>TSPT_COT!BE130</f>
        <v>1548</v>
      </c>
      <c r="Q141" s="18">
        <f>+C141+BV141</f>
        <v>173459874</v>
      </c>
      <c r="S141" s="35">
        <f>ROUND(Q141/SLS_COS!$AZ$3,0)</f>
        <v>475233</v>
      </c>
      <c r="U141" s="161">
        <f t="shared" ref="U141:U146" si="33">IF(W141=0,0,W141/Q141)</f>
        <v>0.10357386654160719</v>
      </c>
      <c r="W141" s="130">
        <f>+I141+CB141</f>
        <v>17965909.84</v>
      </c>
      <c r="X141" s="83"/>
      <c r="Y141" s="130">
        <f>+K141+CD141</f>
        <v>-54870</v>
      </c>
      <c r="Z141" s="83"/>
      <c r="AA141" s="130">
        <f>+M141+CF141</f>
        <v>17911039.84</v>
      </c>
      <c r="AC141" s="140">
        <f>ROUND(AA141/1000,0)</f>
        <v>17911</v>
      </c>
      <c r="AE141" s="35"/>
      <c r="AF141" s="35"/>
      <c r="AG141" s="35"/>
      <c r="AH141" s="35"/>
      <c r="AU141" s="19"/>
      <c r="AW141" s="17"/>
      <c r="AY141" s="17"/>
      <c r="BM141" s="12"/>
      <c r="BO141" s="30"/>
      <c r="BS141" s="30"/>
      <c r="BU141" s="27" t="s">
        <v>66</v>
      </c>
      <c r="BV141">
        <v>159044874</v>
      </c>
      <c r="BW141" s="35"/>
      <c r="BX141">
        <v>476182</v>
      </c>
      <c r="BY141" s="35"/>
      <c r="BZ141">
        <v>0.10322708570915652</v>
      </c>
      <c r="CA141" s="35"/>
      <c r="CB141">
        <v>16417738.84</v>
      </c>
      <c r="CC141" s="61"/>
      <c r="CD141">
        <v>-54870</v>
      </c>
      <c r="CE141" s="61"/>
      <c r="CF141">
        <v>16362868.84</v>
      </c>
      <c r="CG141" s="44"/>
      <c r="CH141">
        <v>14865</v>
      </c>
    </row>
    <row r="142" spans="1:126">
      <c r="A142" s="27" t="str">
        <f>+TSPT_COT!A131</f>
        <v xml:space="preserve">   FT-San Juan</v>
      </c>
      <c r="C142" s="28">
        <f>TSPT_COT!AS131</f>
        <v>14517867</v>
      </c>
      <c r="E142" s="15">
        <f>TSPT_COT!AU131</f>
        <v>468318</v>
      </c>
      <c r="G142" s="161">
        <f t="shared" si="32"/>
        <v>1.099999056335204E-3</v>
      </c>
      <c r="I142" s="130">
        <f>TSPT_COT!AY131</f>
        <v>15969.64</v>
      </c>
      <c r="J142" s="83"/>
      <c r="K142" s="130">
        <f>TSPT_COT!BA131</f>
        <v>0</v>
      </c>
      <c r="L142" s="83"/>
      <c r="M142" s="130">
        <f>TSPT_COT!BC131</f>
        <v>15969.64</v>
      </c>
      <c r="O142" s="34">
        <f>TSPT_COT!BE131</f>
        <v>16</v>
      </c>
      <c r="Q142" s="18">
        <f>+C142+BV142</f>
        <v>133938366</v>
      </c>
      <c r="S142" s="35">
        <f>ROUND(Q142/SLS_COS!$AZ$3,0)</f>
        <v>366954</v>
      </c>
      <c r="U142" s="161">
        <f t="shared" si="33"/>
        <v>1.1545210279778981E-3</v>
      </c>
      <c r="W142" s="130">
        <f>+I142+CB142</f>
        <v>154634.65999999997</v>
      </c>
      <c r="X142" s="83"/>
      <c r="Y142" s="130">
        <f>+K142+CD142</f>
        <v>-13199.04</v>
      </c>
      <c r="Z142" s="83"/>
      <c r="AA142" s="130">
        <f>+M142+CF142</f>
        <v>141435.62</v>
      </c>
      <c r="AC142" s="140">
        <f>ROUND(AA142/1000,0)</f>
        <v>141</v>
      </c>
      <c r="AE142" s="35"/>
      <c r="AF142" s="35"/>
      <c r="AG142" s="35"/>
      <c r="AH142" s="35"/>
      <c r="AU142" s="19"/>
      <c r="AW142" s="17"/>
      <c r="AY142" s="17"/>
      <c r="BM142" s="12"/>
      <c r="BO142" s="30"/>
      <c r="BS142" s="30"/>
      <c r="BU142" s="27" t="s">
        <v>67</v>
      </c>
      <c r="BV142">
        <v>119420499</v>
      </c>
      <c r="BW142" s="35"/>
      <c r="BX142">
        <v>357546</v>
      </c>
      <c r="BY142" s="35"/>
      <c r="BZ142">
        <v>1.1611492261475141E-3</v>
      </c>
      <c r="CA142" s="35"/>
      <c r="CB142">
        <v>138665.01999999999</v>
      </c>
      <c r="CC142" s="61"/>
      <c r="CD142">
        <v>-13199.04</v>
      </c>
      <c r="CE142" s="61"/>
      <c r="CF142">
        <v>125465.98</v>
      </c>
      <c r="CG142" s="44"/>
      <c r="CH142">
        <v>111</v>
      </c>
    </row>
    <row r="143" spans="1:126">
      <c r="A143" s="27" t="str">
        <f>+TSPT_COT!A132</f>
        <v xml:space="preserve">   FR-San Juan</v>
      </c>
      <c r="C143" s="28">
        <f>TSPT_COT!AS132</f>
        <v>0</v>
      </c>
      <c r="E143" s="15">
        <f>TSPT_COT!AU132</f>
        <v>0</v>
      </c>
      <c r="G143" s="161">
        <f t="shared" si="32"/>
        <v>0</v>
      </c>
      <c r="I143" s="130">
        <f>TSPT_COT!AY132</f>
        <v>0</v>
      </c>
      <c r="J143" s="83"/>
      <c r="K143" s="130">
        <f>TSPT_COT!BA132</f>
        <v>0</v>
      </c>
      <c r="L143" s="83"/>
      <c r="M143" s="130">
        <f>TSPT_COT!BC132</f>
        <v>0</v>
      </c>
      <c r="O143" s="34">
        <f>TSPT_COT!BE132</f>
        <v>0</v>
      </c>
      <c r="Q143" s="18">
        <f>+C143+BV143</f>
        <v>29452259</v>
      </c>
      <c r="S143" s="35">
        <f>ROUND(Q143/SLS_COS!$AZ$3,0)</f>
        <v>80691</v>
      </c>
      <c r="U143" s="161">
        <f t="shared" si="33"/>
        <v>1.0999998336290605E-3</v>
      </c>
      <c r="W143" s="130">
        <f>+I143+CB143</f>
        <v>32397.48</v>
      </c>
      <c r="X143" s="83"/>
      <c r="Y143" s="130">
        <f>+K143+CD143</f>
        <v>0</v>
      </c>
      <c r="Z143" s="83"/>
      <c r="AA143" s="130">
        <f>+M143+CF143</f>
        <v>32397.48</v>
      </c>
      <c r="AC143" s="140">
        <f>ROUND(AA143/1000,0)</f>
        <v>32</v>
      </c>
      <c r="AE143" s="35"/>
      <c r="AF143" s="35"/>
      <c r="AG143" s="35"/>
      <c r="AH143" s="35"/>
      <c r="AU143" s="19"/>
      <c r="AW143" s="17"/>
      <c r="AY143" s="17"/>
      <c r="BM143" s="12"/>
      <c r="BO143" s="30"/>
      <c r="BS143" s="30"/>
      <c r="BU143" s="27" t="s">
        <v>68</v>
      </c>
      <c r="BV143">
        <v>29452259</v>
      </c>
      <c r="BW143" s="35"/>
      <c r="BX143">
        <v>88180</v>
      </c>
      <c r="BY143" s="35"/>
      <c r="BZ143">
        <v>1.0999998336290605E-3</v>
      </c>
      <c r="CA143" s="35"/>
      <c r="CB143">
        <v>32397.48</v>
      </c>
      <c r="CC143" s="61"/>
      <c r="CD143">
        <v>0</v>
      </c>
      <c r="CE143" s="61"/>
      <c r="CF143">
        <v>32397.48</v>
      </c>
      <c r="CG143" s="44"/>
      <c r="CH143">
        <v>32</v>
      </c>
    </row>
    <row r="144" spans="1:126">
      <c r="A144" s="27" t="str">
        <f>+TSPT_COT!A133</f>
        <v xml:space="preserve">   LFT-San Juan</v>
      </c>
      <c r="C144" s="28">
        <f>TSPT_COT!AS133</f>
        <v>0</v>
      </c>
      <c r="E144" s="15">
        <f>TSPT_COT!AU133</f>
        <v>0</v>
      </c>
      <c r="G144" s="161">
        <f t="shared" si="32"/>
        <v>0</v>
      </c>
      <c r="I144" s="130">
        <f>TSPT_COT!AY133</f>
        <v>0</v>
      </c>
      <c r="J144" s="83"/>
      <c r="K144" s="130">
        <f>TSPT_COT!BA133</f>
        <v>0</v>
      </c>
      <c r="L144" s="83"/>
      <c r="M144" s="130">
        <f>TSPT_COT!BC133</f>
        <v>0</v>
      </c>
      <c r="O144" s="34">
        <f>TSPT_COT!BE133</f>
        <v>0</v>
      </c>
      <c r="Q144" s="18">
        <f>+C144+BV144</f>
        <v>0</v>
      </c>
      <c r="S144" s="35">
        <f>ROUND(Q144/SLS_COS!$AZ$3,0)</f>
        <v>0</v>
      </c>
      <c r="U144" s="161">
        <f t="shared" si="33"/>
        <v>0</v>
      </c>
      <c r="W144" s="130">
        <f>+I144+CB144</f>
        <v>0</v>
      </c>
      <c r="X144" s="83"/>
      <c r="Y144" s="130">
        <f>+K144+CD144</f>
        <v>0</v>
      </c>
      <c r="Z144" s="83"/>
      <c r="AA144" s="130">
        <f>+M144+CF144</f>
        <v>0</v>
      </c>
      <c r="AC144" s="140">
        <f>ROUND(AA144/1000,0)</f>
        <v>0</v>
      </c>
      <c r="AE144" s="35"/>
      <c r="AF144" s="35"/>
      <c r="AG144" s="35"/>
      <c r="AH144" s="35"/>
      <c r="AU144" s="19"/>
      <c r="AW144" s="17"/>
      <c r="AY144" s="17"/>
      <c r="BM144" s="12"/>
      <c r="BO144" s="30"/>
      <c r="BS144" s="30"/>
      <c r="BU144" s="27"/>
      <c r="BV144">
        <v>0</v>
      </c>
      <c r="BW144" s="35"/>
      <c r="BX144">
        <v>0</v>
      </c>
      <c r="BY144" s="35"/>
      <c r="BZ144">
        <v>0</v>
      </c>
      <c r="CA144" s="35"/>
      <c r="CB144">
        <v>0</v>
      </c>
      <c r="CC144" s="61"/>
      <c r="CD144">
        <v>0</v>
      </c>
      <c r="CE144" s="61"/>
      <c r="CF144">
        <v>0</v>
      </c>
      <c r="CG144" s="44"/>
      <c r="CH144">
        <v>0</v>
      </c>
    </row>
    <row r="145" spans="1:86" s="117" customFormat="1">
      <c r="A145" s="27" t="str">
        <f>+TSPT_COT!A134</f>
        <v xml:space="preserve">   IT-San Jaun</v>
      </c>
      <c r="C145" s="93">
        <f>TSPT_COT!AS134</f>
        <v>0</v>
      </c>
      <c r="D145"/>
      <c r="E145" s="94">
        <f>TSPT_COT!AU134</f>
        <v>0</v>
      </c>
      <c r="F145"/>
      <c r="G145" s="233">
        <f t="shared" si="32"/>
        <v>0</v>
      </c>
      <c r="H145"/>
      <c r="I145" s="131">
        <f>TSPT_COT!AY134</f>
        <v>0</v>
      </c>
      <c r="J145" s="83"/>
      <c r="K145" s="131">
        <f>TSPT_COT!BA134</f>
        <v>0</v>
      </c>
      <c r="L145" s="83"/>
      <c r="M145" s="131">
        <f>TSPT_COT!BC134</f>
        <v>0</v>
      </c>
      <c r="N145"/>
      <c r="O145" s="97">
        <f>TSPT_COT!BE134</f>
        <v>0</v>
      </c>
      <c r="P145"/>
      <c r="Q145" s="21">
        <f>+C145+BV145</f>
        <v>219164</v>
      </c>
      <c r="R145"/>
      <c r="S145" s="226">
        <f>ROUND(Q145/SLS_COS!$AZ$3,0)</f>
        <v>600</v>
      </c>
      <c r="T145"/>
      <c r="U145" s="233">
        <f t="shared" si="33"/>
        <v>0.10346685587048968</v>
      </c>
      <c r="V145"/>
      <c r="W145" s="131">
        <f>+I145+CB145</f>
        <v>22676.21</v>
      </c>
      <c r="X145" s="83"/>
      <c r="Y145" s="131">
        <f>+K145+CD145</f>
        <v>0</v>
      </c>
      <c r="Z145" s="83"/>
      <c r="AA145" s="131">
        <f>+M145+CF145</f>
        <v>22676.21</v>
      </c>
      <c r="AB145"/>
      <c r="AC145" s="169">
        <f>ROUND(AA145/1000,0)</f>
        <v>23</v>
      </c>
      <c r="AD145"/>
      <c r="AE145" s="35"/>
      <c r="AF145" s="35"/>
      <c r="AG145" s="35"/>
      <c r="AH145" s="35"/>
      <c r="AI145"/>
      <c r="AJ145"/>
      <c r="AK145"/>
      <c r="AL145"/>
      <c r="AM145"/>
      <c r="AN145"/>
      <c r="AO145"/>
      <c r="AP145"/>
      <c r="AQ145"/>
      <c r="AR145"/>
      <c r="AS145"/>
      <c r="AT145"/>
      <c r="AU145" s="19"/>
      <c r="AV145"/>
      <c r="AW145" s="125"/>
      <c r="AY145" s="125"/>
      <c r="BM145" s="126"/>
      <c r="BO145" s="127"/>
      <c r="BS145" s="127"/>
      <c r="BU145" s="31" t="s">
        <v>104</v>
      </c>
      <c r="BV145">
        <v>219164</v>
      </c>
      <c r="BW145" s="123"/>
      <c r="BX145">
        <v>656</v>
      </c>
      <c r="BY145" s="123"/>
      <c r="BZ145">
        <v>0.10346685587048968</v>
      </c>
      <c r="CA145" s="123"/>
      <c r="CB145">
        <v>22676.21</v>
      </c>
      <c r="CC145" s="128"/>
      <c r="CD145">
        <v>0</v>
      </c>
      <c r="CE145" s="128"/>
      <c r="CF145">
        <v>22676.21</v>
      </c>
      <c r="CG145" s="129"/>
      <c r="CH145">
        <v>23</v>
      </c>
    </row>
    <row r="146" spans="1:86">
      <c r="A146" s="31" t="str">
        <f>+TSPT_COT!A135</f>
        <v xml:space="preserve">     Total Thoreau</v>
      </c>
      <c r="C146" s="28">
        <f>TSPT_COT!AS135</f>
        <v>14517867</v>
      </c>
      <c r="E146" s="15">
        <f>TSPT_COT!AU135</f>
        <v>468318</v>
      </c>
      <c r="G146" s="161">
        <f t="shared" si="32"/>
        <v>0.10773901152283596</v>
      </c>
      <c r="I146" s="130">
        <f>TSPT_COT!AY135</f>
        <v>1564140.64</v>
      </c>
      <c r="J146" s="83"/>
      <c r="K146" s="130">
        <f>TSPT_COT!BA135</f>
        <v>0</v>
      </c>
      <c r="L146" s="83"/>
      <c r="M146" s="130">
        <f>TSPT_COT!BC135</f>
        <v>1564140.64</v>
      </c>
      <c r="O146" s="34">
        <f>TSPT_COT!BE135</f>
        <v>1564</v>
      </c>
      <c r="Q146" s="18">
        <f>SUM(Q142:Q145)</f>
        <v>163609789</v>
      </c>
      <c r="S146" s="18">
        <f>SUM(S142:S145)</f>
        <v>448245</v>
      </c>
      <c r="U146" s="161">
        <f t="shared" si="33"/>
        <v>0.11109126355514096</v>
      </c>
      <c r="W146" s="130">
        <f>SUM(W141:W145)</f>
        <v>18175618.190000001</v>
      </c>
      <c r="X146" s="83"/>
      <c r="Y146" s="130">
        <f>SUM(Y141:Y145)</f>
        <v>-68069.040000000008</v>
      </c>
      <c r="Z146" s="83"/>
      <c r="AA146" s="130">
        <f>SUM(AA141:AA145)</f>
        <v>18107549.150000002</v>
      </c>
      <c r="AC146" s="170">
        <f>SUM(AC141:AC145)</f>
        <v>18107</v>
      </c>
      <c r="AE146" s="35"/>
      <c r="AF146" s="35"/>
      <c r="AG146" s="35"/>
      <c r="AH146" s="35"/>
      <c r="AU146" s="19"/>
      <c r="AW146" s="17"/>
      <c r="AY146" s="17"/>
      <c r="BM146" s="12"/>
      <c r="BO146" s="30"/>
      <c r="BS146" s="30"/>
      <c r="BU146" s="27"/>
      <c r="BV146">
        <v>149091922</v>
      </c>
      <c r="BW146" s="35"/>
      <c r="BX146">
        <v>446382</v>
      </c>
      <c r="BY146" s="35"/>
      <c r="BZ146">
        <v>0.11141769002079134</v>
      </c>
      <c r="CA146" s="35"/>
      <c r="CB146">
        <v>16611477.550000001</v>
      </c>
      <c r="CC146" s="61"/>
      <c r="CD146">
        <v>-68069.039999999994</v>
      </c>
      <c r="CE146" s="61"/>
      <c r="CF146">
        <v>16543408.510000002</v>
      </c>
      <c r="CG146" s="44"/>
      <c r="CH146">
        <v>15031</v>
      </c>
    </row>
    <row r="147" spans="1:86">
      <c r="A147" s="27"/>
      <c r="C147" s="28"/>
      <c r="E147" s="15"/>
      <c r="G147" s="32"/>
      <c r="I147" s="83"/>
      <c r="J147" s="83"/>
      <c r="K147" s="83"/>
      <c r="L147" s="83"/>
      <c r="O147" s="34"/>
      <c r="Q147" s="18"/>
      <c r="S147" s="35"/>
      <c r="U147" s="32"/>
      <c r="W147" s="83"/>
      <c r="X147" s="83"/>
      <c r="Y147" s="83"/>
      <c r="Z147" s="83"/>
      <c r="AA147" s="83"/>
      <c r="AC147" s="140"/>
      <c r="AE147" s="35"/>
      <c r="AF147" s="35"/>
      <c r="AG147" s="35"/>
      <c r="AH147" s="35"/>
      <c r="AU147" s="19"/>
      <c r="AW147" s="17"/>
      <c r="AY147" s="17"/>
      <c r="BM147" s="12"/>
      <c r="BO147" s="30"/>
      <c r="BS147" s="30"/>
      <c r="BU147" s="27" t="s">
        <v>105</v>
      </c>
      <c r="BW147" s="35"/>
      <c r="BY147" s="35"/>
      <c r="CA147" s="35"/>
      <c r="CC147" s="61"/>
      <c r="CE147" s="61"/>
      <c r="CF147"/>
      <c r="CG147" s="44"/>
    </row>
    <row r="148" spans="1:86">
      <c r="A148" s="31" t="str">
        <f>+TSPT_COT!A137</f>
        <v>I/B Link</v>
      </c>
      <c r="AG148" s="35"/>
      <c r="AH148" s="35"/>
      <c r="AU148" s="19"/>
      <c r="AW148" s="17"/>
      <c r="AY148" s="17"/>
      <c r="BM148" s="12"/>
      <c r="BO148" s="30"/>
      <c r="BS148" s="30"/>
      <c r="BU148" s="27" t="s">
        <v>73</v>
      </c>
      <c r="BW148" s="35"/>
      <c r="BY148" s="35"/>
      <c r="CA148" s="35"/>
      <c r="CC148" s="61"/>
      <c r="CE148" s="61"/>
      <c r="CF148"/>
      <c r="CG148" s="44"/>
    </row>
    <row r="149" spans="1:86">
      <c r="A149" s="27" t="str">
        <f>+TSPT_COT!A138</f>
        <v xml:space="preserve">   Demand</v>
      </c>
      <c r="C149" s="28">
        <f>+TSPT_COT!AS138</f>
        <v>0</v>
      </c>
      <c r="E149" s="15">
        <f>TSPT_COT!AU138</f>
        <v>0</v>
      </c>
      <c r="G149" s="161">
        <f t="shared" ref="G149:G154" si="34">IF(I149=0,0,I149/C149)</f>
        <v>0</v>
      </c>
      <c r="I149" s="149">
        <f>+TSPT_COT!AY138</f>
        <v>0</v>
      </c>
      <c r="J149" s="83"/>
      <c r="K149" s="149">
        <f>+TSPT_COT!BA138</f>
        <v>0</v>
      </c>
      <c r="L149" s="83"/>
      <c r="M149" s="149">
        <f>+TSPT_COT!BC138</f>
        <v>0</v>
      </c>
      <c r="O149" s="140">
        <f>+TSPT_COT!BE138</f>
        <v>0</v>
      </c>
      <c r="Q149" s="18">
        <f>+C149+BV149</f>
        <v>0</v>
      </c>
      <c r="S149" s="35">
        <f>ROUND(Q149/SLS_COS!$AZ$3,0)</f>
        <v>0</v>
      </c>
      <c r="U149" s="161">
        <f t="shared" ref="U149:U154" si="35">IF(W149=0,0,W149/Q149)</f>
        <v>0</v>
      </c>
      <c r="W149" s="151">
        <f>+I149+CB149</f>
        <v>0</v>
      </c>
      <c r="X149" s="83"/>
      <c r="Y149" s="11">
        <f>+K149+CD149</f>
        <v>0</v>
      </c>
      <c r="Z149" s="83"/>
      <c r="AA149" s="151">
        <f>+M149+CF149</f>
        <v>0</v>
      </c>
      <c r="AC149" s="6">
        <f>+O149+CH149</f>
        <v>0</v>
      </c>
      <c r="AE149" s="35"/>
      <c r="AF149" s="35"/>
      <c r="AG149" s="35"/>
      <c r="AH149" s="35"/>
      <c r="AU149" s="19"/>
      <c r="AW149" s="17"/>
      <c r="AY149" s="17"/>
      <c r="BM149" s="12"/>
      <c r="BO149" s="30"/>
      <c r="BS149" s="30"/>
      <c r="BU149" s="27" t="s">
        <v>106</v>
      </c>
      <c r="BV149">
        <v>0</v>
      </c>
      <c r="BW149" s="35"/>
      <c r="BX149">
        <v>0</v>
      </c>
      <c r="BY149" s="35"/>
      <c r="BZ149">
        <v>0</v>
      </c>
      <c r="CA149" s="35"/>
      <c r="CB149">
        <v>0</v>
      </c>
      <c r="CC149" s="61"/>
      <c r="CD149">
        <v>0</v>
      </c>
      <c r="CE149" s="61"/>
      <c r="CF149">
        <v>0</v>
      </c>
      <c r="CG149" s="44"/>
      <c r="CH149">
        <v>0</v>
      </c>
    </row>
    <row r="150" spans="1:86">
      <c r="A150" s="27" t="str">
        <f>+TSPT_COT!A139</f>
        <v xml:space="preserve">   IT-San Juan 2</v>
      </c>
      <c r="C150" s="28">
        <f>+TSPT_COT!AS139</f>
        <v>0</v>
      </c>
      <c r="E150" s="15">
        <f>TSPT_COT!AU139</f>
        <v>0</v>
      </c>
      <c r="G150" s="161">
        <f t="shared" si="34"/>
        <v>0</v>
      </c>
      <c r="I150" s="149">
        <f>+TSPT_COT!AY139</f>
        <v>0</v>
      </c>
      <c r="J150" s="83"/>
      <c r="K150" s="149">
        <f>+TSPT_COT!BA139</f>
        <v>0</v>
      </c>
      <c r="L150" s="83"/>
      <c r="M150" s="149">
        <f>+TSPT_COT!BC139</f>
        <v>0</v>
      </c>
      <c r="O150" s="140">
        <f>+TSPT_COT!BE139</f>
        <v>0</v>
      </c>
      <c r="Q150" s="18">
        <f>+C150+BV150</f>
        <v>0</v>
      </c>
      <c r="S150" s="35">
        <f>ROUND(Q150/SLS_COS!$AZ$3,0)</f>
        <v>0</v>
      </c>
      <c r="U150" s="161">
        <f t="shared" si="35"/>
        <v>0</v>
      </c>
      <c r="W150" s="151">
        <f>+I150+CB150</f>
        <v>0</v>
      </c>
      <c r="X150" s="83"/>
      <c r="Y150" s="11">
        <f>+K150+CD150</f>
        <v>0</v>
      </c>
      <c r="Z150" s="83"/>
      <c r="AA150" s="151">
        <f>+M150+CF150</f>
        <v>0</v>
      </c>
      <c r="AC150" s="6">
        <f>+O150+CH150</f>
        <v>0</v>
      </c>
      <c r="AE150" s="35"/>
      <c r="AF150" s="35"/>
      <c r="AG150" s="35"/>
      <c r="AH150" s="35"/>
      <c r="AU150" s="19"/>
      <c r="AW150" s="17"/>
      <c r="AY150" s="17"/>
      <c r="BM150" s="12"/>
      <c r="BO150" s="30"/>
      <c r="BS150" s="30"/>
      <c r="BU150" s="27" t="s">
        <v>107</v>
      </c>
      <c r="BV150">
        <v>0</v>
      </c>
      <c r="BW150" s="35"/>
      <c r="BX150">
        <v>0</v>
      </c>
      <c r="BY150" s="35"/>
      <c r="BZ150">
        <v>0</v>
      </c>
      <c r="CA150" s="35"/>
      <c r="CB150">
        <v>0</v>
      </c>
      <c r="CC150" s="61"/>
      <c r="CD150">
        <v>0</v>
      </c>
      <c r="CE150" s="61"/>
      <c r="CF150">
        <v>0</v>
      </c>
      <c r="CG150" s="44"/>
      <c r="CH150">
        <v>0</v>
      </c>
    </row>
    <row r="151" spans="1:86">
      <c r="A151" s="27" t="str">
        <f>+TSPT_COT!A140</f>
        <v xml:space="preserve">   FT-San Juan 2</v>
      </c>
      <c r="C151" s="28">
        <f>+TSPT_COT!AS140</f>
        <v>0</v>
      </c>
      <c r="E151" s="15">
        <f>TSPT_COT!AU140</f>
        <v>0</v>
      </c>
      <c r="G151" s="161">
        <f t="shared" si="34"/>
        <v>0</v>
      </c>
      <c r="I151" s="149">
        <f>+TSPT_COT!AY140</f>
        <v>0</v>
      </c>
      <c r="J151" s="83"/>
      <c r="K151" s="149">
        <f>+TSPT_COT!BA140</f>
        <v>0</v>
      </c>
      <c r="L151" s="83"/>
      <c r="M151" s="149">
        <f>+TSPT_COT!BC140</f>
        <v>0</v>
      </c>
      <c r="O151" s="140">
        <f>+TSPT_COT!BE140</f>
        <v>0</v>
      </c>
      <c r="Q151" s="18">
        <f>+C151+BV151</f>
        <v>0</v>
      </c>
      <c r="S151" s="35">
        <f>ROUND(Q151/SLS_COS!$AZ$3,0)</f>
        <v>0</v>
      </c>
      <c r="U151" s="161">
        <f t="shared" si="35"/>
        <v>0</v>
      </c>
      <c r="W151" s="151">
        <f>+I151+CB151</f>
        <v>0</v>
      </c>
      <c r="X151" s="83"/>
      <c r="Y151" s="11">
        <f>+K151+CD151</f>
        <v>0</v>
      </c>
      <c r="Z151" s="83"/>
      <c r="AA151" s="151">
        <f>+M151+CF151</f>
        <v>0</v>
      </c>
      <c r="AC151" s="6">
        <f>+O151+CH151</f>
        <v>0</v>
      </c>
      <c r="AE151" s="35"/>
      <c r="AF151" s="35"/>
      <c r="AG151" s="35"/>
      <c r="AH151" s="35"/>
      <c r="AU151" s="19"/>
      <c r="AW151" s="17"/>
      <c r="AY151" s="17"/>
      <c r="BM151" s="12"/>
      <c r="BO151" s="30"/>
      <c r="BS151" s="30"/>
      <c r="BU151" s="27" t="s">
        <v>108</v>
      </c>
      <c r="BV151">
        <v>0</v>
      </c>
      <c r="BW151" s="35"/>
      <c r="BX151">
        <v>0</v>
      </c>
      <c r="BY151" s="35"/>
      <c r="BZ151">
        <v>0</v>
      </c>
      <c r="CA151" s="35"/>
      <c r="CB151">
        <v>0</v>
      </c>
      <c r="CC151" s="61"/>
      <c r="CD151">
        <v>0</v>
      </c>
      <c r="CE151" s="61"/>
      <c r="CF151">
        <v>0</v>
      </c>
      <c r="CG151" s="44"/>
      <c r="CH151">
        <v>0</v>
      </c>
    </row>
    <row r="152" spans="1:86">
      <c r="A152" s="27" t="str">
        <f>+TSPT_COT!A141</f>
        <v xml:space="preserve">   LFT-San Juan 2</v>
      </c>
      <c r="C152" s="28">
        <f>+TSPT_COT!AS141</f>
        <v>0</v>
      </c>
      <c r="E152" s="15">
        <f>TSPT_COT!AU141</f>
        <v>0</v>
      </c>
      <c r="G152" s="161">
        <f t="shared" si="34"/>
        <v>0</v>
      </c>
      <c r="I152" s="149">
        <f>+TSPT_COT!AY141</f>
        <v>0</v>
      </c>
      <c r="J152" s="83"/>
      <c r="K152" s="149">
        <f>+TSPT_COT!BA141</f>
        <v>0</v>
      </c>
      <c r="L152" s="83"/>
      <c r="M152" s="149">
        <f>+TSPT_COT!BC141</f>
        <v>0</v>
      </c>
      <c r="O152" s="140">
        <f>+TSPT_COT!BE141</f>
        <v>0</v>
      </c>
      <c r="Q152" s="18">
        <f>+C152+BV152</f>
        <v>0</v>
      </c>
      <c r="S152" s="35">
        <f>ROUND(Q152/SLS_COS!$AZ$3,0)</f>
        <v>0</v>
      </c>
      <c r="U152" s="161">
        <f t="shared" si="35"/>
        <v>0</v>
      </c>
      <c r="W152" s="151">
        <f>+I152+CB152</f>
        <v>0</v>
      </c>
      <c r="X152" s="83"/>
      <c r="Y152" s="11">
        <f>+K152+CD152</f>
        <v>0</v>
      </c>
      <c r="Z152" s="83"/>
      <c r="AA152" s="151">
        <f>+M152+CF152</f>
        <v>0</v>
      </c>
      <c r="AC152" s="6">
        <f>+O152+CH152</f>
        <v>0</v>
      </c>
      <c r="AE152" s="35"/>
      <c r="AF152" s="35"/>
      <c r="AG152" s="35"/>
      <c r="AH152" s="35"/>
      <c r="AU152" s="19"/>
      <c r="AW152" s="17"/>
      <c r="AY152" s="17"/>
      <c r="BM152" s="12"/>
      <c r="BO152" s="30"/>
      <c r="BS152" s="30"/>
      <c r="BU152" s="27"/>
      <c r="BV152">
        <v>0</v>
      </c>
      <c r="BW152" s="35"/>
      <c r="BX152">
        <v>0</v>
      </c>
      <c r="BY152" s="35"/>
      <c r="BZ152">
        <v>0</v>
      </c>
      <c r="CA152" s="35"/>
      <c r="CB152">
        <v>0</v>
      </c>
      <c r="CC152" s="61"/>
      <c r="CD152">
        <v>0</v>
      </c>
      <c r="CE152" s="61"/>
      <c r="CF152">
        <v>0</v>
      </c>
      <c r="CG152" s="44"/>
      <c r="CH152">
        <v>0</v>
      </c>
    </row>
    <row r="153" spans="1:86" s="117" customFormat="1">
      <c r="A153" s="27" t="str">
        <f>+TSPT_COT!A142</f>
        <v xml:space="preserve">   FTR-San Jaun 2</v>
      </c>
      <c r="C153" s="28">
        <f>+TSPT_COT!AS142</f>
        <v>0</v>
      </c>
      <c r="D153"/>
      <c r="E153" s="15">
        <f>TSPT_COT!AU142</f>
        <v>0</v>
      </c>
      <c r="F153"/>
      <c r="G153" s="161">
        <f t="shared" si="34"/>
        <v>0</v>
      </c>
      <c r="H153"/>
      <c r="I153" s="149">
        <f>+TSPT_COT!AY142</f>
        <v>0</v>
      </c>
      <c r="J153" s="83"/>
      <c r="K153" s="149">
        <f>+TSPT_COT!BA142</f>
        <v>0</v>
      </c>
      <c r="L153" s="83"/>
      <c r="M153" s="149">
        <f>+TSPT_COT!BC142</f>
        <v>0</v>
      </c>
      <c r="N153"/>
      <c r="O153" s="140">
        <f>+TSPT_COT!BE142</f>
        <v>0</v>
      </c>
      <c r="P153"/>
      <c r="Q153" s="18">
        <f>+C153+BV153</f>
        <v>0</v>
      </c>
      <c r="R153"/>
      <c r="S153" s="35">
        <f>ROUND(Q153/SLS_COS!$AZ$3,0)</f>
        <v>0</v>
      </c>
      <c r="T153"/>
      <c r="U153" s="161">
        <f t="shared" si="35"/>
        <v>0</v>
      </c>
      <c r="V153"/>
      <c r="W153" s="151">
        <f>+I153+CB153</f>
        <v>0</v>
      </c>
      <c r="X153" s="83"/>
      <c r="Y153" s="11">
        <f>+K153+CD153</f>
        <v>0</v>
      </c>
      <c r="Z153" s="83"/>
      <c r="AA153" s="151">
        <f>+M153+CF153</f>
        <v>0</v>
      </c>
      <c r="AB153"/>
      <c r="AC153" s="6">
        <f>+O153+CH153</f>
        <v>0</v>
      </c>
      <c r="AD153"/>
      <c r="AE153" s="35"/>
      <c r="AF153" s="35"/>
      <c r="AG153" s="123"/>
      <c r="AH153" s="123"/>
      <c r="AU153" s="124"/>
      <c r="AW153" s="125"/>
      <c r="AY153" s="125"/>
      <c r="BM153" s="126"/>
      <c r="BO153" s="127"/>
      <c r="BS153" s="127"/>
      <c r="BU153" s="31" t="s">
        <v>109</v>
      </c>
      <c r="BV153">
        <v>0</v>
      </c>
      <c r="BW153" s="123"/>
      <c r="BX153">
        <v>0</v>
      </c>
      <c r="BY153" s="123"/>
      <c r="BZ153">
        <v>0</v>
      </c>
      <c r="CA153" s="123"/>
      <c r="CB153">
        <v>0</v>
      </c>
      <c r="CC153" s="128"/>
      <c r="CD153">
        <v>0</v>
      </c>
      <c r="CE153" s="128"/>
      <c r="CF153">
        <v>0</v>
      </c>
      <c r="CG153" s="129"/>
      <c r="CH153">
        <v>0</v>
      </c>
    </row>
    <row r="154" spans="1:86">
      <c r="A154" s="31" t="str">
        <f>+TSPT_COT!A143</f>
        <v xml:space="preserve">     Total I/B Link</v>
      </c>
      <c r="C154" s="118">
        <f>+TSPT_COT!AS143</f>
        <v>0</v>
      </c>
      <c r="D154" s="117"/>
      <c r="E154" s="118">
        <f>+TSPT_COT!AU143</f>
        <v>0</v>
      </c>
      <c r="F154" s="117"/>
      <c r="G154" s="134">
        <f t="shared" si="34"/>
        <v>0</v>
      </c>
      <c r="H154" s="117"/>
      <c r="I154" s="136">
        <f>+TSPT_COT!AY143</f>
        <v>0</v>
      </c>
      <c r="J154" s="121"/>
      <c r="K154" s="136">
        <f>+TSPT_COT!BA143</f>
        <v>0</v>
      </c>
      <c r="L154" s="121"/>
      <c r="M154" s="136">
        <f>+TSPT_COT!BC143</f>
        <v>0</v>
      </c>
      <c r="N154" s="117"/>
      <c r="O154" s="135">
        <f>+TSPT_COT!BE143</f>
        <v>0</v>
      </c>
      <c r="P154" s="117"/>
      <c r="Q154" s="122">
        <f>SUM(Q150:Q153)</f>
        <v>0</v>
      </c>
      <c r="R154" s="117"/>
      <c r="S154" s="150">
        <f>SUM(S150:S153)</f>
        <v>0</v>
      </c>
      <c r="T154" s="117"/>
      <c r="U154" s="134">
        <f t="shared" si="35"/>
        <v>0</v>
      </c>
      <c r="V154" s="117"/>
      <c r="W154" s="120">
        <f>SUM(W149:W153)</f>
        <v>0</v>
      </c>
      <c r="X154" s="121"/>
      <c r="Y154" s="120">
        <f>SUM(Y149:Y153)</f>
        <v>0</v>
      </c>
      <c r="Z154" s="121"/>
      <c r="AA154" s="120">
        <f>SUM(AA149:AA153)</f>
        <v>0</v>
      </c>
      <c r="AB154" s="117"/>
      <c r="AC154" s="135">
        <f>SUM(AC149:AC153)</f>
        <v>0</v>
      </c>
      <c r="AD154" s="117"/>
      <c r="AE154" s="123"/>
      <c r="AF154" s="123"/>
      <c r="AG154" s="35"/>
      <c r="AH154" s="35"/>
      <c r="AU154" s="19"/>
      <c r="AW154" s="17"/>
      <c r="AY154" s="17"/>
      <c r="BM154" s="12"/>
      <c r="BO154" s="30"/>
      <c r="BS154" s="30"/>
      <c r="BU154" s="27"/>
      <c r="BV154">
        <v>0</v>
      </c>
      <c r="BW154" s="35"/>
      <c r="BX154">
        <v>0</v>
      </c>
      <c r="BY154" s="35"/>
      <c r="BZ154">
        <v>0</v>
      </c>
      <c r="CA154" s="35"/>
      <c r="CB154">
        <v>0</v>
      </c>
      <c r="CC154" s="61"/>
      <c r="CD154">
        <v>0</v>
      </c>
      <c r="CE154" s="61"/>
      <c r="CF154">
        <v>0</v>
      </c>
      <c r="CG154" s="44"/>
      <c r="CH154">
        <v>0</v>
      </c>
    </row>
    <row r="155" spans="1:86">
      <c r="A155" s="27"/>
      <c r="C155" s="28"/>
      <c r="E155" s="15"/>
      <c r="G155" s="32"/>
      <c r="I155" s="83"/>
      <c r="J155" s="83"/>
      <c r="K155" s="83"/>
      <c r="L155" s="83"/>
      <c r="O155" s="34"/>
      <c r="Q155" s="18"/>
      <c r="S155" s="35"/>
      <c r="U155" s="32"/>
      <c r="W155" s="83"/>
      <c r="X155" s="83"/>
      <c r="Y155" s="83"/>
      <c r="Z155" s="83"/>
      <c r="AA155" s="83"/>
      <c r="AC155" s="140"/>
      <c r="AE155" s="35"/>
      <c r="AF155" s="35"/>
      <c r="AG155" s="35"/>
      <c r="AH155" s="35"/>
      <c r="AU155" s="19"/>
      <c r="AW155" s="17"/>
      <c r="AY155" s="17"/>
      <c r="BM155" s="12"/>
      <c r="BO155" s="30"/>
      <c r="BS155" s="30"/>
      <c r="BU155" s="27"/>
      <c r="BW155" s="35"/>
      <c r="BY155" s="35"/>
      <c r="CA155" s="35"/>
      <c r="CC155" s="61"/>
      <c r="CE155" s="61"/>
      <c r="CF155"/>
      <c r="CG155" s="44"/>
    </row>
    <row r="156" spans="1:86">
      <c r="A156" s="27"/>
      <c r="AU156" s="19"/>
      <c r="AW156" s="17"/>
      <c r="AY156" s="17"/>
      <c r="BM156" s="12"/>
      <c r="BO156" s="30"/>
      <c r="BS156" s="30"/>
      <c r="BU156" s="27" t="s">
        <v>110</v>
      </c>
      <c r="BW156" s="35"/>
      <c r="BY156" s="35"/>
      <c r="CA156" s="35"/>
      <c r="CC156" s="61"/>
      <c r="CE156" s="61"/>
      <c r="CF156"/>
      <c r="CG156" s="44"/>
    </row>
    <row r="157" spans="1:86">
      <c r="A157" s="27" t="str">
        <f>+TSPT_COT!A146</f>
        <v xml:space="preserve">   Fuel Hedge Retention Revenue</v>
      </c>
      <c r="C157" s="28">
        <f>TSPT_COT!AS146</f>
        <v>0</v>
      </c>
      <c r="E157" s="15">
        <f>TSPT_COT!AU146</f>
        <v>0</v>
      </c>
      <c r="G157" s="161" t="e">
        <f>IF(I157=0,0,I157/C157)</f>
        <v>#DIV/0!</v>
      </c>
      <c r="I157" s="130">
        <f>TSPT_COT!AY146</f>
        <v>-15578.07</v>
      </c>
      <c r="J157" s="83"/>
      <c r="K157" s="130">
        <f>TSPT_COT!BA146</f>
        <v>0</v>
      </c>
      <c r="L157" s="83"/>
      <c r="M157" s="137">
        <f>TSPT_COT!BC146</f>
        <v>-15578.07</v>
      </c>
      <c r="O157" s="34">
        <f>TSPT_COT!BE146</f>
        <v>-16</v>
      </c>
      <c r="Q157" s="18">
        <f>+C157+BV156</f>
        <v>0</v>
      </c>
      <c r="S157" s="35">
        <f>ROUND(Q157/SLS_COS!$AZ$3,0)</f>
        <v>0</v>
      </c>
      <c r="U157" s="161" t="e">
        <f>IF(W157=0,0,W157/Q157)</f>
        <v>#DIV/0!</v>
      </c>
      <c r="W157" s="130">
        <f>+I157+CB157</f>
        <v>-188022.67</v>
      </c>
      <c r="X157" s="83"/>
      <c r="Y157" s="130">
        <f>+K157+CD157</f>
        <v>0</v>
      </c>
      <c r="Z157" s="83"/>
      <c r="AA157" s="130">
        <f>+M157+CF157</f>
        <v>-188022.67</v>
      </c>
      <c r="AC157" s="140">
        <f>ROUND(AA157/1000,0)</f>
        <v>-188</v>
      </c>
      <c r="AE157" s="35"/>
      <c r="AF157" s="35"/>
      <c r="AG157" s="35"/>
      <c r="AH157" s="35"/>
      <c r="AU157" s="19"/>
      <c r="AW157" s="17"/>
      <c r="AY157" s="17"/>
      <c r="BM157" s="12"/>
      <c r="BO157" s="30"/>
      <c r="BS157" s="30"/>
      <c r="BU157" s="27" t="s">
        <v>111</v>
      </c>
      <c r="BV157">
        <v>0</v>
      </c>
      <c r="BW157" s="35"/>
      <c r="BX157">
        <v>0</v>
      </c>
      <c r="BY157" s="35"/>
      <c r="BZ157" t="e">
        <v>#DIV/0!</v>
      </c>
      <c r="CA157" s="35"/>
      <c r="CB157">
        <v>-172444.6</v>
      </c>
      <c r="CC157" s="61"/>
      <c r="CD157">
        <v>0</v>
      </c>
      <c r="CE157" s="61"/>
      <c r="CF157">
        <v>-172444.6</v>
      </c>
      <c r="CG157" s="44"/>
      <c r="CH157">
        <v>-156</v>
      </c>
    </row>
    <row r="158" spans="1:86">
      <c r="A158" s="27" t="str">
        <f>+TSPT_COT!A147</f>
        <v xml:space="preserve">   MISC</v>
      </c>
      <c r="C158" s="28">
        <f>TSPT_COT!AS147</f>
        <v>0</v>
      </c>
      <c r="E158" s="15">
        <f>TSPT_COT!AU147</f>
        <v>0</v>
      </c>
      <c r="G158" s="161" t="e">
        <f>IF(I158=0,0,I158/C158)</f>
        <v>#DIV/0!</v>
      </c>
      <c r="I158" s="130">
        <f>TSPT_COT!AY147</f>
        <v>-397226.85</v>
      </c>
      <c r="J158" s="83"/>
      <c r="K158" s="130">
        <f>TSPT_COT!BA147</f>
        <v>0</v>
      </c>
      <c r="L158" s="83"/>
      <c r="M158" s="137">
        <f>TSPT_COT!BC147</f>
        <v>-397226.85</v>
      </c>
      <c r="O158" s="34">
        <f>TSPT_COT!BE147</f>
        <v>-397</v>
      </c>
      <c r="Q158" s="18">
        <f>+C158+BV157</f>
        <v>0</v>
      </c>
      <c r="S158" s="35">
        <f>ROUND(Q158/SLS_COS!$AZ$3,0)</f>
        <v>0</v>
      </c>
      <c r="U158" s="161" t="e">
        <f>IF(W158=0,0,W158/Q158)</f>
        <v>#DIV/0!</v>
      </c>
      <c r="W158" s="130">
        <f>+I158+CB158</f>
        <v>-1033685.83</v>
      </c>
      <c r="X158" s="83"/>
      <c r="Y158" s="83">
        <f>+K158+CD157</f>
        <v>0</v>
      </c>
      <c r="Z158" s="83"/>
      <c r="AA158" s="130">
        <f>+M158+CF158</f>
        <v>-973536.95</v>
      </c>
      <c r="AC158" s="140">
        <f>ROUND(AA158/1000,0)</f>
        <v>-974</v>
      </c>
      <c r="AE158" s="35"/>
      <c r="AF158" s="35"/>
      <c r="AG158" s="35"/>
      <c r="AH158" s="35"/>
      <c r="AU158" s="19"/>
      <c r="AW158" s="17"/>
      <c r="AY158" s="17"/>
      <c r="BM158" s="12"/>
      <c r="BO158" s="30"/>
      <c r="BS158" s="30"/>
      <c r="BU158" s="27" t="s">
        <v>111</v>
      </c>
      <c r="BV158">
        <v>0</v>
      </c>
      <c r="BX158">
        <v>0</v>
      </c>
      <c r="BZ158" t="e">
        <v>#DIV/0!</v>
      </c>
      <c r="CB158">
        <v>-636458.98</v>
      </c>
      <c r="CC158" s="60"/>
      <c r="CD158">
        <v>0</v>
      </c>
      <c r="CE158" s="61"/>
      <c r="CF158">
        <v>-576310.1</v>
      </c>
      <c r="CG158" s="44"/>
      <c r="CH158">
        <v>-574</v>
      </c>
    </row>
    <row r="159" spans="1:86">
      <c r="A159" s="27" t="str">
        <f>+TSPT_COT!A148</f>
        <v xml:space="preserve">   MISC/RES. IGNACIO/SANTA FE</v>
      </c>
      <c r="C159" s="28">
        <f>TSPT_COT!AS148</f>
        <v>0</v>
      </c>
      <c r="E159" s="15">
        <f>TSPT_COT!AU148</f>
        <v>0</v>
      </c>
      <c r="G159" s="161">
        <v>0</v>
      </c>
      <c r="I159" s="130">
        <f>TSPT_COT!AY148</f>
        <v>-12500</v>
      </c>
      <c r="J159" s="83"/>
      <c r="K159" s="130">
        <f>TSPT_COT!BA148</f>
        <v>0</v>
      </c>
      <c r="L159" s="83"/>
      <c r="M159" s="137">
        <f>TSPT_COT!BC148</f>
        <v>-12500</v>
      </c>
      <c r="O159" s="34">
        <f>TSPT_COT!BE148</f>
        <v>-13</v>
      </c>
      <c r="Q159" s="18">
        <f>+C159+BV158</f>
        <v>0</v>
      </c>
      <c r="S159" s="35">
        <f>ROUND(Q159/SLS_COS!$AZ$3,0)</f>
        <v>0</v>
      </c>
      <c r="U159" s="161">
        <v>0</v>
      </c>
      <c r="W159" s="130">
        <f>+I159+CB159</f>
        <v>-137500</v>
      </c>
      <c r="X159" s="83"/>
      <c r="Y159" s="83">
        <f>+K159+CD158</f>
        <v>0</v>
      </c>
      <c r="Z159" s="83"/>
      <c r="AA159" s="130">
        <f>+M159+CF159</f>
        <v>-137500</v>
      </c>
      <c r="AC159" s="140">
        <f>ROUND(AA159/1000,0)</f>
        <v>-138</v>
      </c>
      <c r="AE159" s="35"/>
      <c r="AF159" s="35"/>
      <c r="AG159" s="35"/>
      <c r="AH159" s="35"/>
      <c r="AU159" s="19"/>
      <c r="AW159" s="17"/>
      <c r="AY159" s="17"/>
      <c r="BM159" s="12"/>
      <c r="BO159" s="30"/>
      <c r="BU159" s="13"/>
      <c r="BV159">
        <v>0</v>
      </c>
      <c r="BX159">
        <v>0</v>
      </c>
      <c r="BZ159">
        <v>0</v>
      </c>
      <c r="CB159">
        <v>-125000</v>
      </c>
      <c r="CC159" s="60"/>
      <c r="CD159">
        <v>0</v>
      </c>
      <c r="CE159" s="60"/>
      <c r="CF159">
        <v>-125000</v>
      </c>
      <c r="CG159" s="44"/>
      <c r="CH159">
        <v>-113</v>
      </c>
    </row>
    <row r="160" spans="1:86">
      <c r="A160" s="13"/>
      <c r="C160" s="23"/>
      <c r="E160" s="24"/>
      <c r="G160" s="66"/>
      <c r="I160" s="91"/>
      <c r="J160" s="91"/>
      <c r="K160" s="91"/>
      <c r="L160" s="91"/>
      <c r="M160" s="91"/>
      <c r="O160" s="25"/>
      <c r="Q160" s="24"/>
      <c r="S160" s="35">
        <f>ROUND(Q160/SLS_COS!$AZ$3,0)</f>
        <v>0</v>
      </c>
      <c r="U160" s="66"/>
      <c r="W160" s="91"/>
      <c r="X160" s="91"/>
      <c r="Y160" s="91"/>
      <c r="Z160" s="91"/>
      <c r="AA160" s="91"/>
      <c r="AC160" s="155"/>
      <c r="AE160" s="35"/>
      <c r="AF160" s="35"/>
      <c r="AG160" s="35"/>
      <c r="AH160" s="35"/>
      <c r="AU160" s="19"/>
      <c r="AW160" s="17"/>
      <c r="AY160" s="17"/>
      <c r="BM160" s="12"/>
      <c r="BO160" s="30"/>
      <c r="BT160" s="79"/>
      <c r="BU160" s="27" t="s">
        <v>112</v>
      </c>
      <c r="BX160">
        <v>0</v>
      </c>
      <c r="CC160" s="60"/>
      <c r="CE160" s="60"/>
      <c r="CF160"/>
      <c r="CG160" s="44"/>
    </row>
    <row r="161" spans="1:86">
      <c r="A161" s="27" t="str">
        <f>+TSPT_COT!A150</f>
        <v>Total Transportation Revenue</v>
      </c>
      <c r="C161" s="77">
        <f>+C58+C105+C121+C136</f>
        <v>52295758</v>
      </c>
      <c r="E161" s="77">
        <f>+E58+E105+E121+E136</f>
        <v>1686965</v>
      </c>
      <c r="G161" s="139">
        <f>TSPT_COT!G150</f>
        <v>0.23115498649020452</v>
      </c>
      <c r="I161" s="88">
        <f>+I58+I105+I113+I121+I138+I146+I154+I157+I158+I159</f>
        <v>12096391.470000001</v>
      </c>
      <c r="J161" s="83"/>
      <c r="K161" s="88">
        <f>+K58+K105+K113+K121+K138+K146+K154+K157+K158+K159</f>
        <v>391547.75</v>
      </c>
      <c r="L161" s="83"/>
      <c r="M161" s="88">
        <f>+M58+M105+M113+M121+M138+M146+M154+M157+M158+M159</f>
        <v>12487939.220000001</v>
      </c>
      <c r="O161" s="138">
        <f>+O58+O105+O113+O121+O138+O146+O154+O157+O158+O159</f>
        <v>12488</v>
      </c>
      <c r="P161" s="34"/>
      <c r="Q161" s="77">
        <f>+Q58+Q105+Q121+Q136</f>
        <v>670480763</v>
      </c>
      <c r="S161" s="77">
        <f>+S58+S105+S121+S136</f>
        <v>7379987</v>
      </c>
      <c r="U161" s="139">
        <f>TSPT_COT!U150</f>
        <v>1.7860413047674193</v>
      </c>
      <c r="W161" s="88">
        <f>+W58+W105+W113+W121+W138+W146+W154+W157+W158+W159</f>
        <v>150286912.74000001</v>
      </c>
      <c r="X161" s="83"/>
      <c r="Y161" s="88">
        <f>+Y58+Y105+Y113+Y121+Y138+Y146+Y154+Y157+Y158+Y159</f>
        <v>15530910.950000001</v>
      </c>
      <c r="Z161" s="83"/>
      <c r="AA161" s="88">
        <f>+AA58+AA105+AA113+AA121+AA138+AA146+AA154+AA157+AA158+AA159</f>
        <v>165877972.57000002</v>
      </c>
      <c r="AC161" s="138">
        <f>+AC58+AC105+AC113+AC121+AC138+AC146+AC154+AC157+AC158+AC159</f>
        <v>164813</v>
      </c>
      <c r="AE161" s="35"/>
      <c r="AF161" s="35"/>
      <c r="AG161" s="35"/>
      <c r="AH161" s="35"/>
      <c r="AU161" s="19"/>
      <c r="AW161" s="17"/>
      <c r="AY161" s="17"/>
      <c r="BM161" s="12"/>
      <c r="BU161" s="27" t="s">
        <v>113</v>
      </c>
      <c r="BV161">
        <v>613986005</v>
      </c>
      <c r="BX161">
        <v>6963534</v>
      </c>
      <c r="BZ161">
        <v>-0.95591205211726393</v>
      </c>
      <c r="CB161">
        <v>138189362.75000003</v>
      </c>
      <c r="CC161" s="60"/>
      <c r="CD161">
        <v>15139363.200000003</v>
      </c>
      <c r="CE161" s="60"/>
      <c r="CF161">
        <v>153388874.82999998</v>
      </c>
      <c r="CG161" s="44"/>
      <c r="CH161">
        <v>140853</v>
      </c>
    </row>
    <row r="162" spans="1:86">
      <c r="A162" s="27" t="str">
        <f>+TSPT_COT!A171</f>
        <v>Total Cost of Transportation</v>
      </c>
      <c r="C162" s="28">
        <f>TSPT_COT!C171</f>
        <v>0</v>
      </c>
      <c r="E162" s="28">
        <f>TSPT_COT!E171</f>
        <v>0</v>
      </c>
      <c r="G162" s="83">
        <f>TSPT_COT!G171</f>
        <v>0</v>
      </c>
      <c r="I162" s="83">
        <f>TSPT_COT!I171</f>
        <v>-2843645.84</v>
      </c>
      <c r="J162" s="83"/>
      <c r="K162" s="83">
        <f>TSPT_COT!K171</f>
        <v>0</v>
      </c>
      <c r="L162" s="83"/>
      <c r="M162" s="248">
        <f>TSPT_COT!M171</f>
        <v>-2843645.84</v>
      </c>
      <c r="O162" s="140">
        <f>+TSPT_COT!BE171</f>
        <v>-2845</v>
      </c>
      <c r="Q162" s="18"/>
      <c r="U162" s="83">
        <f>TSPT_COT!U171</f>
        <v>0</v>
      </c>
      <c r="W162" s="83">
        <f>+CB162+I162</f>
        <v>5938287.4600000009</v>
      </c>
      <c r="X162" s="83"/>
      <c r="Y162" s="83">
        <f>+CD162+K162</f>
        <v>0</v>
      </c>
      <c r="Z162" s="83"/>
      <c r="AA162" s="83">
        <f>+CF162+M162</f>
        <v>5938287.4600000009</v>
      </c>
      <c r="AC162" s="140">
        <f>+CH162+O162</f>
        <v>5386</v>
      </c>
      <c r="AE162" s="35"/>
      <c r="AF162" s="35"/>
      <c r="AG162" s="35"/>
      <c r="AH162" s="35"/>
      <c r="AU162" s="19"/>
      <c r="AW162" s="17"/>
      <c r="AY162" s="17"/>
      <c r="BM162" s="12"/>
      <c r="BO162" s="30"/>
      <c r="BU162" s="13"/>
      <c r="BZ162">
        <v>0</v>
      </c>
      <c r="CB162">
        <v>8781933.3000000007</v>
      </c>
      <c r="CC162" s="60"/>
      <c r="CD162">
        <v>0</v>
      </c>
      <c r="CE162" s="60"/>
      <c r="CF162">
        <v>8781933.3000000007</v>
      </c>
      <c r="CG162" s="44"/>
      <c r="CH162">
        <v>8231</v>
      </c>
    </row>
    <row r="163" spans="1:86">
      <c r="A163" s="13"/>
      <c r="C163" s="23"/>
      <c r="E163" s="24"/>
      <c r="G163" s="66"/>
      <c r="I163" s="82"/>
      <c r="J163" s="82"/>
      <c r="K163" s="82"/>
      <c r="L163" s="82"/>
      <c r="M163" s="91"/>
      <c r="O163" s="25"/>
      <c r="Q163" s="24"/>
      <c r="S163" s="49"/>
      <c r="U163" s="66"/>
      <c r="W163" s="91"/>
      <c r="X163" s="91"/>
      <c r="Y163" s="91"/>
      <c r="Z163" s="91"/>
      <c r="AA163" s="91"/>
      <c r="AC163" s="155"/>
      <c r="AE163" s="35"/>
      <c r="AF163" s="35"/>
      <c r="AG163" s="35"/>
      <c r="AH163" s="35"/>
      <c r="AU163" s="19"/>
      <c r="AW163" s="17"/>
      <c r="AY163" s="17"/>
      <c r="BM163" s="12"/>
      <c r="BU163" s="27" t="s">
        <v>114</v>
      </c>
      <c r="CC163" s="60"/>
      <c r="CE163" s="60"/>
      <c r="CF163"/>
      <c r="CG163" s="44"/>
    </row>
    <row r="164" spans="1:86">
      <c r="A164" s="27" t="str">
        <f>+TSPT_COT!A173</f>
        <v>Transport Margin</v>
      </c>
      <c r="C164" s="52">
        <f>C161-C162</f>
        <v>52295758</v>
      </c>
      <c r="E164" s="53">
        <f>E161-E162</f>
        <v>1686965</v>
      </c>
      <c r="G164" s="56"/>
      <c r="I164" s="84">
        <f>I161-I162</f>
        <v>14940037.310000001</v>
      </c>
      <c r="J164" s="83"/>
      <c r="K164" s="84">
        <f>K161-K162</f>
        <v>391547.75</v>
      </c>
      <c r="L164" s="83"/>
      <c r="M164" s="84">
        <f>M161-M162</f>
        <v>15331585.060000001</v>
      </c>
      <c r="O164" s="54">
        <f>O161-O162</f>
        <v>15333</v>
      </c>
      <c r="Q164" s="53">
        <f>Q161-Q162</f>
        <v>670480763</v>
      </c>
      <c r="S164" s="55">
        <f>+S161</f>
        <v>7379987</v>
      </c>
      <c r="U164" s="56"/>
      <c r="W164" s="84">
        <f>+W161-W162</f>
        <v>144348625.28</v>
      </c>
      <c r="X164" s="83"/>
      <c r="Y164" s="84">
        <f>+Y161-Y162</f>
        <v>15530910.950000001</v>
      </c>
      <c r="Z164" s="83"/>
      <c r="AA164" s="84">
        <f>+AA161-AA162</f>
        <v>159939685.11000001</v>
      </c>
      <c r="AC164" s="157">
        <f>+AC161-AC162</f>
        <v>159427</v>
      </c>
      <c r="AE164" s="34"/>
      <c r="AF164" s="35"/>
      <c r="AG164" s="35"/>
      <c r="AH164" s="35"/>
      <c r="AU164" s="19"/>
      <c r="AW164" s="17"/>
      <c r="AY164" s="17"/>
      <c r="BM164" s="12"/>
      <c r="BU164" s="13"/>
      <c r="BV164">
        <v>613986005</v>
      </c>
      <c r="BX164">
        <v>6963534</v>
      </c>
      <c r="CB164">
        <v>129407429.45000003</v>
      </c>
      <c r="CC164" s="60"/>
      <c r="CD164">
        <v>15139363.200000003</v>
      </c>
      <c r="CE164" s="60"/>
      <c r="CF164">
        <v>144606941.52999997</v>
      </c>
      <c r="CG164" s="44"/>
      <c r="CH164">
        <v>132622</v>
      </c>
    </row>
    <row r="165" spans="1:86">
      <c r="A165" s="13"/>
      <c r="C165" s="23"/>
      <c r="E165" s="24"/>
      <c r="G165" s="66"/>
      <c r="I165" s="82"/>
      <c r="J165" s="82"/>
      <c r="K165" s="82"/>
      <c r="L165" s="82"/>
      <c r="M165" s="91"/>
      <c r="O165" s="25"/>
      <c r="Q165" s="24"/>
      <c r="S165" s="49"/>
      <c r="U165" s="66"/>
      <c r="W165" s="91"/>
      <c r="X165" s="91"/>
      <c r="Y165" s="91"/>
      <c r="Z165" s="91"/>
      <c r="AA165" s="91"/>
      <c r="AC165" s="155"/>
      <c r="AE165" s="35"/>
      <c r="AF165" s="35"/>
      <c r="AG165" s="35"/>
      <c r="AH165" s="35"/>
      <c r="AU165" s="19"/>
      <c r="AW165" s="17"/>
      <c r="AY165" s="17"/>
      <c r="BM165" s="12"/>
      <c r="BO165" s="30"/>
      <c r="BU165" s="13"/>
      <c r="CC165" s="60"/>
      <c r="CE165" s="60"/>
      <c r="CF165"/>
      <c r="CG165" s="44"/>
    </row>
    <row r="166" spans="1:86">
      <c r="A166" s="13"/>
      <c r="C166" s="28"/>
      <c r="E166" s="15"/>
      <c r="G166" s="32"/>
      <c r="Q166" s="18"/>
      <c r="U166" s="32"/>
      <c r="W166" s="83"/>
      <c r="X166" s="83"/>
      <c r="Y166" s="83"/>
      <c r="Z166" s="83"/>
      <c r="AA166" s="83"/>
      <c r="AE166" s="35"/>
      <c r="AF166" s="35"/>
      <c r="AG166" s="35"/>
      <c r="AH166" s="35"/>
      <c r="AM166" s="35"/>
      <c r="AO166" s="35"/>
      <c r="AQ166" s="32"/>
      <c r="AS166" s="16"/>
      <c r="AU166" s="19"/>
      <c r="AW166" s="17"/>
      <c r="AY166" s="17"/>
      <c r="BM166" s="12"/>
      <c r="BU166" s="27" t="s">
        <v>115</v>
      </c>
      <c r="CC166" s="60"/>
      <c r="CE166" s="60"/>
      <c r="CF166"/>
      <c r="CG166" s="44"/>
    </row>
    <row r="167" spans="1:86">
      <c r="A167" s="27" t="s">
        <v>116</v>
      </c>
      <c r="C167" s="93"/>
      <c r="E167" s="94"/>
      <c r="F167" s="10"/>
      <c r="G167" s="95"/>
      <c r="I167" s="96">
        <f>23779.97+38624.06</f>
        <v>62404.03</v>
      </c>
      <c r="J167" s="92"/>
      <c r="K167" s="96"/>
      <c r="L167" s="92"/>
      <c r="M167" s="98">
        <f>+K167+I167</f>
        <v>62404.03</v>
      </c>
      <c r="O167" s="97">
        <f>ROUND(I167/1000,0)</f>
        <v>62</v>
      </c>
      <c r="Q167" s="21"/>
      <c r="S167" s="10"/>
      <c r="U167" s="95"/>
      <c r="W167" s="98">
        <f>+CB167+I167</f>
        <v>377649.80000000005</v>
      </c>
      <c r="X167" s="83"/>
      <c r="Y167" s="98"/>
      <c r="Z167" s="83"/>
      <c r="AA167" s="98">
        <f>+W167+Y167</f>
        <v>377649.80000000005</v>
      </c>
      <c r="AC167" s="169">
        <f>ROUND(W167/1000,0)</f>
        <v>378</v>
      </c>
      <c r="AE167" s="35"/>
      <c r="AF167" s="35"/>
      <c r="AG167" s="35"/>
      <c r="AH167" s="35"/>
      <c r="AU167" s="19"/>
      <c r="AW167" s="17"/>
      <c r="AY167" s="17"/>
      <c r="BM167" s="12"/>
      <c r="CB167">
        <v>315245.77</v>
      </c>
      <c r="CC167" s="60"/>
      <c r="CE167" s="60"/>
      <c r="CF167">
        <v>315245.77</v>
      </c>
      <c r="CG167" s="44"/>
      <c r="CH167">
        <v>291</v>
      </c>
    </row>
    <row r="168" spans="1:86">
      <c r="A168" s="13"/>
      <c r="C168" s="23"/>
      <c r="E168" s="24"/>
      <c r="G168" s="66"/>
      <c r="I168" s="82"/>
      <c r="J168" s="82"/>
      <c r="K168" s="82"/>
      <c r="L168" s="82"/>
      <c r="M168" s="91"/>
      <c r="O168" s="25"/>
      <c r="Q168" s="24"/>
      <c r="S168" s="49"/>
      <c r="U168" s="66"/>
      <c r="W168" s="91"/>
      <c r="X168" s="91"/>
      <c r="Y168" s="91"/>
      <c r="Z168" s="91"/>
      <c r="AA168" s="91"/>
      <c r="AC168" s="155"/>
      <c r="AE168" s="35"/>
      <c r="AF168" s="35"/>
      <c r="AG168" s="35"/>
      <c r="AH168" s="35"/>
      <c r="AU168" s="19"/>
      <c r="AW168" s="17"/>
      <c r="AY168" s="17"/>
      <c r="BM168" s="12"/>
      <c r="BO168" s="30"/>
      <c r="CC168" s="60"/>
      <c r="CE168" s="60"/>
      <c r="CF168"/>
      <c r="CG168" s="44"/>
    </row>
    <row r="169" spans="1:86" s="99" customFormat="1">
      <c r="A169" s="13"/>
      <c r="C169" s="14"/>
      <c r="D169"/>
      <c r="E169" s="18"/>
      <c r="F169"/>
      <c r="G169" s="32"/>
      <c r="H169"/>
      <c r="I169" s="4"/>
      <c r="J169" s="4"/>
      <c r="K169" s="4"/>
      <c r="L169" s="4"/>
      <c r="M169" s="4"/>
      <c r="N169"/>
      <c r="O169"/>
      <c r="P169"/>
      <c r="Q169" s="18"/>
      <c r="R169"/>
      <c r="S169"/>
      <c r="T169"/>
      <c r="U169" s="32"/>
      <c r="V169"/>
      <c r="W169" s="83"/>
      <c r="X169" s="83"/>
      <c r="Y169" s="83"/>
      <c r="Z169" s="83"/>
      <c r="AA169" s="83"/>
      <c r="AB169"/>
      <c r="AC169" s="6"/>
      <c r="AD169"/>
      <c r="AE169" s="35"/>
      <c r="AF169" s="35"/>
      <c r="AG169" s="35"/>
      <c r="AH169" s="35"/>
      <c r="AI169"/>
      <c r="AJ169"/>
      <c r="AU169" s="111"/>
      <c r="AW169" s="112"/>
      <c r="AY169" s="112"/>
      <c r="BM169" s="113"/>
      <c r="BU169" s="114" t="s">
        <v>117</v>
      </c>
      <c r="BV169"/>
      <c r="BX169"/>
      <c r="BZ169"/>
      <c r="CB169"/>
      <c r="CC169" s="115"/>
      <c r="CD169"/>
      <c r="CE169" s="115"/>
      <c r="CF169"/>
      <c r="CG169" s="116"/>
      <c r="CH169"/>
    </row>
    <row r="170" spans="1:86" ht="13.8" thickBot="1">
      <c r="A170" s="27" t="s">
        <v>118</v>
      </c>
      <c r="C170" s="100">
        <f>C164+C18+C167</f>
        <v>52295758</v>
      </c>
      <c r="D170" s="99"/>
      <c r="E170" s="101">
        <f>E164+E18+E167</f>
        <v>1688402</v>
      </c>
      <c r="F170" s="99"/>
      <c r="G170" s="102"/>
      <c r="H170" s="99"/>
      <c r="I170" s="103">
        <f>I164+I18+I167</f>
        <v>17335761.470000003</v>
      </c>
      <c r="J170" s="104"/>
      <c r="K170" s="103">
        <f>K164+K18+K167</f>
        <v>391547.75</v>
      </c>
      <c r="L170" s="104"/>
      <c r="M170" s="103">
        <f>M164+M18+M167</f>
        <v>17727309.220000003</v>
      </c>
      <c r="N170" s="99"/>
      <c r="O170" s="105">
        <f>+M170/1000</f>
        <v>17727.309220000003</v>
      </c>
      <c r="P170" s="99"/>
      <c r="Q170" s="101">
        <f>Q167+Q164+Q18</f>
        <v>673413858</v>
      </c>
      <c r="R170" s="99"/>
      <c r="S170" s="106">
        <f>S18+S164+S167</f>
        <v>7388023</v>
      </c>
      <c r="T170" s="99"/>
      <c r="U170" s="102"/>
      <c r="V170" s="99"/>
      <c r="W170" s="107">
        <f>W18+W164+W167</f>
        <v>180928818.16000003</v>
      </c>
      <c r="X170" s="108"/>
      <c r="Y170" s="103">
        <f>Y164+Y18+Y167</f>
        <v>15530910.950000001</v>
      </c>
      <c r="Z170" s="108"/>
      <c r="AA170" s="103">
        <f>AA164+AA18+AA167</f>
        <v>196519877.99000004</v>
      </c>
      <c r="AB170" s="99"/>
      <c r="AC170" s="162">
        <f>+AA170/1000</f>
        <v>196519.87799000004</v>
      </c>
      <c r="AD170" s="99"/>
      <c r="AE170" s="109"/>
      <c r="AF170" s="110"/>
      <c r="AG170" s="110"/>
      <c r="AH170" s="110"/>
      <c r="AI170" s="110"/>
      <c r="AJ170" s="99"/>
      <c r="AU170" s="19"/>
      <c r="AW170" s="17"/>
      <c r="AY170" s="17"/>
      <c r="BM170" s="12"/>
      <c r="BT170" s="35"/>
      <c r="BV170">
        <v>616919100</v>
      </c>
      <c r="BX170">
        <v>6972316</v>
      </c>
      <c r="CB170">
        <v>163593106.29000005</v>
      </c>
      <c r="CC170" s="60"/>
      <c r="CD170">
        <v>15139363.200000003</v>
      </c>
      <c r="CE170" s="60"/>
      <c r="CF170">
        <v>178792618.36999997</v>
      </c>
      <c r="CG170" s="44"/>
      <c r="CH170">
        <v>164592.54711000001</v>
      </c>
    </row>
    <row r="171" spans="1:86" ht="13.8" thickTop="1">
      <c r="A171" s="13"/>
      <c r="C171" s="28"/>
      <c r="E171" s="15"/>
      <c r="G171" s="32"/>
      <c r="I171" s="137"/>
      <c r="Q171" s="15"/>
      <c r="U171" s="32"/>
      <c r="W171" s="83"/>
      <c r="X171" s="83"/>
      <c r="Y171" s="83"/>
      <c r="Z171" s="83"/>
      <c r="AA171" s="83"/>
      <c r="AE171" s="35"/>
      <c r="AF171" s="35"/>
      <c r="AG171" s="35"/>
      <c r="AH171" s="35"/>
      <c r="AU171" s="19"/>
      <c r="AW171" s="17"/>
      <c r="AY171" s="17"/>
      <c r="BM171" s="12"/>
      <c r="BU171" t="s">
        <v>119</v>
      </c>
      <c r="BW171" s="18"/>
      <c r="CC171" s="60"/>
      <c r="CE171" s="60"/>
      <c r="CF171"/>
      <c r="CG171" s="44"/>
    </row>
    <row r="172" spans="1:86">
      <c r="A172" s="13"/>
      <c r="C172" s="14"/>
      <c r="E172" s="18"/>
      <c r="Q172" s="18"/>
      <c r="AE172" s="35"/>
      <c r="AF172" s="35"/>
      <c r="AG172" s="35"/>
      <c r="AH172" s="35"/>
      <c r="AU172" s="19"/>
      <c r="AW172" s="17"/>
      <c r="AY172" s="17"/>
      <c r="BM172" s="12"/>
      <c r="BW172" s="18"/>
      <c r="BX172" s="18"/>
      <c r="CB172" s="60"/>
      <c r="CC172" s="60"/>
      <c r="CD172" s="60"/>
      <c r="CE172" s="60"/>
      <c r="CG172" s="44"/>
      <c r="CH172" s="60"/>
    </row>
    <row r="173" spans="1:86">
      <c r="A173" s="20" t="s">
        <v>120</v>
      </c>
      <c r="C173" s="14"/>
      <c r="E173" s="18"/>
      <c r="G173" s="32"/>
      <c r="K173" s="164">
        <f>+TSPT_COT!K176</f>
        <v>0</v>
      </c>
      <c r="Q173" s="18"/>
      <c r="U173" s="32"/>
      <c r="W173" s="83"/>
      <c r="X173" s="83"/>
      <c r="Y173" s="83">
        <f>+CD173+K173</f>
        <v>7239010.9199999999</v>
      </c>
      <c r="Z173" s="83"/>
      <c r="AA173" s="83"/>
      <c r="CD173">
        <v>7239010.9199999999</v>
      </c>
    </row>
    <row r="174" spans="1:86">
      <c r="O174" s="247"/>
    </row>
    <row r="175" spans="1:86" ht="12.75" customHeight="1">
      <c r="I175" s="153"/>
      <c r="J175" s="152"/>
      <c r="K175" s="153"/>
      <c r="L175" s="152"/>
      <c r="M175" s="239"/>
      <c r="AA175" s="137"/>
    </row>
    <row r="176" spans="1:86">
      <c r="I176" s="153"/>
      <c r="J176" s="152"/>
      <c r="K176" s="153"/>
      <c r="L176" s="152"/>
      <c r="M176" s="153"/>
      <c r="AC176"/>
    </row>
    <row r="177" spans="1:29">
      <c r="A177" t="s">
        <v>121</v>
      </c>
      <c r="C177" s="18"/>
      <c r="E177" s="18"/>
      <c r="G177" s="18"/>
      <c r="H177" s="18"/>
      <c r="I177" s="137"/>
      <c r="K177" s="137"/>
      <c r="M177" s="137"/>
      <c r="U177" s="18"/>
      <c r="AC177"/>
    </row>
    <row r="178" spans="1:29">
      <c r="A178" s="154" t="s">
        <v>122</v>
      </c>
      <c r="C178" s="3">
        <f>+C23+C30+C37+C44+C51+C61+C68+C76+C83+C90+C98+C108+C116+C124+C131+C141+C149</f>
        <v>92663029</v>
      </c>
      <c r="E178" s="3"/>
      <c r="I178" s="4">
        <f>+I23+I30+I37+I44+I51+I61+I68+I76+I83+I90+I98+I108+I116+I124+I131+I141+I149</f>
        <v>11622265.700000001</v>
      </c>
      <c r="K178" s="4">
        <f>+K23+K30+K37+K44+K51+K61+K68+K76+K83+K90+K98+K108+K116+K124+K131+K141+K149</f>
        <v>156353.72999999998</v>
      </c>
      <c r="M178" s="4">
        <f>+M23+M30+M37+M44+M51+M61+M68+M76+M83+M90+M98+M108+M116+M124+M131+M141+M149</f>
        <v>11778619.43</v>
      </c>
      <c r="O178" s="60"/>
      <c r="AC178"/>
    </row>
    <row r="179" spans="1:29">
      <c r="A179" s="154" t="s">
        <v>123</v>
      </c>
      <c r="C179" s="18">
        <f>+C24+C25+C31+C32+C38+C39+C45+C46+C52+C53+C62+C63+C69+C70+C77+C78+C84+C85+C91+C92+C99+C100+C117+C118-C181+C133</f>
        <v>49190630</v>
      </c>
      <c r="E179" s="4"/>
      <c r="I179" s="4">
        <f>+I24+I25+I31+I32+I38+I39+I45+I46+I52+I53+I62+I63+I69+I70+I77+I78+I84+I85+I91+I92+I99+I100+I109+I110+I117+I118+I125+I126+I133+I135+I142+I143+I151+I153-I181</f>
        <v>748140.24999999977</v>
      </c>
      <c r="K179" s="4">
        <f>+K24+K25+K31+K32+K38+K39+K45+K46+K52+K53+K62+K63+K69+K70+K77+K78+K84+K85+K91+K92+K99+K100+K109+K110+K117+K118+K125+K126+K133+K135+K142+K143+K151+K153</f>
        <v>228983.51</v>
      </c>
      <c r="M179" s="4">
        <f>+M24+M25+M31+M32+M38+M39+M45+M46+M52+M53+M62+M63+M69+M70+M77+M78+M84+M85+M91+M92+M99+M100+M109+M110+M117+M118+M125+M126+M133+M135+M142+M143+M151+M153-M181</f>
        <v>977123.75999999978</v>
      </c>
      <c r="O179" s="60"/>
      <c r="AC179"/>
    </row>
    <row r="180" spans="1:29">
      <c r="A180" s="154" t="s">
        <v>124</v>
      </c>
      <c r="C180" s="18">
        <f>+C26+C33+C40+C47+C54+C64+C71+C79+C86+C93+C101+C119</f>
        <v>574922</v>
      </c>
      <c r="E180" s="4"/>
      <c r="I180" s="4">
        <f>+I26+I33+I40+I47+I54+I64+I71+I79+I86+I93+I101+I111+I119+I127+I134+I144+I152+I133</f>
        <v>10636.06</v>
      </c>
      <c r="K180" s="4">
        <f>+K26+K33+K40+K47+K54+K64+K71+K79+K86+K93+K101+K111+K119+K127+K134+K144+K152</f>
        <v>0</v>
      </c>
      <c r="M180" s="4">
        <f>+M26+M33+M40+M47+M54+M64+M71+M79+M86+M93+M101+M111+M119+M127+M134+M144+M152</f>
        <v>10636.06</v>
      </c>
      <c r="O180" s="60"/>
      <c r="AC180"/>
    </row>
    <row r="181" spans="1:29">
      <c r="A181" s="154" t="s">
        <v>125</v>
      </c>
      <c r="C181" s="18"/>
      <c r="E181" s="18"/>
      <c r="I181" s="4">
        <f>168.63+46.43+220.75</f>
        <v>435.81</v>
      </c>
      <c r="M181" s="4">
        <f>+K181+I181</f>
        <v>435.81</v>
      </c>
      <c r="O181" s="60"/>
      <c r="AC181"/>
    </row>
    <row r="182" spans="1:29">
      <c r="A182" s="154" t="s">
        <v>126</v>
      </c>
      <c r="C182" s="238">
        <f>+C27+C34+C41+C48+C55+C65+C72+C80+C87+C94+C102+C120+C73+C132</f>
        <v>2530206</v>
      </c>
      <c r="I182" s="211">
        <f>+I27+I34+I41+I48+I55+I65+I72+I73+I80+I87+I94+I102+I112+I120+I128+I132+I145+I150</f>
        <v>140218.57</v>
      </c>
      <c r="K182" s="211">
        <f>+K27+K34+K41+K48+K55+K65+K72+K73+K80+K87+K94+K102+K112+K120+K128+K132+K145+K150</f>
        <v>6210.51</v>
      </c>
      <c r="M182" s="211">
        <f>+M27+M34+M41+M48+M55+M65+M72+M73+M80+M87+M94+M102+M112+M120+M128+M132+M145+M150</f>
        <v>146429.07999999999</v>
      </c>
      <c r="O182" s="60"/>
      <c r="Q182" s="60"/>
      <c r="AC182"/>
    </row>
    <row r="183" spans="1:29">
      <c r="C183" s="18">
        <f>SUM(B179:C182)</f>
        <v>52295758</v>
      </c>
      <c r="E183" s="3"/>
      <c r="I183" s="239">
        <f>SUM(I178:I182)</f>
        <v>12521696.390000002</v>
      </c>
      <c r="K183" s="239">
        <f>SUM(K178:K182)</f>
        <v>391547.75</v>
      </c>
      <c r="M183" s="239">
        <f>SUM(M178:M182)</f>
        <v>12913244.140000001</v>
      </c>
      <c r="AC183"/>
    </row>
    <row r="184" spans="1:29">
      <c r="C184" s="18"/>
      <c r="E184" s="3"/>
      <c r="I184" s="239"/>
      <c r="O184" s="60"/>
      <c r="AC184"/>
    </row>
    <row r="185" spans="1:29">
      <c r="A185" t="s">
        <v>127</v>
      </c>
      <c r="AC185"/>
    </row>
    <row r="186" spans="1:29">
      <c r="A186" s="154" t="s">
        <v>128</v>
      </c>
      <c r="C186" s="18"/>
      <c r="I186" s="153">
        <f>+I159</f>
        <v>-12500</v>
      </c>
      <c r="K186" s="153">
        <f>+K159</f>
        <v>0</v>
      </c>
      <c r="M186" s="153">
        <f>+M159</f>
        <v>-12500</v>
      </c>
      <c r="AC186"/>
    </row>
    <row r="187" spans="1:29">
      <c r="A187" s="154" t="s">
        <v>129</v>
      </c>
      <c r="I187" s="153">
        <f>+I157</f>
        <v>-15578.07</v>
      </c>
      <c r="K187" s="153">
        <f>+K157</f>
        <v>0</v>
      </c>
      <c r="M187" s="153">
        <f>+M157</f>
        <v>-15578.07</v>
      </c>
      <c r="AC187"/>
    </row>
    <row r="188" spans="1:29">
      <c r="A188" s="154" t="s">
        <v>130</v>
      </c>
      <c r="I188" s="153">
        <v>0</v>
      </c>
      <c r="K188" s="153">
        <f>+K158</f>
        <v>0</v>
      </c>
      <c r="M188" s="153">
        <f>+M158</f>
        <v>-397226.85</v>
      </c>
      <c r="AC188"/>
    </row>
    <row r="189" spans="1:29">
      <c r="A189" s="154"/>
      <c r="AC189"/>
    </row>
    <row r="190" spans="1:29">
      <c r="A190" t="s">
        <v>131</v>
      </c>
      <c r="C190" s="18"/>
      <c r="I190" s="137"/>
      <c r="K190" s="137"/>
      <c r="AC190"/>
    </row>
    <row r="191" spans="1:29">
      <c r="A191" s="154" t="s">
        <v>122</v>
      </c>
      <c r="C191" s="3">
        <f>+C178</f>
        <v>92663029</v>
      </c>
      <c r="I191" s="151">
        <f>+I178</f>
        <v>11622265.700000001</v>
      </c>
      <c r="K191" s="151">
        <f>+K178</f>
        <v>156353.72999999998</v>
      </c>
      <c r="M191" s="151">
        <f>+M178+M188</f>
        <v>11381392.58</v>
      </c>
      <c r="O191" s="60">
        <f>+K191+I191-M191</f>
        <v>397226.85000000149</v>
      </c>
      <c r="AC191"/>
    </row>
    <row r="192" spans="1:29">
      <c r="A192" s="154" t="s">
        <v>123</v>
      </c>
      <c r="C192" s="18">
        <f>+C179</f>
        <v>49190630</v>
      </c>
      <c r="I192" s="4">
        <f>+I179+I186+I187</f>
        <v>720062.17999999982</v>
      </c>
      <c r="K192" s="4">
        <f>+K179-K186-K187</f>
        <v>228983.51</v>
      </c>
      <c r="M192" s="4">
        <f>+M179+M186+M187</f>
        <v>949045.68999999983</v>
      </c>
      <c r="O192" s="60">
        <f>+K192+I192-M192</f>
        <v>0</v>
      </c>
      <c r="AC192"/>
    </row>
    <row r="193" spans="1:29">
      <c r="A193" s="154" t="s">
        <v>124</v>
      </c>
      <c r="C193" s="18">
        <f>+C180</f>
        <v>574922</v>
      </c>
      <c r="I193" s="239">
        <f>+I180</f>
        <v>10636.06</v>
      </c>
      <c r="J193" s="152"/>
      <c r="K193" s="239">
        <f>+K180</f>
        <v>0</v>
      </c>
      <c r="L193" s="152"/>
      <c r="M193" s="239">
        <f>+M180</f>
        <v>10636.06</v>
      </c>
      <c r="O193" s="60">
        <f>+K193+I193-M193</f>
        <v>0</v>
      </c>
      <c r="AC193"/>
    </row>
    <row r="194" spans="1:29">
      <c r="A194" s="154" t="s">
        <v>125</v>
      </c>
      <c r="C194" s="18">
        <f>+C181</f>
        <v>0</v>
      </c>
      <c r="I194" s="152">
        <f>+I181</f>
        <v>435.81</v>
      </c>
      <c r="J194" s="152">
        <f>SUM(J190:J193)</f>
        <v>0</v>
      </c>
      <c r="K194" s="152">
        <f>+K181</f>
        <v>0</v>
      </c>
      <c r="L194" s="152">
        <f>SUM(L190:L193)</f>
        <v>0</v>
      </c>
      <c r="M194" s="152">
        <f>+M181</f>
        <v>435.81</v>
      </c>
      <c r="O194" s="60">
        <f>+K194+I194-M194</f>
        <v>0</v>
      </c>
      <c r="AC194"/>
    </row>
    <row r="195" spans="1:29">
      <c r="A195" s="154" t="s">
        <v>126</v>
      </c>
      <c r="C195" s="238">
        <f>+C182</f>
        <v>2530206</v>
      </c>
      <c r="I195" s="151">
        <f>+I182</f>
        <v>140218.57</v>
      </c>
      <c r="K195" s="151">
        <f>+K182</f>
        <v>6210.51</v>
      </c>
      <c r="M195" s="151">
        <f>+M182</f>
        <v>146429.07999999999</v>
      </c>
      <c r="O195" s="60">
        <f>+K195+I195-M195</f>
        <v>0</v>
      </c>
    </row>
    <row r="196" spans="1:29" ht="13.8" thickBot="1">
      <c r="C196" s="241">
        <f>SUM(B192:C195)</f>
        <v>52295758</v>
      </c>
      <c r="I196" s="240">
        <f>SUM(I191:I195)</f>
        <v>12493618.320000002</v>
      </c>
      <c r="K196" s="240">
        <f>SUM(K191:K195)</f>
        <v>391547.75</v>
      </c>
      <c r="M196" s="240">
        <f>SUM(M191:M195)</f>
        <v>12487939.220000001</v>
      </c>
    </row>
    <row r="197" spans="1:29" ht="13.8" thickTop="1">
      <c r="C197" s="44">
        <f>+C196-C161</f>
        <v>0</v>
      </c>
    </row>
    <row r="198" spans="1:29">
      <c r="M198" s="4">
        <f>+M195+M194+M192</f>
        <v>1095910.5799999998</v>
      </c>
    </row>
  </sheetData>
  <phoneticPr fontId="0" type="noConversion"/>
  <printOptions horizontalCentered="1"/>
  <pageMargins left="0" right="0" top="0.75" bottom="0.75" header="0.5" footer="0.5"/>
  <pageSetup scale="44" fitToHeight="2" orientation="landscape" horizontalDpi="4294967292" verticalDpi="300" r:id="rId1"/>
  <headerFooter alignWithMargins="0">
    <oddHeader xml:space="preserve">&amp;CTRANSWESTERN PIPELINE COMPANY
MANAGEMENT REPORT
DECEMBER, 2001
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82"/>
  <sheetViews>
    <sheetView topLeftCell="A159" workbookViewId="0">
      <pane xSplit="4200"/>
      <selection activeCell="A96" sqref="A96:IV173"/>
      <selection pane="topRight" activeCell="A94" sqref="A94"/>
    </sheetView>
  </sheetViews>
  <sheetFormatPr defaultColWidth="9.109375" defaultRowHeight="13.2"/>
  <cols>
    <col min="1" max="1" width="36.33203125" style="163" customWidth="1"/>
    <col min="2" max="2" width="1.6640625" style="163" customWidth="1"/>
    <col min="3" max="3" width="12.6640625" style="163" customWidth="1"/>
    <col min="4" max="4" width="1.6640625" style="163" customWidth="1"/>
    <col min="5" max="5" width="12.6640625" style="163" customWidth="1"/>
    <col min="6" max="6" width="1.6640625" style="163" customWidth="1"/>
    <col min="7" max="7" width="12" style="163" customWidth="1"/>
    <col min="8" max="8" width="1.6640625" style="163" customWidth="1"/>
    <col min="9" max="9" width="15.6640625" style="164" customWidth="1"/>
    <col min="10" max="10" width="1.6640625" style="163" customWidth="1"/>
    <col min="11" max="11" width="15.6640625" style="164" customWidth="1"/>
    <col min="12" max="12" width="1.6640625" style="163" customWidth="1"/>
    <col min="13" max="13" width="15.6640625" style="164" customWidth="1"/>
    <col min="14" max="14" width="1.6640625" style="163" customWidth="1"/>
    <col min="15" max="15" width="10.6640625" style="163" customWidth="1"/>
    <col min="16" max="16" width="2.6640625" style="163" customWidth="1"/>
    <col min="17" max="17" width="10.6640625" style="163" customWidth="1"/>
    <col min="18" max="18" width="1.6640625" style="163" customWidth="1"/>
    <col min="19" max="19" width="8.6640625" style="163" customWidth="1"/>
    <col min="20" max="20" width="1.6640625" style="163" customWidth="1"/>
    <col min="21" max="21" width="12" style="163" customWidth="1"/>
    <col min="22" max="22" width="1.6640625" style="163" customWidth="1"/>
    <col min="23" max="23" width="14.6640625" style="164" customWidth="1"/>
    <col min="24" max="24" width="1.6640625" style="163" customWidth="1"/>
    <col min="25" max="25" width="12.6640625" style="163" customWidth="1"/>
    <col min="26" max="26" width="1.6640625" style="163" customWidth="1"/>
    <col min="27" max="27" width="14.6640625" style="163" customWidth="1"/>
    <col min="28" max="28" width="1.6640625" style="163" customWidth="1"/>
    <col min="29" max="29" width="8.88671875" style="163" customWidth="1"/>
    <col min="30" max="30" width="2.6640625" style="163" customWidth="1"/>
    <col min="31" max="31" width="12.6640625" style="163" customWidth="1"/>
    <col min="32" max="32" width="1.6640625" style="163" customWidth="1"/>
    <col min="33" max="33" width="9.6640625" style="163" customWidth="1"/>
    <col min="34" max="34" width="1.6640625" style="163" customWidth="1"/>
    <col min="35" max="35" width="12" style="163" customWidth="1"/>
    <col min="36" max="36" width="1.6640625" style="163" customWidth="1"/>
    <col min="37" max="37" width="14.6640625" style="163" customWidth="1"/>
    <col min="38" max="38" width="1.6640625" style="163" customWidth="1"/>
    <col min="39" max="39" width="13.88671875" style="163" customWidth="1"/>
    <col min="40" max="40" width="1.6640625" style="163" customWidth="1"/>
    <col min="41" max="41" width="14.6640625" style="163" customWidth="1"/>
    <col min="42" max="42" width="1.6640625" style="163" customWidth="1"/>
    <col min="43" max="43" width="8.88671875" style="163" customWidth="1"/>
    <col min="44" max="44" width="2.6640625" style="163" customWidth="1"/>
    <col min="45" max="45" width="12.6640625" style="163" customWidth="1"/>
    <col min="46" max="46" width="1.6640625" style="163" customWidth="1"/>
    <col min="47" max="47" width="12.6640625" style="163" customWidth="1"/>
    <col min="48" max="48" width="1.6640625" style="163" customWidth="1"/>
    <col min="49" max="49" width="15.5546875" style="163" customWidth="1"/>
    <col min="50" max="50" width="1.6640625" style="163" customWidth="1"/>
    <col min="51" max="51" width="15.6640625" style="163" customWidth="1"/>
    <col min="52" max="52" width="1.6640625" style="163" customWidth="1"/>
    <col min="53" max="53" width="15.6640625" style="163" customWidth="1"/>
    <col min="54" max="54" width="2.6640625" style="163" customWidth="1"/>
    <col min="55" max="55" width="15.6640625" style="163" customWidth="1"/>
    <col min="56" max="56" width="1.6640625" style="163" customWidth="1"/>
    <col min="57" max="57" width="9.44140625" style="172" customWidth="1"/>
    <col min="58" max="59" width="13.88671875" style="163" customWidth="1"/>
    <col min="60" max="16384" width="9.109375" style="163"/>
  </cols>
  <sheetData>
    <row r="1" spans="1:57">
      <c r="A1" s="163" t="str">
        <f>+SLS_COS!A1</f>
        <v>Transwestern Pipeline Company</v>
      </c>
      <c r="O1" s="163" t="s">
        <v>48</v>
      </c>
      <c r="AW1" s="315" t="str">
        <f>+SLS_COS!AR1</f>
        <v>Month</v>
      </c>
      <c r="AX1" s="260"/>
      <c r="AY1" s="260" t="str">
        <f>+SLS_COS!AT1</f>
        <v>Current</v>
      </c>
      <c r="AZ1" s="260"/>
      <c r="BA1" s="260" t="str">
        <f>+SLS_COS!AV1</f>
        <v>December</v>
      </c>
      <c r="BB1" s="260"/>
      <c r="BC1" s="316">
        <f>+SLS_COS!AX1</f>
        <v>31</v>
      </c>
    </row>
    <row r="2" spans="1:57">
      <c r="A2" s="163" t="s">
        <v>132</v>
      </c>
      <c r="C2" s="248"/>
      <c r="AW2" s="317"/>
      <c r="AX2" s="174"/>
      <c r="AY2" s="174" t="str">
        <f>+SLS_COS!AT2</f>
        <v>Previous</v>
      </c>
      <c r="AZ2" s="174"/>
      <c r="BA2" s="174" t="str">
        <f>+SLS_COS!AV2</f>
        <v>November</v>
      </c>
      <c r="BB2" s="174"/>
      <c r="BC2" s="318">
        <f>+SLS_COS!AX2</f>
        <v>30</v>
      </c>
    </row>
    <row r="3" spans="1:57">
      <c r="A3" s="163" t="str">
        <f>+SLS_COS!A3</f>
        <v>December, 2001</v>
      </c>
      <c r="C3" s="248"/>
      <c r="AW3" s="319"/>
      <c r="AX3" s="178"/>
      <c r="AY3" s="178"/>
      <c r="AZ3" s="178"/>
      <c r="BA3" s="178" t="str">
        <f>+SLS_COS!AV3</f>
        <v>Prior Avg</v>
      </c>
      <c r="BB3" s="178">
        <f>+SLS_COS!AW3</f>
        <v>12</v>
      </c>
      <c r="BC3" s="320">
        <f>+BE3/BB3</f>
        <v>30.416666666666668</v>
      </c>
      <c r="BE3" s="165">
        <f>+SLS_COS!AZ3</f>
        <v>365</v>
      </c>
    </row>
    <row r="4" spans="1:57">
      <c r="C4" s="248"/>
    </row>
    <row r="5" spans="1:57">
      <c r="A5" s="257"/>
      <c r="C5" s="248"/>
      <c r="E5" s="321" t="s">
        <v>133</v>
      </c>
      <c r="J5" s="322"/>
      <c r="L5" s="322"/>
      <c r="Q5" s="184"/>
      <c r="X5" s="323"/>
      <c r="Y5" s="323"/>
      <c r="Z5" s="323"/>
      <c r="AA5" s="323"/>
      <c r="AK5" s="192"/>
      <c r="AM5" s="323"/>
      <c r="AO5" s="323"/>
      <c r="BD5" s="174"/>
    </row>
    <row r="6" spans="1:57">
      <c r="A6" s="165"/>
      <c r="C6" s="248"/>
      <c r="D6" s="275"/>
      <c r="E6" s="324"/>
      <c r="F6" s="275"/>
      <c r="G6" s="275"/>
      <c r="H6" s="275"/>
      <c r="I6" s="278"/>
      <c r="J6" s="325"/>
      <c r="K6" s="278"/>
      <c r="L6" s="325"/>
      <c r="M6" s="278"/>
      <c r="N6" s="275"/>
      <c r="O6" s="275"/>
      <c r="Q6" s="274" t="str">
        <f>+SLS_COS!N6</f>
        <v>November, 2001</v>
      </c>
      <c r="R6" s="275"/>
      <c r="S6" s="275"/>
      <c r="T6" s="275"/>
      <c r="U6" s="275"/>
      <c r="V6" s="275"/>
      <c r="W6" s="278"/>
      <c r="X6" s="326"/>
      <c r="Y6" s="326"/>
      <c r="Z6" s="326"/>
      <c r="AA6" s="326"/>
      <c r="AB6" s="275"/>
      <c r="AC6" s="275"/>
      <c r="AE6" s="275" t="str">
        <f>+SLS_COS!AH6</f>
        <v>Prior Periods</v>
      </c>
      <c r="AF6" s="275"/>
      <c r="AG6" s="275"/>
      <c r="AH6" s="275"/>
      <c r="AI6" s="275"/>
      <c r="AJ6" s="275"/>
      <c r="AK6" s="327"/>
      <c r="AL6" s="275"/>
      <c r="AM6" s="326"/>
      <c r="AN6" s="275"/>
      <c r="AO6" s="326"/>
      <c r="AP6" s="275"/>
      <c r="AQ6" s="275"/>
      <c r="AS6" s="275" t="str">
        <f>+SLS_COS!AR6</f>
        <v>Accounting Month Total</v>
      </c>
      <c r="AT6" s="275"/>
      <c r="AU6" s="275"/>
      <c r="AV6" s="275"/>
      <c r="AW6" s="275"/>
      <c r="AX6" s="275"/>
      <c r="AY6" s="275"/>
      <c r="AZ6" s="275"/>
      <c r="BA6" s="275"/>
      <c r="BB6" s="275"/>
      <c r="BC6" s="275"/>
      <c r="BD6" s="275"/>
      <c r="BE6" s="328"/>
    </row>
    <row r="7" spans="1:57">
      <c r="A7" s="257"/>
      <c r="C7" s="181"/>
      <c r="E7" s="321"/>
      <c r="J7" s="322"/>
      <c r="L7" s="322"/>
      <c r="Q7" s="184"/>
      <c r="X7" s="323"/>
      <c r="Y7" s="323"/>
      <c r="Z7" s="323"/>
      <c r="AA7" s="323"/>
      <c r="AK7" s="192"/>
      <c r="AM7" s="323"/>
      <c r="AO7" s="323"/>
      <c r="BD7" s="174"/>
    </row>
    <row r="8" spans="1:57">
      <c r="A8" s="257"/>
      <c r="C8" s="329"/>
      <c r="E8" s="330" t="s">
        <v>12</v>
      </c>
      <c r="J8" s="322"/>
      <c r="K8" s="293" t="s">
        <v>54</v>
      </c>
      <c r="L8" s="331"/>
      <c r="M8" s="293" t="s">
        <v>55</v>
      </c>
      <c r="N8" s="331"/>
      <c r="O8" s="163" t="s">
        <v>13</v>
      </c>
      <c r="Q8" s="329"/>
      <c r="S8" s="330" t="s">
        <v>12</v>
      </c>
      <c r="X8" s="322"/>
      <c r="Y8" s="332" t="s">
        <v>54</v>
      </c>
      <c r="Z8" s="331"/>
      <c r="AA8" s="331" t="s">
        <v>55</v>
      </c>
      <c r="AB8" s="331"/>
      <c r="AC8" s="163" t="s">
        <v>13</v>
      </c>
      <c r="AE8" s="329"/>
      <c r="AG8" s="330" t="s">
        <v>12</v>
      </c>
      <c r="AK8" s="333"/>
      <c r="AL8" s="322"/>
      <c r="AM8" s="332" t="s">
        <v>54</v>
      </c>
      <c r="AN8" s="331"/>
      <c r="AO8" s="331" t="s">
        <v>55</v>
      </c>
      <c r="AP8" s="331"/>
      <c r="AQ8" s="163" t="s">
        <v>13</v>
      </c>
      <c r="AS8" s="329"/>
      <c r="AU8" s="330" t="s">
        <v>12</v>
      </c>
      <c r="AY8" s="333"/>
      <c r="AZ8" s="322"/>
      <c r="BA8" s="332" t="s">
        <v>54</v>
      </c>
      <c r="BB8" s="331"/>
      <c r="BC8" s="331" t="s">
        <v>55</v>
      </c>
      <c r="BD8" s="331"/>
      <c r="BE8" s="172" t="s">
        <v>13</v>
      </c>
    </row>
    <row r="9" spans="1:57">
      <c r="A9" s="257"/>
      <c r="C9" s="334" t="s">
        <v>0</v>
      </c>
      <c r="E9" s="335" t="s">
        <v>14</v>
      </c>
      <c r="G9" s="306" t="s">
        <v>15</v>
      </c>
      <c r="I9" s="307" t="s">
        <v>56</v>
      </c>
      <c r="J9" s="336"/>
      <c r="K9" s="307" t="s">
        <v>57</v>
      </c>
      <c r="L9" s="331"/>
      <c r="M9" s="307" t="s">
        <v>58</v>
      </c>
      <c r="N9" s="331"/>
      <c r="O9" s="306" t="s">
        <v>16</v>
      </c>
      <c r="Q9" s="334" t="s">
        <v>0</v>
      </c>
      <c r="S9" s="335" t="s">
        <v>14</v>
      </c>
      <c r="U9" s="306" t="s">
        <v>15</v>
      </c>
      <c r="W9" s="307" t="s">
        <v>56</v>
      </c>
      <c r="X9" s="336"/>
      <c r="Y9" s="337" t="s">
        <v>57</v>
      </c>
      <c r="Z9" s="331"/>
      <c r="AA9" s="338" t="s">
        <v>58</v>
      </c>
      <c r="AB9" s="331"/>
      <c r="AC9" s="306" t="s">
        <v>16</v>
      </c>
      <c r="AE9" s="334" t="s">
        <v>0</v>
      </c>
      <c r="AG9" s="335" t="s">
        <v>14</v>
      </c>
      <c r="AI9" s="306" t="s">
        <v>15</v>
      </c>
      <c r="AK9" s="337" t="s">
        <v>56</v>
      </c>
      <c r="AL9" s="336"/>
      <c r="AM9" s="337" t="s">
        <v>57</v>
      </c>
      <c r="AN9" s="331"/>
      <c r="AO9" s="338" t="s">
        <v>58</v>
      </c>
      <c r="AP9" s="331"/>
      <c r="AQ9" s="306" t="s">
        <v>16</v>
      </c>
      <c r="AS9" s="334" t="s">
        <v>0</v>
      </c>
      <c r="AU9" s="335" t="s">
        <v>14</v>
      </c>
      <c r="AW9" s="306" t="s">
        <v>15</v>
      </c>
      <c r="AY9" s="337" t="s">
        <v>56</v>
      </c>
      <c r="AZ9" s="336"/>
      <c r="BA9" s="337" t="s">
        <v>57</v>
      </c>
      <c r="BB9" s="331"/>
      <c r="BC9" s="338" t="s">
        <v>58</v>
      </c>
      <c r="BD9" s="331"/>
      <c r="BE9" s="339" t="s">
        <v>16</v>
      </c>
    </row>
    <row r="10" spans="1:57">
      <c r="A10" s="340" t="s">
        <v>134</v>
      </c>
      <c r="C10" s="341"/>
      <c r="E10" s="342"/>
      <c r="G10" s="343"/>
      <c r="I10" s="344"/>
      <c r="J10" s="345"/>
      <c r="K10" s="344"/>
      <c r="L10" s="346"/>
      <c r="M10" s="344"/>
      <c r="N10" s="346"/>
      <c r="O10" s="343"/>
      <c r="Q10" s="347"/>
      <c r="S10" s="343"/>
      <c r="U10" s="343"/>
      <c r="W10" s="344"/>
      <c r="X10" s="346"/>
      <c r="Y10" s="346"/>
      <c r="Z10" s="346"/>
      <c r="AA10" s="346"/>
      <c r="AC10" s="343"/>
      <c r="AE10" s="343"/>
      <c r="AG10" s="343"/>
      <c r="AI10" s="343"/>
      <c r="AK10" s="348"/>
      <c r="AM10" s="346"/>
      <c r="AO10" s="346"/>
      <c r="AQ10" s="343"/>
      <c r="AS10" s="343"/>
      <c r="AU10" s="343"/>
      <c r="AW10" s="343"/>
      <c r="AX10" s="343"/>
      <c r="AY10" s="343"/>
      <c r="AZ10" s="343"/>
      <c r="BA10" s="343"/>
      <c r="BB10" s="343"/>
      <c r="BC10" s="343"/>
      <c r="BD10" s="174"/>
      <c r="BE10" s="349"/>
    </row>
    <row r="11" spans="1:57">
      <c r="C11" s="257"/>
      <c r="E11" s="321"/>
      <c r="I11" s="350"/>
      <c r="J11" s="351"/>
      <c r="K11" s="350"/>
      <c r="L11" s="351"/>
      <c r="Q11" s="184"/>
      <c r="X11" s="323"/>
      <c r="Y11" s="323"/>
      <c r="Z11" s="323"/>
      <c r="AA11" s="323"/>
      <c r="AK11" s="192"/>
      <c r="AM11" s="323"/>
      <c r="AO11" s="323"/>
      <c r="AY11" s="250" t="s">
        <v>48</v>
      </c>
      <c r="AZ11" s="250"/>
      <c r="BA11" s="250"/>
      <c r="BB11" s="250"/>
      <c r="BC11" s="250"/>
      <c r="BD11" s="174"/>
    </row>
    <row r="12" spans="1:57">
      <c r="A12" s="352" t="s">
        <v>48</v>
      </c>
      <c r="C12" s="257"/>
      <c r="E12" s="321"/>
      <c r="G12" s="353"/>
      <c r="I12" s="248"/>
      <c r="J12" s="354"/>
      <c r="K12" s="248"/>
      <c r="L12" s="354"/>
      <c r="O12" s="355"/>
      <c r="Q12" s="321"/>
      <c r="S12" s="356"/>
      <c r="U12" s="353"/>
      <c r="W12" s="248"/>
      <c r="X12" s="357"/>
      <c r="Y12" s="357"/>
      <c r="Z12" s="357"/>
      <c r="AA12" s="357"/>
      <c r="AC12" s="355">
        <f>ROUND(AA12/1000,0)</f>
        <v>0</v>
      </c>
      <c r="AE12" s="358"/>
      <c r="AG12" s="356"/>
      <c r="AI12" s="353"/>
      <c r="AK12" s="359"/>
      <c r="AM12" s="323"/>
      <c r="AO12" s="323"/>
      <c r="AQ12" s="355"/>
      <c r="AS12" s="321"/>
      <c r="AU12" s="356"/>
      <c r="AW12" s="353"/>
      <c r="AX12" s="353"/>
      <c r="AY12" s="359"/>
      <c r="AZ12" s="359"/>
      <c r="BA12" s="359"/>
      <c r="BB12" s="359"/>
      <c r="BC12" s="359"/>
      <c r="BD12" s="174"/>
      <c r="BE12" s="360"/>
    </row>
    <row r="13" spans="1:57">
      <c r="A13" s="361" t="s">
        <v>73</v>
      </c>
      <c r="C13" s="257">
        <f>3565000+4650000</f>
        <v>8215000</v>
      </c>
      <c r="E13" s="321">
        <f>ROUND(C13/$BC$1,0)</f>
        <v>265000</v>
      </c>
      <c r="G13" s="353">
        <f t="shared" ref="G13:G18" si="0">IF(I13=0,0,I13/C13)</f>
        <v>0.26279622763237975</v>
      </c>
      <c r="I13" s="248">
        <f>-K13+2221971.51</f>
        <v>2158871.0099999998</v>
      </c>
      <c r="J13" s="354"/>
      <c r="K13" s="248">
        <f>25900.5+37200</f>
        <v>63100.5</v>
      </c>
      <c r="L13" s="354"/>
      <c r="M13" s="164">
        <f>+I13+K13</f>
        <v>2221971.5099999998</v>
      </c>
      <c r="O13" s="355">
        <f>ROUND(M13/1000,0)</f>
        <v>2222</v>
      </c>
      <c r="Q13" s="321"/>
      <c r="S13" s="356">
        <f>ROUND(Q13/$BC$2,0)</f>
        <v>0</v>
      </c>
      <c r="U13" s="353">
        <f t="shared" ref="U13:U18" si="1">IF(W13=0,0,W13/Q13)</f>
        <v>0</v>
      </c>
      <c r="W13" s="248">
        <f>-Y13</f>
        <v>0</v>
      </c>
      <c r="X13" s="357"/>
      <c r="Y13" s="248">
        <v>0</v>
      </c>
      <c r="Z13" s="357"/>
      <c r="AA13" s="357">
        <f>+W13+Y13</f>
        <v>0</v>
      </c>
      <c r="AC13" s="355">
        <f>ROUND(AA13/1000,0)</f>
        <v>0</v>
      </c>
      <c r="AE13" s="356">
        <v>0</v>
      </c>
      <c r="AG13" s="356">
        <f>ROUND(AE13/$BC$3,0)</f>
        <v>0</v>
      </c>
      <c r="AI13" s="353">
        <f>IF(AK13=0,0,AK13/AE13)</f>
        <v>0</v>
      </c>
      <c r="AK13" s="248"/>
      <c r="AL13" s="164"/>
      <c r="AM13" s="164">
        <v>0</v>
      </c>
      <c r="AO13" s="323">
        <f>+AK13+AM13</f>
        <v>0</v>
      </c>
      <c r="AQ13" s="355">
        <f t="shared" ref="AQ13:AQ38" si="2">ROUND(AK13/1000,0)</f>
        <v>0</v>
      </c>
      <c r="AS13" s="321">
        <f>+AE13+Q13+C13</f>
        <v>8215000</v>
      </c>
      <c r="AU13" s="321">
        <f>+AG13+S13+E13</f>
        <v>265000</v>
      </c>
      <c r="AW13" s="353">
        <f>IF(AY13=0,0,AY13/AS13)</f>
        <v>0.26279622763237975</v>
      </c>
      <c r="AX13" s="353"/>
      <c r="AY13" s="359">
        <f>+AK13+W13+I13</f>
        <v>2158871.0099999998</v>
      </c>
      <c r="AZ13" s="359"/>
      <c r="BA13" s="359">
        <f>+AM13+Y13+K13</f>
        <v>63100.5</v>
      </c>
      <c r="BB13" s="359"/>
      <c r="BC13" s="359">
        <f>+AO13+AA13+M13</f>
        <v>2221971.5099999998</v>
      </c>
      <c r="BD13" s="174"/>
      <c r="BE13" s="360">
        <f>ROUND(BC13/1000,0)</f>
        <v>2222</v>
      </c>
    </row>
    <row r="14" spans="1:57">
      <c r="A14" s="361" t="s">
        <v>92</v>
      </c>
      <c r="C14" s="257">
        <v>13864544</v>
      </c>
      <c r="E14" s="321">
        <f>ROUND(C14/$BC$1,0)</f>
        <v>447243</v>
      </c>
      <c r="G14" s="353">
        <f t="shared" si="0"/>
        <v>1.9829012046844095E-2</v>
      </c>
      <c r="I14" s="248">
        <f>-K14+396771.89</f>
        <v>274920.21000000002</v>
      </c>
      <c r="J14" s="354"/>
      <c r="K14" s="248">
        <v>121851.68</v>
      </c>
      <c r="L14" s="354"/>
      <c r="M14" s="164">
        <f>+I14+K14</f>
        <v>396771.89</v>
      </c>
      <c r="O14" s="355">
        <f>ROUND(M14/1000,0)</f>
        <v>397</v>
      </c>
      <c r="Q14" s="321"/>
      <c r="S14" s="356">
        <f>ROUND(Q14/$BC$2,0)</f>
        <v>0</v>
      </c>
      <c r="U14" s="353">
        <f t="shared" si="1"/>
        <v>0</v>
      </c>
      <c r="W14" s="248">
        <f>-Y14</f>
        <v>0</v>
      </c>
      <c r="X14" s="357"/>
      <c r="Y14" s="248">
        <v>0</v>
      </c>
      <c r="Z14" s="357"/>
      <c r="AA14" s="357">
        <f>+W14+Y14</f>
        <v>0</v>
      </c>
      <c r="AC14" s="355">
        <f>ROUND(AA14/1000,0)</f>
        <v>0</v>
      </c>
      <c r="AE14" s="356">
        <v>0</v>
      </c>
      <c r="AG14" s="356">
        <f>ROUND(AE14/$BC$3,0)</f>
        <v>0</v>
      </c>
      <c r="AI14" s="353">
        <f>IF(AK14=0,0,AK14/AE14)</f>
        <v>0</v>
      </c>
      <c r="AK14" s="248"/>
      <c r="AL14" s="164"/>
      <c r="AM14" s="164">
        <v>0</v>
      </c>
      <c r="AO14" s="323">
        <f>+AK14+AM14</f>
        <v>0</v>
      </c>
      <c r="AQ14" s="355">
        <f t="shared" si="2"/>
        <v>0</v>
      </c>
      <c r="AS14" s="321">
        <f>+AE14+Q14+C14</f>
        <v>13864544</v>
      </c>
      <c r="AU14" s="321">
        <f>+AG14+S14+E14</f>
        <v>447243</v>
      </c>
      <c r="AW14" s="353">
        <f>IF(AY14=0,0,AY14/AS14)</f>
        <v>1.9829012046844095E-2</v>
      </c>
      <c r="AX14" s="353"/>
      <c r="AY14" s="359">
        <f>+AK14+W14+I14</f>
        <v>274920.21000000002</v>
      </c>
      <c r="AZ14" s="359"/>
      <c r="BA14" s="359">
        <f>+AM14+Y14+K14</f>
        <v>121851.68</v>
      </c>
      <c r="BB14" s="359"/>
      <c r="BC14" s="359">
        <f>+AO14+AA14+M14</f>
        <v>396771.89</v>
      </c>
      <c r="BD14" s="174"/>
      <c r="BE14" s="360">
        <f>ROUND(BC14/1000,0)</f>
        <v>397</v>
      </c>
    </row>
    <row r="15" spans="1:57">
      <c r="A15" s="361" t="s">
        <v>94</v>
      </c>
      <c r="B15" s="163" t="s">
        <v>21</v>
      </c>
      <c r="C15" s="257"/>
      <c r="E15" s="321">
        <f>ROUND(C15/$BC$1,0)</f>
        <v>0</v>
      </c>
      <c r="G15" s="353">
        <f t="shared" si="0"/>
        <v>0</v>
      </c>
      <c r="I15" s="248">
        <f>-K15</f>
        <v>0</v>
      </c>
      <c r="J15" s="354"/>
      <c r="K15" s="248"/>
      <c r="L15" s="354"/>
      <c r="M15" s="164">
        <f>+I15+K15</f>
        <v>0</v>
      </c>
      <c r="O15" s="355">
        <f>ROUND(M15/1000,0)</f>
        <v>0</v>
      </c>
      <c r="Q15" s="321"/>
      <c r="S15" s="356">
        <f>ROUND(Q15/$BC$2,0)</f>
        <v>0</v>
      </c>
      <c r="U15" s="353">
        <f t="shared" si="1"/>
        <v>0</v>
      </c>
      <c r="W15" s="248">
        <f>-Y15</f>
        <v>0</v>
      </c>
      <c r="X15" s="357"/>
      <c r="Y15" s="248">
        <v>0</v>
      </c>
      <c r="Z15" s="357"/>
      <c r="AA15" s="357">
        <f>+W15+Y15</f>
        <v>0</v>
      </c>
      <c r="AC15" s="355">
        <f>ROUND(AA15/1000,0)</f>
        <v>0</v>
      </c>
      <c r="AE15" s="356">
        <v>0</v>
      </c>
      <c r="AG15" s="356">
        <f>ROUND(AE15/$BC$3,0)</f>
        <v>0</v>
      </c>
      <c r="AI15" s="353">
        <f>IF(AK15=0,0,AK15/AE15)</f>
        <v>0</v>
      </c>
      <c r="AK15" s="248"/>
      <c r="AL15" s="164"/>
      <c r="AM15" s="164"/>
      <c r="AO15" s="323">
        <f>+AK15+AM15</f>
        <v>0</v>
      </c>
      <c r="AQ15" s="355">
        <f t="shared" si="2"/>
        <v>0</v>
      </c>
      <c r="AS15" s="321">
        <f>+AE15+Q15+C15</f>
        <v>0</v>
      </c>
      <c r="AU15" s="321">
        <f>+AG15+S15+E15</f>
        <v>0</v>
      </c>
      <c r="AW15" s="353">
        <f>IF(AY15=0,0,AY15/AS15)</f>
        <v>0</v>
      </c>
      <c r="AX15" s="353"/>
      <c r="AY15" s="359">
        <f>+AK15+W15+I15</f>
        <v>0</v>
      </c>
      <c r="AZ15" s="359"/>
      <c r="BA15" s="359">
        <f>+AM15+Y15+K15</f>
        <v>0</v>
      </c>
      <c r="BB15" s="359"/>
      <c r="BC15" s="359">
        <f>+AO15+AA15+M15</f>
        <v>0</v>
      </c>
      <c r="BD15" s="174"/>
      <c r="BE15" s="360">
        <f>ROUND(BC15/1000,0)</f>
        <v>0</v>
      </c>
    </row>
    <row r="16" spans="1:57">
      <c r="A16" s="361" t="s">
        <v>135</v>
      </c>
      <c r="C16" s="257"/>
      <c r="E16" s="321">
        <f>ROUND(C16/$BC$1,0)</f>
        <v>0</v>
      </c>
      <c r="G16" s="353">
        <f t="shared" si="0"/>
        <v>0</v>
      </c>
      <c r="I16" s="248">
        <f>-K16</f>
        <v>0</v>
      </c>
      <c r="J16" s="354"/>
      <c r="K16" s="248"/>
      <c r="L16" s="354"/>
      <c r="M16" s="164">
        <f>+I16+K16</f>
        <v>0</v>
      </c>
      <c r="O16" s="355">
        <f>ROUND(M16/1000,0)</f>
        <v>0</v>
      </c>
      <c r="Q16" s="321"/>
      <c r="S16" s="356">
        <f>ROUND(Q16/$BC$2,0)</f>
        <v>0</v>
      </c>
      <c r="U16" s="353">
        <f t="shared" si="1"/>
        <v>0</v>
      </c>
      <c r="W16" s="248">
        <f>-Y16</f>
        <v>0</v>
      </c>
      <c r="X16" s="357"/>
      <c r="Y16" s="248">
        <v>0</v>
      </c>
      <c r="Z16" s="357"/>
      <c r="AA16" s="357"/>
      <c r="AC16" s="355"/>
      <c r="AE16" s="356"/>
      <c r="AG16" s="356"/>
      <c r="AI16" s="353"/>
      <c r="AK16" s="248"/>
      <c r="AL16" s="164"/>
      <c r="AM16" s="164"/>
      <c r="AO16" s="323"/>
      <c r="AQ16" s="355"/>
      <c r="AS16" s="321"/>
      <c r="AU16" s="321"/>
      <c r="AW16" s="353"/>
      <c r="AX16" s="353"/>
      <c r="AY16" s="359">
        <f>+AK16+W16+I16</f>
        <v>0</v>
      </c>
      <c r="AZ16" s="359"/>
      <c r="BA16" s="359">
        <f>+AM16+Y16+K16</f>
        <v>0</v>
      </c>
      <c r="BB16" s="359"/>
      <c r="BC16" s="359">
        <f>+AO16+AA16+M16</f>
        <v>0</v>
      </c>
      <c r="BD16" s="174"/>
      <c r="BE16" s="360">
        <f>ROUND(BC16/1000,0)</f>
        <v>0</v>
      </c>
    </row>
    <row r="17" spans="1:57">
      <c r="A17" s="340" t="s">
        <v>95</v>
      </c>
      <c r="C17" s="257"/>
      <c r="E17" s="321">
        <f>ROUND(C17/$BC$1,0)</f>
        <v>0</v>
      </c>
      <c r="G17" s="353">
        <f t="shared" si="0"/>
        <v>0</v>
      </c>
      <c r="I17" s="248">
        <f>-K17</f>
        <v>0</v>
      </c>
      <c r="J17" s="354"/>
      <c r="K17" s="248"/>
      <c r="L17" s="354"/>
      <c r="M17" s="164">
        <f>+I17+K17</f>
        <v>0</v>
      </c>
      <c r="O17" s="355">
        <f>ROUND(M17/1000,0)</f>
        <v>0</v>
      </c>
      <c r="Q17" s="321"/>
      <c r="S17" s="356">
        <f>ROUND(Q17/$BC$2,0)</f>
        <v>0</v>
      </c>
      <c r="U17" s="353">
        <f t="shared" si="1"/>
        <v>0</v>
      </c>
      <c r="W17" s="248"/>
      <c r="X17" s="357"/>
      <c r="Y17" s="248">
        <v>0</v>
      </c>
      <c r="Z17" s="357"/>
      <c r="AA17" s="357">
        <f>+W17+Y17</f>
        <v>0</v>
      </c>
      <c r="AC17" s="355">
        <f>ROUND(AA17/1000,0)</f>
        <v>0</v>
      </c>
      <c r="AE17" s="356">
        <v>0</v>
      </c>
      <c r="AG17" s="356">
        <f>ROUND(AE17/$BC$3,0)</f>
        <v>0</v>
      </c>
      <c r="AI17" s="353">
        <f>IF(AK17=0,0,AK17/AE17)</f>
        <v>0</v>
      </c>
      <c r="AK17" s="248"/>
      <c r="AL17" s="164"/>
      <c r="AM17" s="164">
        <v>0</v>
      </c>
      <c r="AO17" s="323">
        <f>+AK17+AM17</f>
        <v>0</v>
      </c>
      <c r="AQ17" s="355">
        <f t="shared" si="2"/>
        <v>0</v>
      </c>
      <c r="AS17" s="321">
        <f>+AE17+Q17+C17</f>
        <v>0</v>
      </c>
      <c r="AU17" s="321">
        <f>+AG17+S17+E17</f>
        <v>0</v>
      </c>
      <c r="AW17" s="353">
        <f>IF(AY17=0,0,AY17/AS17)</f>
        <v>0</v>
      </c>
      <c r="AX17" s="353"/>
      <c r="AY17" s="359">
        <f>+AK17+W17+I17</f>
        <v>0</v>
      </c>
      <c r="AZ17" s="359"/>
      <c r="BA17" s="359">
        <f>+AM17+Y17+K17</f>
        <v>0</v>
      </c>
      <c r="BB17" s="359"/>
      <c r="BC17" s="359">
        <f>+AO17+AA17+M17</f>
        <v>0</v>
      </c>
      <c r="BD17" s="174"/>
      <c r="BE17" s="360">
        <f>ROUND(BC17/1000,0)</f>
        <v>0</v>
      </c>
    </row>
    <row r="18" spans="1:57">
      <c r="A18" s="362" t="s">
        <v>78</v>
      </c>
      <c r="B18" s="363"/>
      <c r="C18" s="364">
        <f>SUM(C14:C17)</f>
        <v>13864544</v>
      </c>
      <c r="D18" s="363"/>
      <c r="E18" s="365">
        <f>SUM(E14:E17)</f>
        <v>447243</v>
      </c>
      <c r="F18" s="363"/>
      <c r="G18" s="366">
        <f t="shared" si="0"/>
        <v>0.17554066112812652</v>
      </c>
      <c r="H18" s="363"/>
      <c r="I18" s="367">
        <f>SUM(I13:I17)</f>
        <v>2433791.2199999997</v>
      </c>
      <c r="J18" s="368"/>
      <c r="K18" s="367">
        <f>SUM(K13:K17)</f>
        <v>184952.18</v>
      </c>
      <c r="L18" s="368"/>
      <c r="M18" s="367">
        <f>SUM(M13:M17)</f>
        <v>2618743.4</v>
      </c>
      <c r="N18" s="363"/>
      <c r="O18" s="365">
        <f>SUM(O13:O17)</f>
        <v>2619</v>
      </c>
      <c r="P18" s="363"/>
      <c r="Q18" s="364">
        <f>SUM(Q14:Q17)</f>
        <v>0</v>
      </c>
      <c r="R18" s="363"/>
      <c r="S18" s="365">
        <f>SUM(S14:S17)</f>
        <v>0</v>
      </c>
      <c r="T18" s="363"/>
      <c r="U18" s="366">
        <f t="shared" si="1"/>
        <v>0</v>
      </c>
      <c r="V18" s="363"/>
      <c r="W18" s="367">
        <f>SUM(W13:W17)</f>
        <v>0</v>
      </c>
      <c r="X18" s="368"/>
      <c r="Y18" s="367">
        <f>SUM(Y13:Y17)</f>
        <v>0</v>
      </c>
      <c r="Z18" s="368"/>
      <c r="AA18" s="367">
        <f>SUM(AA13:AA17)</f>
        <v>0</v>
      </c>
      <c r="AB18" s="363"/>
      <c r="AC18" s="365">
        <f>SUM(AC13:AC17)</f>
        <v>0</v>
      </c>
      <c r="AD18" s="363"/>
      <c r="AE18" s="364">
        <f>SUM(AE14:AE17)</f>
        <v>0</v>
      </c>
      <c r="AF18" s="363"/>
      <c r="AG18" s="365">
        <f>SUM(AG14:AG17)</f>
        <v>0</v>
      </c>
      <c r="AH18" s="363"/>
      <c r="AI18" s="366">
        <f>IF(AK18=0,0,AK18/AE18)</f>
        <v>0</v>
      </c>
      <c r="AJ18" s="363"/>
      <c r="AK18" s="367">
        <f>SUM(AK13:AK17)</f>
        <v>0</v>
      </c>
      <c r="AL18" s="368"/>
      <c r="AM18" s="367">
        <f>SUM(AM13:AM17)</f>
        <v>0</v>
      </c>
      <c r="AN18" s="368"/>
      <c r="AO18" s="367">
        <f>SUM(AO13:AO17)</f>
        <v>0</v>
      </c>
      <c r="AP18" s="363"/>
      <c r="AQ18" s="365">
        <f>SUM(AQ13:AQ17)</f>
        <v>0</v>
      </c>
      <c r="AR18" s="363"/>
      <c r="AS18" s="364">
        <f>SUM(AS14:AS17)</f>
        <v>13864544</v>
      </c>
      <c r="AT18" s="363"/>
      <c r="AU18" s="365">
        <f>SUM(AU14:AU17)</f>
        <v>447243</v>
      </c>
      <c r="AV18" s="363"/>
      <c r="AW18" s="366">
        <f>IF(AY18=0,0,AY18/AS18)</f>
        <v>0.17554066112812652</v>
      </c>
      <c r="AX18" s="363"/>
      <c r="AY18" s="367">
        <f>SUM(AY13:AY17)</f>
        <v>2433791.2199999997</v>
      </c>
      <c r="AZ18" s="368"/>
      <c r="BA18" s="367">
        <f>SUM(BA13:BA17)</f>
        <v>184952.18</v>
      </c>
      <c r="BB18" s="368"/>
      <c r="BC18" s="367">
        <f>SUM(BC13:BC17)</f>
        <v>2618743.4</v>
      </c>
      <c r="BD18" s="363"/>
      <c r="BE18" s="365">
        <f>SUM(BE13:BE17)</f>
        <v>2619</v>
      </c>
    </row>
    <row r="19" spans="1:57">
      <c r="A19" s="340"/>
      <c r="C19" s="257"/>
      <c r="E19" s="321"/>
      <c r="G19" s="353"/>
      <c r="I19" s="248"/>
      <c r="J19" s="354"/>
      <c r="K19" s="248"/>
      <c r="L19" s="354"/>
      <c r="O19" s="355"/>
      <c r="Q19" s="321"/>
      <c r="S19" s="356"/>
      <c r="U19" s="353"/>
      <c r="W19" s="248"/>
      <c r="X19" s="357"/>
      <c r="Y19" s="357"/>
      <c r="Z19" s="357"/>
      <c r="AA19" s="357"/>
      <c r="AC19" s="355"/>
      <c r="AE19" s="356"/>
      <c r="AG19" s="356"/>
      <c r="AI19" s="353"/>
      <c r="AK19" s="354"/>
      <c r="AM19" s="323"/>
      <c r="AO19" s="323"/>
      <c r="AQ19" s="355"/>
      <c r="AS19" s="321"/>
      <c r="AU19" s="356"/>
      <c r="AW19" s="353"/>
      <c r="AX19" s="353"/>
      <c r="AY19" s="359"/>
      <c r="AZ19" s="359"/>
      <c r="BA19" s="359"/>
      <c r="BB19" s="359"/>
      <c r="BC19" s="359"/>
      <c r="BD19" s="174"/>
      <c r="BE19" s="360"/>
    </row>
    <row r="20" spans="1:57">
      <c r="A20" s="361" t="s">
        <v>73</v>
      </c>
      <c r="B20" s="163" t="s">
        <v>21</v>
      </c>
      <c r="C20" s="257">
        <v>17345623</v>
      </c>
      <c r="E20" s="321">
        <f>ROUND(C20/$BC$1,0)</f>
        <v>559536</v>
      </c>
      <c r="G20" s="353">
        <f t="shared" ref="G20:G25" si="3">IF(I20=0,0,I20/C20)</f>
        <v>0.24753675149056334</v>
      </c>
      <c r="I20" s="248">
        <f>-K20+4379759.97</f>
        <v>4293679.17</v>
      </c>
      <c r="J20" s="354"/>
      <c r="K20" s="248">
        <v>86080.8</v>
      </c>
      <c r="L20" s="354"/>
      <c r="M20" s="164">
        <f>+I20+K20</f>
        <v>4379759.97</v>
      </c>
      <c r="O20" s="355">
        <f>ROUND(M20/1000,0)</f>
        <v>4380</v>
      </c>
      <c r="Q20" s="321"/>
      <c r="S20" s="356">
        <f>ROUND(Q20/$BC$2,0)</f>
        <v>0</v>
      </c>
      <c r="U20" s="353">
        <f t="shared" ref="U20:U25" si="4">IF(W20=0,0,W20/Q20)</f>
        <v>0</v>
      </c>
      <c r="W20" s="248"/>
      <c r="X20" s="357"/>
      <c r="Y20" s="248"/>
      <c r="Z20" s="357"/>
      <c r="AA20" s="357">
        <f>+W20+Y20</f>
        <v>0</v>
      </c>
      <c r="AC20" s="355">
        <f>ROUND(AA20/1000,0)</f>
        <v>0</v>
      </c>
      <c r="AE20" s="356"/>
      <c r="AG20" s="356">
        <f>ROUND(AE20/$BC$3,0)</f>
        <v>0</v>
      </c>
      <c r="AI20" s="353">
        <f>IF(AK20=0,0,AK20/AE20)</f>
        <v>0</v>
      </c>
      <c r="AK20" s="248">
        <f>-AM20</f>
        <v>0</v>
      </c>
      <c r="AL20" s="164"/>
      <c r="AM20" s="164"/>
      <c r="AO20" s="323">
        <f>+AK20+AM20</f>
        <v>0</v>
      </c>
      <c r="AQ20" s="355">
        <f t="shared" si="2"/>
        <v>0</v>
      </c>
      <c r="AS20" s="321">
        <f>+AE20+Q20+C20</f>
        <v>17345623</v>
      </c>
      <c r="AU20" s="321">
        <f>+AG20+S20+E20</f>
        <v>559536</v>
      </c>
      <c r="AW20" s="353">
        <f>IF(AY20=0,0,AY20/AS20)</f>
        <v>0.24753675149056334</v>
      </c>
      <c r="AX20" s="353"/>
      <c r="AY20" s="359">
        <f>+AK20+W20+I20</f>
        <v>4293679.17</v>
      </c>
      <c r="AZ20" s="359"/>
      <c r="BA20" s="359">
        <f>+AM20+Y20+K20</f>
        <v>86080.8</v>
      </c>
      <c r="BB20" s="359"/>
      <c r="BC20" s="359">
        <f>+AO20+AA20+M20</f>
        <v>4379759.97</v>
      </c>
      <c r="BD20" s="174"/>
      <c r="BE20" s="360">
        <f>ROUND(BC20/1000,0)</f>
        <v>4380</v>
      </c>
    </row>
    <row r="21" spans="1:57">
      <c r="A21" s="361" t="s">
        <v>136</v>
      </c>
      <c r="B21" s="163" t="s">
        <v>21</v>
      </c>
      <c r="C21" s="257">
        <v>9893329</v>
      </c>
      <c r="E21" s="321">
        <f>ROUND(C21/$BC$1,0)</f>
        <v>319140</v>
      </c>
      <c r="G21" s="353">
        <f t="shared" si="3"/>
        <v>2.2932330462274123E-2</v>
      </c>
      <c r="I21" s="248">
        <f>-K21+274627.87</f>
        <v>226877.09</v>
      </c>
      <c r="J21" s="354"/>
      <c r="K21" s="248">
        <v>47750.78</v>
      </c>
      <c r="L21" s="354"/>
      <c r="M21" s="164">
        <f>+I21+K21</f>
        <v>274627.87</v>
      </c>
      <c r="O21" s="355">
        <f>ROUND(M21/1000,0)</f>
        <v>275</v>
      </c>
      <c r="Q21" s="321">
        <v>3180</v>
      </c>
      <c r="S21" s="356">
        <f>ROUND(Q21/$BC$2,0)</f>
        <v>106</v>
      </c>
      <c r="U21" s="353">
        <f t="shared" si="4"/>
        <v>0.13279874213836476</v>
      </c>
      <c r="W21" s="248">
        <f>-Y21+463.96</f>
        <v>422.29999999999995</v>
      </c>
      <c r="X21" s="357"/>
      <c r="Y21" s="248">
        <v>41.66</v>
      </c>
      <c r="Z21" s="357"/>
      <c r="AA21" s="357">
        <f>+W21+Y21</f>
        <v>463.95999999999992</v>
      </c>
      <c r="AC21" s="355">
        <f>ROUND(AA21/1000,0)</f>
        <v>0</v>
      </c>
      <c r="AE21" s="356"/>
      <c r="AG21" s="356">
        <f>ROUND(AE21/$BC$3,0)</f>
        <v>0</v>
      </c>
      <c r="AI21" s="353">
        <v>0</v>
      </c>
      <c r="AK21" s="248"/>
      <c r="AL21" s="164"/>
      <c r="AM21" s="164"/>
      <c r="AO21" s="323">
        <f>+AK21+AM21</f>
        <v>0</v>
      </c>
      <c r="AQ21" s="355">
        <f t="shared" si="2"/>
        <v>0</v>
      </c>
      <c r="AS21" s="321">
        <f>+AE21+Q21+C21</f>
        <v>9896509</v>
      </c>
      <c r="AU21" s="321">
        <f>+AG21+S21+E21</f>
        <v>319246</v>
      </c>
      <c r="AW21" s="353">
        <f>IF(AY21=0,0,AY21/AS21)</f>
        <v>2.2967633334138329E-2</v>
      </c>
      <c r="AX21" s="353"/>
      <c r="AY21" s="359">
        <f>+AK21+W21+I21</f>
        <v>227299.38999999998</v>
      </c>
      <c r="AZ21" s="359"/>
      <c r="BA21" s="369">
        <f>+AM21+Y21+K21</f>
        <v>47792.44</v>
      </c>
      <c r="BB21" s="359"/>
      <c r="BC21" s="359">
        <f>+AO21+AA21+M21</f>
        <v>275091.83</v>
      </c>
      <c r="BD21" s="174"/>
      <c r="BE21" s="360">
        <f>ROUND(BC21/1000,0)</f>
        <v>275</v>
      </c>
    </row>
    <row r="22" spans="1:57">
      <c r="A22" s="361" t="s">
        <v>137</v>
      </c>
      <c r="B22" s="163" t="s">
        <v>21</v>
      </c>
      <c r="C22" s="257">
        <v>66504</v>
      </c>
      <c r="E22" s="321">
        <f>ROUND(C22/$BC$1,0)</f>
        <v>2145</v>
      </c>
      <c r="G22" s="353">
        <f t="shared" si="3"/>
        <v>2.4300042102730658E-2</v>
      </c>
      <c r="I22" s="248">
        <f>-K22+2221.24</f>
        <v>1616.0499999999997</v>
      </c>
      <c r="J22" s="354"/>
      <c r="K22" s="248">
        <v>605.19000000000005</v>
      </c>
      <c r="L22" s="354"/>
      <c r="M22" s="164">
        <f>+I22+K22</f>
        <v>2221.2399999999998</v>
      </c>
      <c r="O22" s="355">
        <f>ROUND(M22/1000,0)</f>
        <v>2</v>
      </c>
      <c r="Q22" s="321"/>
      <c r="S22" s="356">
        <f>ROUND(Q22/$BC$2,0)</f>
        <v>0</v>
      </c>
      <c r="U22" s="353">
        <f t="shared" si="4"/>
        <v>0</v>
      </c>
      <c r="W22" s="248">
        <f>-Y22</f>
        <v>0</v>
      </c>
      <c r="X22" s="357"/>
      <c r="Y22" s="248"/>
      <c r="Z22" s="357"/>
      <c r="AA22" s="357">
        <f>+W22+Y22</f>
        <v>0</v>
      </c>
      <c r="AC22" s="355">
        <f>ROUND(AA22/1000,0)</f>
        <v>0</v>
      </c>
      <c r="AE22" s="356">
        <v>0</v>
      </c>
      <c r="AG22" s="356">
        <f>ROUND(AE22/$BC$3,0)</f>
        <v>0</v>
      </c>
      <c r="AI22" s="353">
        <f>IF(AK22=0,0,AK22/AE22)</f>
        <v>0</v>
      </c>
      <c r="AK22" s="248"/>
      <c r="AL22" s="164"/>
      <c r="AM22" s="164"/>
      <c r="AO22" s="323">
        <f>+AK22+AM22</f>
        <v>0</v>
      </c>
      <c r="AQ22" s="355">
        <f t="shared" si="2"/>
        <v>0</v>
      </c>
      <c r="AS22" s="321">
        <f>+AE22+Q22+C22</f>
        <v>66504</v>
      </c>
      <c r="AU22" s="321">
        <f>+AG22+S22+E22</f>
        <v>2145</v>
      </c>
      <c r="AW22" s="353">
        <f>IF(AY22=0,0,AY22/AS22)</f>
        <v>2.4300042102730658E-2</v>
      </c>
      <c r="AX22" s="353"/>
      <c r="AY22" s="359">
        <f>+AK22+W22+I22</f>
        <v>1616.0499999999997</v>
      </c>
      <c r="AZ22" s="359"/>
      <c r="BA22" s="359">
        <f>+AM22+Y22+K22</f>
        <v>605.19000000000005</v>
      </c>
      <c r="BB22" s="359"/>
      <c r="BC22" s="359">
        <f>+AO22+AA22+M22</f>
        <v>2221.2399999999998</v>
      </c>
      <c r="BD22" s="174"/>
      <c r="BE22" s="360">
        <f>ROUND(BC22/1000,0)</f>
        <v>2</v>
      </c>
    </row>
    <row r="23" spans="1:57">
      <c r="A23" s="361" t="s">
        <v>138</v>
      </c>
      <c r="C23" s="257"/>
      <c r="E23" s="321">
        <f>ROUND(C23/$BC$1,0)</f>
        <v>0</v>
      </c>
      <c r="G23" s="353">
        <f t="shared" si="3"/>
        <v>0</v>
      </c>
      <c r="I23" s="248">
        <f>-K23</f>
        <v>0</v>
      </c>
      <c r="J23" s="354"/>
      <c r="K23" s="248"/>
      <c r="L23" s="354"/>
      <c r="M23" s="164">
        <f>+I23+K23</f>
        <v>0</v>
      </c>
      <c r="O23" s="355">
        <f>ROUND(M23/1000,0)</f>
        <v>0</v>
      </c>
      <c r="Q23" s="321"/>
      <c r="S23" s="356">
        <f>ROUND(Q23/$BC$2,0)</f>
        <v>0</v>
      </c>
      <c r="U23" s="353">
        <f t="shared" si="4"/>
        <v>0</v>
      </c>
      <c r="W23" s="248">
        <f>-Y23</f>
        <v>0</v>
      </c>
      <c r="X23" s="357"/>
      <c r="Y23" s="248"/>
      <c r="Z23" s="357"/>
      <c r="AA23" s="357"/>
      <c r="AC23" s="355"/>
      <c r="AE23" s="356"/>
      <c r="AG23" s="356"/>
      <c r="AI23" s="353"/>
      <c r="AK23" s="248"/>
      <c r="AL23" s="164"/>
      <c r="AM23" s="164"/>
      <c r="AO23" s="323"/>
      <c r="AQ23" s="355"/>
      <c r="AS23" s="321">
        <f>+AE23+Q23+C23</f>
        <v>0</v>
      </c>
      <c r="AU23" s="321"/>
      <c r="AW23" s="353"/>
      <c r="AX23" s="353"/>
      <c r="AY23" s="359">
        <f>+AK23+W23+I23</f>
        <v>0</v>
      </c>
      <c r="AZ23" s="359"/>
      <c r="BA23" s="359">
        <f>+AM23+Y23+K23</f>
        <v>0</v>
      </c>
      <c r="BB23" s="359"/>
      <c r="BC23" s="359">
        <f>+AO23+AA23+M23</f>
        <v>0</v>
      </c>
      <c r="BD23" s="174"/>
      <c r="BE23" s="360">
        <f>ROUND(BC23/1000,0)</f>
        <v>0</v>
      </c>
    </row>
    <row r="24" spans="1:57">
      <c r="A24" s="340" t="s">
        <v>139</v>
      </c>
      <c r="C24" s="257"/>
      <c r="E24" s="321">
        <f>ROUND(C24/$BC$1,0)</f>
        <v>0</v>
      </c>
      <c r="G24" s="353">
        <f t="shared" si="3"/>
        <v>0</v>
      </c>
      <c r="I24" s="248">
        <f>-K24</f>
        <v>0</v>
      </c>
      <c r="J24" s="354"/>
      <c r="K24" s="248"/>
      <c r="L24" s="354"/>
      <c r="M24" s="164">
        <f>+I24+K24</f>
        <v>0</v>
      </c>
      <c r="O24" s="355">
        <f>ROUND(M24/1000,0)</f>
        <v>0</v>
      </c>
      <c r="Q24" s="321"/>
      <c r="S24" s="356">
        <f>ROUND(Q24/$BC$2,0)</f>
        <v>0</v>
      </c>
      <c r="U24" s="353">
        <f t="shared" si="4"/>
        <v>0</v>
      </c>
      <c r="W24" s="248">
        <f>-Y24</f>
        <v>0</v>
      </c>
      <c r="X24" s="357"/>
      <c r="Y24" s="248"/>
      <c r="Z24" s="357"/>
      <c r="AA24" s="357">
        <f>+W24+Y24</f>
        <v>0</v>
      </c>
      <c r="AC24" s="355">
        <f>ROUND(AA24/1000,0)</f>
        <v>0</v>
      </c>
      <c r="AE24" s="356"/>
      <c r="AG24" s="356">
        <f>ROUND(AE24/$BC$3,0)</f>
        <v>0</v>
      </c>
      <c r="AI24" s="353">
        <f>IF(AK24=0,0,AK24/AE24)</f>
        <v>0</v>
      </c>
      <c r="AK24" s="248"/>
      <c r="AL24" s="164"/>
      <c r="AM24" s="164"/>
      <c r="AO24" s="323">
        <f>+AK24+AM24</f>
        <v>0</v>
      </c>
      <c r="AQ24" s="355">
        <f t="shared" si="2"/>
        <v>0</v>
      </c>
      <c r="AS24" s="321">
        <f>+AE24+Q24+C24</f>
        <v>0</v>
      </c>
      <c r="AU24" s="321">
        <f>+AG24+S24+E24</f>
        <v>0</v>
      </c>
      <c r="AW24" s="353">
        <f>IF(AY24=0,0,AY24/AS24)</f>
        <v>0</v>
      </c>
      <c r="AX24" s="353"/>
      <c r="AY24" s="359">
        <f>+AK24+W24+I24</f>
        <v>0</v>
      </c>
      <c r="AZ24" s="359"/>
      <c r="BA24" s="359">
        <f>+AM24+Y24+K24</f>
        <v>0</v>
      </c>
      <c r="BB24" s="359"/>
      <c r="BC24" s="359">
        <f>+AO24+AA24+M24</f>
        <v>0</v>
      </c>
      <c r="BD24" s="174"/>
      <c r="BE24" s="360">
        <f>ROUND(BC24/1000,0)</f>
        <v>0</v>
      </c>
    </row>
    <row r="25" spans="1:57" ht="10.5" customHeight="1">
      <c r="A25" s="362" t="s">
        <v>78</v>
      </c>
      <c r="B25" s="363"/>
      <c r="C25" s="364">
        <f>SUM(C21:C24)</f>
        <v>9959833</v>
      </c>
      <c r="D25" s="363"/>
      <c r="E25" s="365">
        <f>SUM(E21:E24)</f>
        <v>321285</v>
      </c>
      <c r="F25" s="363"/>
      <c r="G25" s="366">
        <f t="shared" si="3"/>
        <v>0.45404097739389804</v>
      </c>
      <c r="H25" s="363"/>
      <c r="I25" s="367">
        <f>SUM(I20:I24)</f>
        <v>4522172.3099999996</v>
      </c>
      <c r="J25" s="370"/>
      <c r="K25" s="367">
        <f>SUM(K20:K24)</f>
        <v>134436.77000000002</v>
      </c>
      <c r="L25" s="370"/>
      <c r="M25" s="367">
        <f>SUM(M20:M24)</f>
        <v>4656609.08</v>
      </c>
      <c r="N25" s="363"/>
      <c r="O25" s="365">
        <f>SUM(O20:O24)</f>
        <v>4657</v>
      </c>
      <c r="P25" s="363"/>
      <c r="Q25" s="364">
        <f>SUM(Q21:Q24)</f>
        <v>3180</v>
      </c>
      <c r="R25" s="363"/>
      <c r="S25" s="371">
        <f>SUM(S21:S24)</f>
        <v>106</v>
      </c>
      <c r="T25" s="363"/>
      <c r="U25" s="366">
        <f t="shared" si="4"/>
        <v>0.13279874213836476</v>
      </c>
      <c r="V25" s="363"/>
      <c r="W25" s="367">
        <f>SUM(W20:W24)</f>
        <v>422.29999999999995</v>
      </c>
      <c r="X25" s="368"/>
      <c r="Y25" s="372">
        <f>SUM(Y20:Y24)</f>
        <v>41.66</v>
      </c>
      <c r="Z25" s="368"/>
      <c r="AA25" s="372">
        <f>SUM(AA20:AA24)</f>
        <v>463.95999999999992</v>
      </c>
      <c r="AB25" s="363"/>
      <c r="AC25" s="365">
        <f>SUM(AC20:AC24)</f>
        <v>0</v>
      </c>
      <c r="AD25" s="363"/>
      <c r="AE25" s="364">
        <f>SUM(AE21:AE24)</f>
        <v>0</v>
      </c>
      <c r="AF25" s="363"/>
      <c r="AG25" s="371">
        <f>SUM(AG21:AG24)</f>
        <v>0</v>
      </c>
      <c r="AH25" s="363"/>
      <c r="AI25" s="366">
        <f>IF(AK25=0,0,AK25/AE25)</f>
        <v>0</v>
      </c>
      <c r="AJ25" s="363"/>
      <c r="AK25" s="372">
        <f>SUM(AK20:AK24)</f>
        <v>0</v>
      </c>
      <c r="AL25" s="363"/>
      <c r="AM25" s="372">
        <f>SUM(AM20:AM24)</f>
        <v>0</v>
      </c>
      <c r="AN25" s="363"/>
      <c r="AO25" s="372">
        <f>SUM(AO20:AO24)</f>
        <v>0</v>
      </c>
      <c r="AP25" s="363"/>
      <c r="AQ25" s="365">
        <f>SUM(AQ20:AQ24)</f>
        <v>0</v>
      </c>
      <c r="AR25" s="363"/>
      <c r="AS25" s="364">
        <f>SUM(AS21:AS24)</f>
        <v>9963013</v>
      </c>
      <c r="AT25" s="363"/>
      <c r="AU25" s="371">
        <f>SUM(AU21:AU24)</f>
        <v>321391</v>
      </c>
      <c r="AV25" s="363"/>
      <c r="AW25" s="366">
        <f>IF(AY25=0,0,AY25/AS25)</f>
        <v>0.45393844311956627</v>
      </c>
      <c r="AX25" s="373"/>
      <c r="AY25" s="372">
        <f>SUM(AY20:AY24)</f>
        <v>4522594.6099999994</v>
      </c>
      <c r="AZ25" s="368"/>
      <c r="BA25" s="372">
        <f>SUM(BA20:BA24)</f>
        <v>134478.43</v>
      </c>
      <c r="BB25" s="368"/>
      <c r="BC25" s="372">
        <f>SUM(BC20:BC24)</f>
        <v>4657073.04</v>
      </c>
      <c r="BD25" s="368"/>
      <c r="BE25" s="374">
        <f>SUM(BE20:BE24)</f>
        <v>4657</v>
      </c>
    </row>
    <row r="26" spans="1:57">
      <c r="A26" s="340"/>
      <c r="C26" s="257"/>
      <c r="E26" s="321"/>
      <c r="G26" s="353"/>
      <c r="I26" s="248"/>
      <c r="J26" s="354"/>
      <c r="K26" s="248"/>
      <c r="L26" s="354"/>
      <c r="O26" s="355"/>
      <c r="Q26" s="321"/>
      <c r="S26" s="356"/>
      <c r="U26" s="353"/>
      <c r="W26" s="248"/>
      <c r="X26" s="357"/>
      <c r="Y26" s="357"/>
      <c r="Z26" s="357"/>
      <c r="AA26" s="357"/>
      <c r="AC26" s="355"/>
      <c r="AE26" s="356"/>
      <c r="AG26" s="356"/>
      <c r="AI26" s="353"/>
      <c r="AK26" s="354"/>
      <c r="AM26" s="323"/>
      <c r="AO26" s="323"/>
      <c r="AQ26" s="355"/>
      <c r="AS26" s="321"/>
      <c r="AU26" s="356"/>
      <c r="AW26" s="353"/>
      <c r="AX26" s="353"/>
      <c r="AY26" s="359"/>
      <c r="AZ26" s="359"/>
      <c r="BA26" s="359"/>
      <c r="BB26" s="359"/>
      <c r="BC26" s="359"/>
      <c r="BD26" s="174"/>
      <c r="BE26" s="360"/>
    </row>
    <row r="27" spans="1:57">
      <c r="A27" s="361" t="s">
        <v>73</v>
      </c>
      <c r="B27" s="163" t="s">
        <v>21</v>
      </c>
      <c r="C27" s="321">
        <v>1860000</v>
      </c>
      <c r="E27" s="321">
        <f>ROUND(C27/$BC$1,0)</f>
        <v>60000</v>
      </c>
      <c r="G27" s="353">
        <f t="shared" ref="G27:G32" si="5">IF(I27=0,0,I27/C27)</f>
        <v>0.16150053763440861</v>
      </c>
      <c r="I27" s="248">
        <f>-K27+300391</f>
        <v>300391</v>
      </c>
      <c r="J27" s="354"/>
      <c r="K27" s="248"/>
      <c r="L27" s="354"/>
      <c r="M27" s="164">
        <f>+I27+K27</f>
        <v>300391</v>
      </c>
      <c r="O27" s="355">
        <f>ROUND(M27/1000,0)</f>
        <v>300</v>
      </c>
      <c r="Q27" s="321">
        <v>0</v>
      </c>
      <c r="S27" s="356">
        <f>ROUND(Q27/$BC$2,0)</f>
        <v>0</v>
      </c>
      <c r="U27" s="353">
        <f t="shared" ref="U27:U32" si="6">IF(W27=0,0,W27/Q27)</f>
        <v>0</v>
      </c>
      <c r="W27" s="248">
        <f>-Y27</f>
        <v>0</v>
      </c>
      <c r="X27" s="357"/>
      <c r="Y27" s="248">
        <v>0</v>
      </c>
      <c r="Z27" s="357"/>
      <c r="AA27" s="357">
        <f>+W27+Y27</f>
        <v>0</v>
      </c>
      <c r="AC27" s="355">
        <f>ROUND(AA27/1000,0)</f>
        <v>0</v>
      </c>
      <c r="AE27" s="356">
        <v>0</v>
      </c>
      <c r="AG27" s="356">
        <f>ROUND(AE27/$BC$3,0)</f>
        <v>0</v>
      </c>
      <c r="AI27" s="353">
        <f>IF(AK27=0,0,AK27/AE27)</f>
        <v>0</v>
      </c>
      <c r="AK27" s="248"/>
      <c r="AL27" s="164"/>
      <c r="AM27" s="164">
        <v>0</v>
      </c>
      <c r="AO27" s="323">
        <f>+AK27+AM27</f>
        <v>0</v>
      </c>
      <c r="AQ27" s="355">
        <f t="shared" si="2"/>
        <v>0</v>
      </c>
      <c r="AS27" s="321">
        <f>+AE27+Q27+C27</f>
        <v>1860000</v>
      </c>
      <c r="AU27" s="321">
        <f>+AG27+S27+E27</f>
        <v>60000</v>
      </c>
      <c r="AW27" s="353">
        <f>IF(AY27=0,0,AY27/AS27)</f>
        <v>0.16150053763440861</v>
      </c>
      <c r="AX27" s="353"/>
      <c r="AY27" s="359">
        <f>+AK27+W27+I27</f>
        <v>300391</v>
      </c>
      <c r="AZ27" s="359"/>
      <c r="BA27" s="359">
        <f>+AM27+Y27+K27</f>
        <v>0</v>
      </c>
      <c r="BB27" s="359"/>
      <c r="BC27" s="359">
        <f>+AO27+AA27+M27</f>
        <v>300391</v>
      </c>
      <c r="BD27" s="174"/>
      <c r="BE27" s="360">
        <f>ROUND(BC27/1000,0)</f>
        <v>300</v>
      </c>
    </row>
    <row r="28" spans="1:57">
      <c r="A28" s="361" t="s">
        <v>74</v>
      </c>
      <c r="B28" s="163" t="s">
        <v>21</v>
      </c>
      <c r="C28" s="321">
        <v>1859946</v>
      </c>
      <c r="E28" s="321">
        <f>ROUND(C28/$BC$1,0)</f>
        <v>59998</v>
      </c>
      <c r="G28" s="353">
        <f t="shared" si="5"/>
        <v>1.8499999462349981E-2</v>
      </c>
      <c r="I28" s="248">
        <f>-K28+34409</f>
        <v>34409</v>
      </c>
      <c r="J28" s="354"/>
      <c r="K28" s="248"/>
      <c r="L28" s="354"/>
      <c r="M28" s="164">
        <f>+I28+K28</f>
        <v>34409</v>
      </c>
      <c r="O28" s="355">
        <f>ROUND(M28/1000,0)</f>
        <v>34</v>
      </c>
      <c r="Q28" s="321">
        <v>0</v>
      </c>
      <c r="S28" s="356">
        <f>ROUND(Q28/$BC$2,0)</f>
        <v>0</v>
      </c>
      <c r="U28" s="353">
        <f t="shared" si="6"/>
        <v>0</v>
      </c>
      <c r="W28" s="248">
        <f>-Y28</f>
        <v>0</v>
      </c>
      <c r="X28" s="357"/>
      <c r="Y28" s="248">
        <v>0</v>
      </c>
      <c r="Z28" s="357"/>
      <c r="AA28" s="357">
        <f>+W28+Y28</f>
        <v>0</v>
      </c>
      <c r="AC28" s="355">
        <f>ROUND(AA28/1000,0)</f>
        <v>0</v>
      </c>
      <c r="AE28" s="356">
        <v>0</v>
      </c>
      <c r="AG28" s="356">
        <f>ROUND(AE28/$BC$3,0)</f>
        <v>0</v>
      </c>
      <c r="AI28" s="353">
        <f>IF(AK28=0,0,AK28/AE28)</f>
        <v>0</v>
      </c>
      <c r="AK28" s="248"/>
      <c r="AL28" s="164"/>
      <c r="AM28" s="164">
        <v>0</v>
      </c>
      <c r="AO28" s="323">
        <f>+AK28+AM28</f>
        <v>0</v>
      </c>
      <c r="AQ28" s="355">
        <f t="shared" si="2"/>
        <v>0</v>
      </c>
      <c r="AS28" s="321">
        <f>+AE28+Q28+C28</f>
        <v>1859946</v>
      </c>
      <c r="AU28" s="321">
        <f>+AG28+S28+E28</f>
        <v>59998</v>
      </c>
      <c r="AW28" s="353">
        <f>IF(AY28=0,0,AY28/AS28)</f>
        <v>1.8499999462349981E-2</v>
      </c>
      <c r="AX28" s="353"/>
      <c r="AY28" s="359">
        <f>+AK28+W28+I28</f>
        <v>34409</v>
      </c>
      <c r="AZ28" s="359"/>
      <c r="BA28" s="359">
        <f>+AM28+Y28+K28</f>
        <v>0</v>
      </c>
      <c r="BB28" s="359"/>
      <c r="BC28" s="359">
        <f>+AO28+AA28+M28</f>
        <v>34409</v>
      </c>
      <c r="BD28" s="174"/>
      <c r="BE28" s="360">
        <f>ROUND(BC28/1000,0)</f>
        <v>34</v>
      </c>
    </row>
    <row r="29" spans="1:57">
      <c r="A29" s="361" t="s">
        <v>75</v>
      </c>
      <c r="C29" s="257"/>
      <c r="E29" s="321">
        <f>ROUND(C29/$BC$1,0)</f>
        <v>0</v>
      </c>
      <c r="G29" s="353">
        <f t="shared" si="5"/>
        <v>0</v>
      </c>
      <c r="I29" s="248">
        <f>-K29</f>
        <v>0</v>
      </c>
      <c r="J29" s="354"/>
      <c r="K29" s="248"/>
      <c r="L29" s="354"/>
      <c r="M29" s="164">
        <f>+I29+K29</f>
        <v>0</v>
      </c>
      <c r="O29" s="355">
        <f>ROUND(M29/1000,0)</f>
        <v>0</v>
      </c>
      <c r="Q29" s="321">
        <v>0</v>
      </c>
      <c r="S29" s="356">
        <f>ROUND(Q29/$BC$2,0)</f>
        <v>0</v>
      </c>
      <c r="U29" s="353">
        <f t="shared" si="6"/>
        <v>0</v>
      </c>
      <c r="W29" s="248">
        <f>-Y29</f>
        <v>0</v>
      </c>
      <c r="X29" s="357"/>
      <c r="Y29" s="248">
        <v>0</v>
      </c>
      <c r="Z29" s="357"/>
      <c r="AA29" s="357">
        <f>+W29+Y29</f>
        <v>0</v>
      </c>
      <c r="AC29" s="355">
        <f>ROUND(AA29/1000,0)</f>
        <v>0</v>
      </c>
      <c r="AE29" s="356">
        <v>0</v>
      </c>
      <c r="AG29" s="356">
        <f>ROUND(AE29/$BC$3,0)</f>
        <v>0</v>
      </c>
      <c r="AI29" s="353">
        <f>IF(AK29=0,0,AK29/AE29)</f>
        <v>0</v>
      </c>
      <c r="AK29" s="248"/>
      <c r="AL29" s="164"/>
      <c r="AM29" s="164">
        <v>0</v>
      </c>
      <c r="AO29" s="323">
        <f>+AK29+AM29</f>
        <v>0</v>
      </c>
      <c r="AQ29" s="355">
        <f t="shared" si="2"/>
        <v>0</v>
      </c>
      <c r="AS29" s="321">
        <f>+AE29+Q29+C29</f>
        <v>0</v>
      </c>
      <c r="AU29" s="321">
        <f>+AG29+S29+E29</f>
        <v>0</v>
      </c>
      <c r="AW29" s="353">
        <f>IF(AY29=0,0,AY29/AS29)</f>
        <v>0</v>
      </c>
      <c r="AX29" s="353"/>
      <c r="AY29" s="359">
        <f>+AK29+W29+I29</f>
        <v>0</v>
      </c>
      <c r="AZ29" s="359"/>
      <c r="BA29" s="359">
        <f>+AM29+Y29+K29</f>
        <v>0</v>
      </c>
      <c r="BB29" s="359"/>
      <c r="BC29" s="359">
        <f>+AO29+AA29+M29</f>
        <v>0</v>
      </c>
      <c r="BD29" s="174"/>
      <c r="BE29" s="360">
        <f>ROUND(BC29/1000,0)</f>
        <v>0</v>
      </c>
    </row>
    <row r="30" spans="1:57">
      <c r="A30" s="361" t="s">
        <v>76</v>
      </c>
      <c r="C30" s="257"/>
      <c r="E30" s="321">
        <f>ROUND(C30/$BC$1,0)</f>
        <v>0</v>
      </c>
      <c r="G30" s="353">
        <f t="shared" si="5"/>
        <v>0</v>
      </c>
      <c r="I30" s="248">
        <f>-K30</f>
        <v>0</v>
      </c>
      <c r="J30" s="354"/>
      <c r="K30" s="248"/>
      <c r="L30" s="354"/>
      <c r="M30" s="164">
        <f>+I30+K30</f>
        <v>0</v>
      </c>
      <c r="O30" s="355">
        <f>ROUND(M30/1000,0)</f>
        <v>0</v>
      </c>
      <c r="Q30" s="321">
        <v>0</v>
      </c>
      <c r="S30" s="356">
        <f>ROUND(Q30/$BC$2,0)</f>
        <v>0</v>
      </c>
      <c r="U30" s="353">
        <f t="shared" si="6"/>
        <v>0</v>
      </c>
      <c r="W30" s="248">
        <f>-Y30</f>
        <v>0</v>
      </c>
      <c r="X30" s="357"/>
      <c r="Y30" s="248"/>
      <c r="Z30" s="357"/>
      <c r="AA30" s="357"/>
      <c r="AC30" s="355"/>
      <c r="AE30" s="356"/>
      <c r="AG30" s="356"/>
      <c r="AI30" s="353"/>
      <c r="AK30" s="248"/>
      <c r="AL30" s="164"/>
      <c r="AM30" s="164"/>
      <c r="AO30" s="323"/>
      <c r="AQ30" s="355"/>
      <c r="AS30" s="321"/>
      <c r="AU30" s="321"/>
      <c r="AW30" s="353"/>
      <c r="AX30" s="353"/>
      <c r="AY30" s="359">
        <f>+AK30+W30+I30</f>
        <v>0</v>
      </c>
      <c r="AZ30" s="359"/>
      <c r="BA30" s="359">
        <f>+AM30+Y30+K30</f>
        <v>0</v>
      </c>
      <c r="BB30" s="359"/>
      <c r="BC30" s="359">
        <f>+AO30+AA30+M30</f>
        <v>0</v>
      </c>
      <c r="BD30" s="174"/>
      <c r="BE30" s="360">
        <f>ROUND(BC30/1000,0)</f>
        <v>0</v>
      </c>
    </row>
    <row r="31" spans="1:57">
      <c r="A31" s="340" t="s">
        <v>77</v>
      </c>
      <c r="C31" s="257"/>
      <c r="E31" s="321">
        <f>ROUND(C31/$BC$1,0)</f>
        <v>0</v>
      </c>
      <c r="G31" s="353">
        <f t="shared" si="5"/>
        <v>0</v>
      </c>
      <c r="I31" s="248">
        <f>-K31</f>
        <v>0</v>
      </c>
      <c r="J31" s="354"/>
      <c r="K31" s="248"/>
      <c r="L31" s="354"/>
      <c r="M31" s="164">
        <f>+I31+K31</f>
        <v>0</v>
      </c>
      <c r="O31" s="355">
        <f>ROUND(M31/1000,0)</f>
        <v>0</v>
      </c>
      <c r="Q31" s="321">
        <v>0</v>
      </c>
      <c r="S31" s="356">
        <f>ROUND(Q31/$BC$2,0)</f>
        <v>0</v>
      </c>
      <c r="U31" s="353">
        <f t="shared" si="6"/>
        <v>0</v>
      </c>
      <c r="W31" s="248">
        <f>-Y31</f>
        <v>0</v>
      </c>
      <c r="X31" s="357"/>
      <c r="Y31" s="248">
        <v>0</v>
      </c>
      <c r="Z31" s="357"/>
      <c r="AA31" s="357">
        <f>+W31+Y31</f>
        <v>0</v>
      </c>
      <c r="AC31" s="355">
        <f>ROUND(AA31/1000,0)</f>
        <v>0</v>
      </c>
      <c r="AE31" s="356">
        <v>0</v>
      </c>
      <c r="AG31" s="356">
        <f>ROUND(AE31/$BC$3,0)</f>
        <v>0</v>
      </c>
      <c r="AI31" s="353">
        <f>IF(AK31=0,0,AK31/AE31)</f>
        <v>0</v>
      </c>
      <c r="AK31" s="248"/>
      <c r="AL31" s="164"/>
      <c r="AM31" s="164">
        <v>0</v>
      </c>
      <c r="AO31" s="323">
        <f>+AK31+AM31</f>
        <v>0</v>
      </c>
      <c r="AQ31" s="355">
        <f t="shared" si="2"/>
        <v>0</v>
      </c>
      <c r="AS31" s="321">
        <f>+AE31+Q31+C31</f>
        <v>0</v>
      </c>
      <c r="AU31" s="321">
        <f>+AG31+S31+E31</f>
        <v>0</v>
      </c>
      <c r="AW31" s="353">
        <f>IF(AY31=0,0,AY31/AS31)</f>
        <v>0</v>
      </c>
      <c r="AX31" s="353"/>
      <c r="AY31" s="359">
        <f>+AK31+W31+I31</f>
        <v>0</v>
      </c>
      <c r="AZ31" s="359"/>
      <c r="BA31" s="359">
        <f>+AM31+Y31+K31</f>
        <v>0</v>
      </c>
      <c r="BB31" s="359"/>
      <c r="BC31" s="359">
        <f>+AO31+AA31+M31</f>
        <v>0</v>
      </c>
      <c r="BD31" s="174"/>
      <c r="BE31" s="360">
        <f>ROUND(BC31/1000,0)</f>
        <v>0</v>
      </c>
    </row>
    <row r="32" spans="1:57">
      <c r="A32" s="362" t="s">
        <v>78</v>
      </c>
      <c r="B32" s="363"/>
      <c r="C32" s="364">
        <f>+C31+C28+C29</f>
        <v>1859946</v>
      </c>
      <c r="D32" s="363"/>
      <c r="E32" s="365">
        <f>SUM(E28:E31)</f>
        <v>59998</v>
      </c>
      <c r="F32" s="363"/>
      <c r="G32" s="366">
        <f t="shared" si="5"/>
        <v>0.18000522595817298</v>
      </c>
      <c r="H32" s="363"/>
      <c r="I32" s="367">
        <f>SUM(I27:I31)</f>
        <v>334800</v>
      </c>
      <c r="J32" s="370"/>
      <c r="K32" s="367">
        <f>SUM(K27:K31)</f>
        <v>0</v>
      </c>
      <c r="L32" s="370"/>
      <c r="M32" s="367">
        <f>SUM(M27:M31)</f>
        <v>334800</v>
      </c>
      <c r="N32" s="363"/>
      <c r="O32" s="365">
        <f>SUM(O27:O31)</f>
        <v>334</v>
      </c>
      <c r="P32" s="363"/>
      <c r="Q32" s="371">
        <f>SUM(Q28:Q31)</f>
        <v>0</v>
      </c>
      <c r="R32" s="363"/>
      <c r="S32" s="371">
        <f>SUM(S28:S31)</f>
        <v>0</v>
      </c>
      <c r="T32" s="363"/>
      <c r="U32" s="366">
        <f t="shared" si="6"/>
        <v>0</v>
      </c>
      <c r="V32" s="363"/>
      <c r="W32" s="367">
        <f>SUM(W27:W31)</f>
        <v>0</v>
      </c>
      <c r="X32" s="368"/>
      <c r="Y32" s="372">
        <f>SUM(Y27:Y31)</f>
        <v>0</v>
      </c>
      <c r="Z32" s="368"/>
      <c r="AA32" s="372">
        <f>SUM(AA27:AA31)</f>
        <v>0</v>
      </c>
      <c r="AB32" s="363"/>
      <c r="AC32" s="365">
        <f>SUM(AC27:AC31)</f>
        <v>0</v>
      </c>
      <c r="AD32" s="363"/>
      <c r="AE32" s="371">
        <f>SUM(AE28:AE31)</f>
        <v>0</v>
      </c>
      <c r="AF32" s="363"/>
      <c r="AG32" s="371">
        <f>SUM(AG28:AG31)</f>
        <v>0</v>
      </c>
      <c r="AH32" s="363"/>
      <c r="AI32" s="366">
        <f>IF(AK32=0,0,AK32/AE32)</f>
        <v>0</v>
      </c>
      <c r="AJ32" s="363"/>
      <c r="AK32" s="372">
        <f>SUM(AK27:AK31)</f>
        <v>0</v>
      </c>
      <c r="AL32" s="363"/>
      <c r="AM32" s="372">
        <f>SUM(AM27:AM31)</f>
        <v>0</v>
      </c>
      <c r="AN32" s="363"/>
      <c r="AO32" s="372">
        <f>SUM(AO27:AO31)</f>
        <v>0</v>
      </c>
      <c r="AP32" s="363"/>
      <c r="AQ32" s="365">
        <f>SUM(AQ27:AQ31)</f>
        <v>0</v>
      </c>
      <c r="AR32" s="363"/>
      <c r="AS32" s="371">
        <f>SUM(AS28:AS31)</f>
        <v>1859946</v>
      </c>
      <c r="AT32" s="363"/>
      <c r="AU32" s="371">
        <f>SUM(AU28:AU31)</f>
        <v>59998</v>
      </c>
      <c r="AV32" s="363"/>
      <c r="AW32" s="366">
        <f>IF(AY32=0,0,AY32/AS32)</f>
        <v>0.18000522595817298</v>
      </c>
      <c r="AX32" s="373"/>
      <c r="AY32" s="372">
        <f>SUM(AY27:AY31)</f>
        <v>334800</v>
      </c>
      <c r="AZ32" s="368"/>
      <c r="BA32" s="372">
        <f>SUM(BA27:BA31)</f>
        <v>0</v>
      </c>
      <c r="BB32" s="368"/>
      <c r="BC32" s="372">
        <f>SUM(BC27:BC31)</f>
        <v>334800</v>
      </c>
      <c r="BD32" s="368"/>
      <c r="BE32" s="374">
        <f>SUM(BE27:BE31)</f>
        <v>334</v>
      </c>
    </row>
    <row r="33" spans="1:57">
      <c r="A33" s="362"/>
      <c r="B33" s="363"/>
      <c r="C33" s="375"/>
      <c r="D33" s="363"/>
      <c r="E33" s="376"/>
      <c r="F33" s="363"/>
      <c r="G33" s="377"/>
      <c r="H33" s="363"/>
      <c r="I33" s="378"/>
      <c r="J33" s="370"/>
      <c r="K33" s="378"/>
      <c r="L33" s="370"/>
      <c r="M33" s="378"/>
      <c r="N33" s="363"/>
      <c r="O33" s="376"/>
      <c r="P33" s="363"/>
      <c r="Q33" s="379"/>
      <c r="R33" s="363"/>
      <c r="S33" s="379"/>
      <c r="T33" s="363"/>
      <c r="U33" s="377"/>
      <c r="V33" s="363"/>
      <c r="W33" s="378"/>
      <c r="X33" s="368"/>
      <c r="Y33" s="368"/>
      <c r="Z33" s="368"/>
      <c r="AA33" s="368"/>
      <c r="AB33" s="363"/>
      <c r="AC33" s="376"/>
      <c r="AD33" s="363"/>
      <c r="AE33" s="379"/>
      <c r="AF33" s="363"/>
      <c r="AG33" s="379"/>
      <c r="AH33" s="363"/>
      <c r="AI33" s="377"/>
      <c r="AJ33" s="363"/>
      <c r="AK33" s="368"/>
      <c r="AL33" s="363"/>
      <c r="AM33" s="368"/>
      <c r="AN33" s="363"/>
      <c r="AO33" s="368"/>
      <c r="AP33" s="363"/>
      <c r="AQ33" s="376"/>
      <c r="AR33" s="363"/>
      <c r="AS33" s="379"/>
      <c r="AT33" s="363"/>
      <c r="AU33" s="379"/>
      <c r="AV33" s="363"/>
      <c r="AW33" s="377"/>
      <c r="AX33" s="380"/>
      <c r="AY33" s="368"/>
      <c r="AZ33" s="368"/>
      <c r="BA33" s="368"/>
      <c r="BB33" s="368"/>
      <c r="BC33" s="368"/>
      <c r="BD33" s="368"/>
      <c r="BE33" s="381"/>
    </row>
    <row r="34" spans="1:57">
      <c r="A34" s="361" t="s">
        <v>73</v>
      </c>
      <c r="C34" s="165">
        <f>8590100-1860000</f>
        <v>6730100</v>
      </c>
      <c r="E34" s="321">
        <f>ROUND(C34/$BC$1,0)</f>
        <v>217100</v>
      </c>
      <c r="G34" s="353">
        <f t="shared" ref="G34:G39" si="7">IF(I34=0,0,I34/C34)</f>
        <v>0.16186735561135793</v>
      </c>
      <c r="I34" s="248">
        <f>-K34+1389774.49-300391</f>
        <v>1089383.49</v>
      </c>
      <c r="J34" s="354"/>
      <c r="K34" s="248"/>
      <c r="L34" s="354"/>
      <c r="M34" s="164">
        <f>+I34+K34</f>
        <v>1089383.49</v>
      </c>
      <c r="O34" s="355">
        <f>ROUND(M34/1000,0)</f>
        <v>1089</v>
      </c>
      <c r="Q34" s="321">
        <f>0-775000+775000</f>
        <v>0</v>
      </c>
      <c r="S34" s="356">
        <f>ROUND(Q34/$BC$2,0)</f>
        <v>0</v>
      </c>
      <c r="U34" s="353">
        <f t="shared" ref="U34:U39" si="8">IF(W34=0,0,W34/Q34)</f>
        <v>0</v>
      </c>
      <c r="W34" s="248">
        <f>-Y34</f>
        <v>0</v>
      </c>
      <c r="X34" s="357"/>
      <c r="Y34" s="248"/>
      <c r="Z34" s="357"/>
      <c r="AA34" s="357">
        <f>+W34+Y34</f>
        <v>0</v>
      </c>
      <c r="AC34" s="355">
        <f>ROUND(AA34/1000,0)</f>
        <v>0</v>
      </c>
      <c r="AE34" s="356">
        <v>0</v>
      </c>
      <c r="AG34" s="356">
        <f>ROUND(AE34/$BC$3,0)</f>
        <v>0</v>
      </c>
      <c r="AI34" s="353">
        <v>0</v>
      </c>
      <c r="AK34" s="248">
        <v>0</v>
      </c>
      <c r="AL34" s="164"/>
      <c r="AM34" s="164"/>
      <c r="AO34" s="323">
        <f>+AK34+AM34</f>
        <v>0</v>
      </c>
      <c r="AQ34" s="355">
        <f t="shared" si="2"/>
        <v>0</v>
      </c>
      <c r="AS34" s="321">
        <f>+AE34+Q34+C34</f>
        <v>6730100</v>
      </c>
      <c r="AU34" s="321">
        <f>+AG34+S34+E34</f>
        <v>217100</v>
      </c>
      <c r="AW34" s="353">
        <f t="shared" ref="AW34:AW39" si="9">IF(AY34=0,0,AY34/AS34)</f>
        <v>0.16186735561135793</v>
      </c>
      <c r="AX34" s="353"/>
      <c r="AY34" s="359">
        <f>+AK34+W34+I34</f>
        <v>1089383.49</v>
      </c>
      <c r="AZ34" s="359"/>
      <c r="BA34" s="359">
        <f>+AM34+Y34+K34</f>
        <v>0</v>
      </c>
      <c r="BB34" s="359"/>
      <c r="BC34" s="359">
        <f>+AO34+AA34+M34</f>
        <v>1089383.49</v>
      </c>
      <c r="BD34" s="174"/>
      <c r="BE34" s="360">
        <f>ROUND(BC34/1000,0)</f>
        <v>1089</v>
      </c>
    </row>
    <row r="35" spans="1:57">
      <c r="A35" s="361" t="s">
        <v>88</v>
      </c>
      <c r="B35" s="163" t="s">
        <v>21</v>
      </c>
      <c r="C35" s="257">
        <f>7856534-1859946</f>
        <v>5996588</v>
      </c>
      <c r="E35" s="321">
        <f>ROUND(C35/$BC$1,0)</f>
        <v>193438</v>
      </c>
      <c r="G35" s="353">
        <f t="shared" si="7"/>
        <v>1.5547312905272129E-2</v>
      </c>
      <c r="I35" s="248">
        <f>-K35+148248.71-34409</f>
        <v>93230.829999999987</v>
      </c>
      <c r="J35" s="354"/>
      <c r="K35" s="248">
        <f>19401.54+649.94+557.4</f>
        <v>20608.88</v>
      </c>
      <c r="L35" s="354"/>
      <c r="M35" s="164">
        <f>+I35+K35</f>
        <v>113839.70999999999</v>
      </c>
      <c r="O35" s="355">
        <f>ROUND(M35/1000,0)</f>
        <v>114</v>
      </c>
      <c r="Q35" s="321"/>
      <c r="S35" s="356">
        <f>ROUND(Q35/$BC$2,0)</f>
        <v>0</v>
      </c>
      <c r="U35" s="353">
        <v>0</v>
      </c>
      <c r="W35" s="248">
        <f>-Y35</f>
        <v>0</v>
      </c>
      <c r="X35" s="357"/>
      <c r="Y35" s="248"/>
      <c r="Z35" s="357"/>
      <c r="AA35" s="357">
        <f>+W35+Y35</f>
        <v>0</v>
      </c>
      <c r="AC35" s="355">
        <f>ROUND(AA35/1000,0)</f>
        <v>0</v>
      </c>
      <c r="AE35" s="356"/>
      <c r="AG35" s="356">
        <f>ROUND(AE35/$BC$3,0)</f>
        <v>0</v>
      </c>
      <c r="AI35" s="353">
        <f>IF(AK35=0,0,AK35/AE35)</f>
        <v>0</v>
      </c>
      <c r="AK35" s="248"/>
      <c r="AL35" s="164"/>
      <c r="AM35" s="164"/>
      <c r="AO35" s="323">
        <f>+AK35+AM35</f>
        <v>0</v>
      </c>
      <c r="AQ35" s="355">
        <f t="shared" si="2"/>
        <v>0</v>
      </c>
      <c r="AS35" s="321">
        <f>+AE35+Q35+C35</f>
        <v>5996588</v>
      </c>
      <c r="AU35" s="321">
        <f>+AG35+S35+E35</f>
        <v>193438</v>
      </c>
      <c r="AW35" s="353">
        <f t="shared" si="9"/>
        <v>1.5547312905272129E-2</v>
      </c>
      <c r="AX35" s="353"/>
      <c r="AY35" s="359">
        <f>+AK35+W35+I35</f>
        <v>93230.829999999987</v>
      </c>
      <c r="AZ35" s="359"/>
      <c r="BA35" s="359">
        <f>+AM35+Y35+K35</f>
        <v>20608.88</v>
      </c>
      <c r="BB35" s="359"/>
      <c r="BC35" s="359">
        <f>+AO35+AA35+M35</f>
        <v>113839.70999999999</v>
      </c>
      <c r="BD35" s="174"/>
      <c r="BE35" s="360">
        <f>ROUND(BC35/1000,0)</f>
        <v>114</v>
      </c>
    </row>
    <row r="36" spans="1:57">
      <c r="A36" s="361" t="s">
        <v>140</v>
      </c>
      <c r="C36" s="257"/>
      <c r="E36" s="321">
        <f>ROUND(C36/$BC$1,0)</f>
        <v>0</v>
      </c>
      <c r="G36" s="353">
        <f t="shared" si="7"/>
        <v>0</v>
      </c>
      <c r="I36" s="248">
        <f>-K36</f>
        <v>0</v>
      </c>
      <c r="J36" s="354"/>
      <c r="K36" s="248"/>
      <c r="L36" s="354"/>
      <c r="M36" s="164">
        <f>+I36+K36</f>
        <v>0</v>
      </c>
      <c r="O36" s="355">
        <f>ROUND(M36/1000,0)</f>
        <v>0</v>
      </c>
      <c r="Q36" s="321">
        <v>0</v>
      </c>
      <c r="S36" s="356">
        <f>ROUND(Q36/$BC$2,0)</f>
        <v>0</v>
      </c>
      <c r="U36" s="353">
        <f t="shared" si="8"/>
        <v>0</v>
      </c>
      <c r="W36" s="248">
        <f>-Y36</f>
        <v>0</v>
      </c>
      <c r="X36" s="357"/>
      <c r="Y36" s="248">
        <v>0</v>
      </c>
      <c r="Z36" s="357"/>
      <c r="AA36" s="357">
        <f>+W36+Y36</f>
        <v>0</v>
      </c>
      <c r="AC36" s="355">
        <f>ROUND(AA36/1000,0)</f>
        <v>0</v>
      </c>
      <c r="AE36" s="356">
        <v>0</v>
      </c>
      <c r="AG36" s="356">
        <f>ROUND(AE36/$BC$3,0)</f>
        <v>0</v>
      </c>
      <c r="AI36" s="353">
        <f>IF(AK36=0,0,AK36/AE36)</f>
        <v>0</v>
      </c>
      <c r="AK36" s="248"/>
      <c r="AL36" s="164"/>
      <c r="AM36" s="164"/>
      <c r="AO36" s="323">
        <f>+AK36+AM36</f>
        <v>0</v>
      </c>
      <c r="AQ36" s="355">
        <f t="shared" si="2"/>
        <v>0</v>
      </c>
      <c r="AS36" s="321">
        <f>+AE36+Q36+C36</f>
        <v>0</v>
      </c>
      <c r="AU36" s="321">
        <f>+AG36+S36+E36</f>
        <v>0</v>
      </c>
      <c r="AW36" s="353">
        <f t="shared" si="9"/>
        <v>0</v>
      </c>
      <c r="AX36" s="353"/>
      <c r="AY36" s="359">
        <f>+AK36+W36+I36</f>
        <v>0</v>
      </c>
      <c r="AZ36" s="359"/>
      <c r="BA36" s="359">
        <f>+AM36+Y36+K36</f>
        <v>0</v>
      </c>
      <c r="BB36" s="359"/>
      <c r="BC36" s="359">
        <f>+AO36+AA36+M36</f>
        <v>0</v>
      </c>
      <c r="BD36" s="174"/>
      <c r="BE36" s="360">
        <f>ROUND(BC36/1000,0)</f>
        <v>0</v>
      </c>
    </row>
    <row r="37" spans="1:57">
      <c r="A37" s="361" t="s">
        <v>141</v>
      </c>
      <c r="C37" s="257">
        <v>574922</v>
      </c>
      <c r="E37" s="321">
        <f>ROUND(C37/$BC$1,0)</f>
        <v>18546</v>
      </c>
      <c r="G37" s="353">
        <f t="shared" si="7"/>
        <v>1.850000521809915E-2</v>
      </c>
      <c r="I37" s="248">
        <f>-K37+10636.06</f>
        <v>10636.06</v>
      </c>
      <c r="J37" s="354"/>
      <c r="K37" s="248"/>
      <c r="L37" s="354"/>
      <c r="M37" s="164">
        <f>+I37+K37</f>
        <v>10636.06</v>
      </c>
      <c r="O37" s="355">
        <f>ROUND(M37/1000,0)</f>
        <v>11</v>
      </c>
      <c r="Q37" s="321">
        <v>0</v>
      </c>
      <c r="S37" s="356">
        <f>ROUND(Q37/$BC$2,0)</f>
        <v>0</v>
      </c>
      <c r="U37" s="353">
        <f t="shared" si="8"/>
        <v>0</v>
      </c>
      <c r="W37" s="248">
        <f>-Y37</f>
        <v>0</v>
      </c>
      <c r="X37" s="357"/>
      <c r="Y37" s="248"/>
      <c r="Z37" s="357"/>
      <c r="AA37" s="357"/>
      <c r="AC37" s="355"/>
      <c r="AE37" s="356"/>
      <c r="AG37" s="356"/>
      <c r="AI37" s="353"/>
      <c r="AK37" s="248"/>
      <c r="AL37" s="164"/>
      <c r="AM37" s="164"/>
      <c r="AO37" s="323"/>
      <c r="AQ37" s="355"/>
      <c r="AS37" s="321">
        <f>+AE37+Q37+C37</f>
        <v>574922</v>
      </c>
      <c r="AU37" s="321">
        <f>+AG37+S37+E37</f>
        <v>18546</v>
      </c>
      <c r="AW37" s="353">
        <f t="shared" si="9"/>
        <v>1.850000521809915E-2</v>
      </c>
      <c r="AX37" s="353"/>
      <c r="AY37" s="359">
        <f>+AK37+W37+I37</f>
        <v>10636.06</v>
      </c>
      <c r="AZ37" s="359"/>
      <c r="BA37" s="359">
        <f>+AM37+Y37+K37</f>
        <v>0</v>
      </c>
      <c r="BB37" s="359"/>
      <c r="BC37" s="359">
        <f>+AO37+AA37+M37</f>
        <v>10636.06</v>
      </c>
      <c r="BD37" s="174"/>
      <c r="BE37" s="360">
        <f>ROUND(BC37/1000,0)</f>
        <v>11</v>
      </c>
    </row>
    <row r="38" spans="1:57">
      <c r="A38" s="340" t="s">
        <v>142</v>
      </c>
      <c r="C38" s="257">
        <v>33171</v>
      </c>
      <c r="E38" s="321">
        <f>ROUND(C38/$BC$1,0)</f>
        <v>1070</v>
      </c>
      <c r="G38" s="353">
        <f t="shared" si="7"/>
        <v>9.7899972867866517E-2</v>
      </c>
      <c r="I38" s="248">
        <f>-K38+3317.1</f>
        <v>3247.44</v>
      </c>
      <c r="J38" s="354"/>
      <c r="K38" s="248">
        <v>69.66</v>
      </c>
      <c r="L38" s="354"/>
      <c r="M38" s="164">
        <f>+I38+K38</f>
        <v>3317.1</v>
      </c>
      <c r="O38" s="355">
        <f>ROUND(M38/1000,0)</f>
        <v>3</v>
      </c>
      <c r="Q38" s="321"/>
      <c r="S38" s="356">
        <f>ROUND(Q38/$BC$2,0)</f>
        <v>0</v>
      </c>
      <c r="U38" s="353">
        <f t="shared" si="8"/>
        <v>0</v>
      </c>
      <c r="W38" s="248">
        <f>-Y38</f>
        <v>0</v>
      </c>
      <c r="X38" s="357"/>
      <c r="Y38" s="248"/>
      <c r="Z38" s="357"/>
      <c r="AA38" s="357">
        <f>+W38+Y38</f>
        <v>0</v>
      </c>
      <c r="AC38" s="355">
        <f>ROUND(AA38/1000,0)</f>
        <v>0</v>
      </c>
      <c r="AE38" s="356">
        <v>0</v>
      </c>
      <c r="AG38" s="356">
        <f>ROUND(AE38/$BC$3,0)</f>
        <v>0</v>
      </c>
      <c r="AI38" s="353">
        <f>IF(AK38=0,0,AK38/AE38)</f>
        <v>0</v>
      </c>
      <c r="AK38" s="248"/>
      <c r="AL38" s="164"/>
      <c r="AM38" s="164">
        <v>0</v>
      </c>
      <c r="AO38" s="323">
        <f>+AK38+AM38</f>
        <v>0</v>
      </c>
      <c r="AQ38" s="355">
        <f t="shared" si="2"/>
        <v>0</v>
      </c>
      <c r="AS38" s="321">
        <f>+AE38+Q38+C38</f>
        <v>33171</v>
      </c>
      <c r="AU38" s="321">
        <f>+AG38+S38+E38</f>
        <v>1070</v>
      </c>
      <c r="AW38" s="353">
        <f t="shared" si="9"/>
        <v>9.7899972867866517E-2</v>
      </c>
      <c r="AX38" s="353"/>
      <c r="AY38" s="359">
        <f>+AK38+W38+I38</f>
        <v>3247.44</v>
      </c>
      <c r="AZ38" s="359"/>
      <c r="BA38" s="359">
        <f>+AM38+Y38+K38</f>
        <v>69.66</v>
      </c>
      <c r="BB38" s="359"/>
      <c r="BC38" s="359">
        <f>+AO38+AA38+M38</f>
        <v>3317.1</v>
      </c>
      <c r="BD38" s="174"/>
      <c r="BE38" s="360">
        <f>ROUND(BC38/1000,0)</f>
        <v>3</v>
      </c>
    </row>
    <row r="39" spans="1:57">
      <c r="A39" s="362" t="s">
        <v>78</v>
      </c>
      <c r="B39" s="363"/>
      <c r="C39" s="364">
        <f>SUM(C35:C38)</f>
        <v>6604681</v>
      </c>
      <c r="D39" s="363"/>
      <c r="E39" s="365">
        <f>SUM(E35:E38)</f>
        <v>213054</v>
      </c>
      <c r="F39" s="363"/>
      <c r="G39" s="366">
        <f t="shared" si="7"/>
        <v>0.18115906279198044</v>
      </c>
      <c r="H39" s="363"/>
      <c r="I39" s="367">
        <f>SUM(I34:I38)</f>
        <v>1196497.82</v>
      </c>
      <c r="J39" s="370"/>
      <c r="K39" s="367">
        <f>SUM(K34:K38)</f>
        <v>20678.54</v>
      </c>
      <c r="L39" s="370"/>
      <c r="M39" s="367">
        <f>SUM(M34:M38)</f>
        <v>1217176.3600000001</v>
      </c>
      <c r="N39" s="363"/>
      <c r="O39" s="374">
        <f>SUM(O34:O38)</f>
        <v>1217</v>
      </c>
      <c r="P39" s="363"/>
      <c r="Q39" s="371">
        <f>SUM(Q34:Q38)</f>
        <v>0</v>
      </c>
      <c r="R39" s="363"/>
      <c r="S39" s="371">
        <f>SUM(S35:S38)</f>
        <v>0</v>
      </c>
      <c r="T39" s="363"/>
      <c r="U39" s="366">
        <f t="shared" si="8"/>
        <v>0</v>
      </c>
      <c r="V39" s="363"/>
      <c r="W39" s="367">
        <f>SUM(W34:W38)</f>
        <v>0</v>
      </c>
      <c r="X39" s="368"/>
      <c r="Y39" s="372">
        <f>SUM(Y34:Y38)</f>
        <v>0</v>
      </c>
      <c r="Z39" s="368"/>
      <c r="AA39" s="372">
        <f>SUM(AA34:AA38)</f>
        <v>0</v>
      </c>
      <c r="AB39" s="363"/>
      <c r="AC39" s="365">
        <f>SUM(AC34:AC38)</f>
        <v>0</v>
      </c>
      <c r="AD39" s="363"/>
      <c r="AE39" s="371">
        <f>SUM(AE35:AE38)</f>
        <v>0</v>
      </c>
      <c r="AF39" s="363"/>
      <c r="AG39" s="371">
        <f>SUM(AG35:AG38)</f>
        <v>0</v>
      </c>
      <c r="AH39" s="363"/>
      <c r="AI39" s="366">
        <f>IF(AK39=0,0,AK39/AE39)</f>
        <v>0</v>
      </c>
      <c r="AJ39" s="363"/>
      <c r="AK39" s="372">
        <f>SUM(AK34:AK38)</f>
        <v>0</v>
      </c>
      <c r="AL39" s="363"/>
      <c r="AM39" s="372">
        <f>SUM(AM34:AM38)</f>
        <v>0</v>
      </c>
      <c r="AN39" s="363"/>
      <c r="AO39" s="372">
        <f>SUM(AO34:AO38)</f>
        <v>0</v>
      </c>
      <c r="AP39" s="363"/>
      <c r="AQ39" s="365">
        <f>SUM(AQ34:AQ38)</f>
        <v>0</v>
      </c>
      <c r="AR39" s="363"/>
      <c r="AS39" s="371">
        <f>SUM(AS35:AS38)</f>
        <v>6604681</v>
      </c>
      <c r="AT39" s="363"/>
      <c r="AU39" s="371">
        <f>SUM(AU35:AU38)</f>
        <v>213054</v>
      </c>
      <c r="AV39" s="363"/>
      <c r="AW39" s="366">
        <f t="shared" si="9"/>
        <v>0.18115906279198044</v>
      </c>
      <c r="AX39" s="373"/>
      <c r="AY39" s="372">
        <f>SUM(AY34:AY38)</f>
        <v>1196497.82</v>
      </c>
      <c r="AZ39" s="368"/>
      <c r="BA39" s="372">
        <f>SUM(BA34:BA38)</f>
        <v>20678.54</v>
      </c>
      <c r="BB39" s="368"/>
      <c r="BC39" s="372">
        <f>SUM(BC34:BC38)</f>
        <v>1217176.3600000001</v>
      </c>
      <c r="BD39" s="382"/>
      <c r="BE39" s="374">
        <f>SUM(BE34:BE38)</f>
        <v>1217</v>
      </c>
    </row>
    <row r="40" spans="1:57">
      <c r="A40" s="340"/>
      <c r="C40" s="257"/>
      <c r="E40" s="321"/>
      <c r="G40" s="353"/>
      <c r="I40" s="248"/>
      <c r="J40" s="354"/>
      <c r="K40" s="248"/>
      <c r="L40" s="354"/>
      <c r="O40" s="355"/>
      <c r="Q40" s="321"/>
      <c r="S40" s="356"/>
      <c r="U40" s="353"/>
      <c r="W40" s="248"/>
      <c r="X40" s="357"/>
      <c r="Y40" s="357"/>
      <c r="Z40" s="357"/>
      <c r="AA40" s="357"/>
      <c r="AC40" s="355"/>
      <c r="AE40" s="356"/>
      <c r="AG40" s="356"/>
      <c r="AI40" s="353"/>
      <c r="AK40" s="354"/>
      <c r="AM40" s="323"/>
      <c r="AO40" s="323"/>
      <c r="AQ40" s="355"/>
      <c r="AS40" s="321"/>
      <c r="AU40" s="356"/>
      <c r="AW40" s="353"/>
      <c r="AX40" s="353"/>
      <c r="AY40" s="359"/>
      <c r="AZ40" s="359"/>
      <c r="BA40" s="359"/>
      <c r="BB40" s="359"/>
      <c r="BC40" s="359"/>
      <c r="BD40" s="174"/>
      <c r="BE40" s="360"/>
    </row>
    <row r="41" spans="1:57">
      <c r="A41" s="361" t="s">
        <v>73</v>
      </c>
      <c r="C41" s="257">
        <v>40300</v>
      </c>
      <c r="E41" s="321">
        <f>ROUND(C41/$BC$1,0)</f>
        <v>1300</v>
      </c>
      <c r="G41" s="353">
        <f t="shared" ref="G41:G46" si="10">IF(I41=0,0,I41/C41)</f>
        <v>0.22889999999999999</v>
      </c>
      <c r="I41" s="248">
        <f>-K41+9345.57</f>
        <v>9224.67</v>
      </c>
      <c r="J41" s="354"/>
      <c r="K41" s="248">
        <v>120.9</v>
      </c>
      <c r="L41" s="354"/>
      <c r="M41" s="164">
        <f>+I41+K41</f>
        <v>9345.57</v>
      </c>
      <c r="O41" s="355">
        <f>ROUND(M41/1000,0)</f>
        <v>9</v>
      </c>
      <c r="Q41" s="321">
        <v>0</v>
      </c>
      <c r="S41" s="356">
        <f>ROUND(Q41/$BC$2,0)</f>
        <v>0</v>
      </c>
      <c r="U41" s="353">
        <f t="shared" ref="U41:U46" si="11">IF(W41=0,0,W41/Q41)</f>
        <v>0</v>
      </c>
      <c r="W41" s="248">
        <f>-Y41</f>
        <v>0</v>
      </c>
      <c r="X41" s="357"/>
      <c r="Y41" s="248">
        <v>0</v>
      </c>
      <c r="Z41" s="357"/>
      <c r="AA41" s="357">
        <f>+W41+Y41</f>
        <v>0</v>
      </c>
      <c r="AC41" s="355">
        <f>ROUND(AA41/1000,0)</f>
        <v>0</v>
      </c>
      <c r="AE41" s="356">
        <v>0</v>
      </c>
      <c r="AG41" s="356">
        <f>ROUND(AE41/$BC$3,0)</f>
        <v>0</v>
      </c>
      <c r="AI41" s="353">
        <f>IF(AK41=0,0,AK41/AE41)</f>
        <v>0</v>
      </c>
      <c r="AK41" s="248"/>
      <c r="AL41" s="164"/>
      <c r="AM41" s="164">
        <v>0</v>
      </c>
      <c r="AO41" s="323">
        <f>+AK41+AM41</f>
        <v>0</v>
      </c>
      <c r="AQ41" s="355"/>
      <c r="AS41" s="321">
        <f>+AE41+Q41+C41</f>
        <v>40300</v>
      </c>
      <c r="AU41" s="321">
        <f>+AG41+S41+E41</f>
        <v>1300</v>
      </c>
      <c r="AW41" s="353">
        <f>IF(AY41=0,0,AY41/AS41)</f>
        <v>0.22889999999999999</v>
      </c>
      <c r="AX41" s="353"/>
      <c r="AY41" s="359">
        <f>+AK41+W41+I41</f>
        <v>9224.67</v>
      </c>
      <c r="AZ41" s="359"/>
      <c r="BA41" s="359">
        <f>+AM41+Y41+K41</f>
        <v>120.9</v>
      </c>
      <c r="BB41" s="359"/>
      <c r="BC41" s="359">
        <f>+AO41+AA41+M41</f>
        <v>9345.57</v>
      </c>
      <c r="BD41" s="174"/>
      <c r="BE41" s="360">
        <f>ROUND(BC41/1000,0)</f>
        <v>9</v>
      </c>
    </row>
    <row r="42" spans="1:57">
      <c r="A42" s="361" t="s">
        <v>143</v>
      </c>
      <c r="C42" s="257">
        <v>40300</v>
      </c>
      <c r="E42" s="321">
        <f>ROUND(C42/$BC$1,0)</f>
        <v>1300</v>
      </c>
      <c r="G42" s="353">
        <f t="shared" si="10"/>
        <v>1.5300000000000001E-2</v>
      </c>
      <c r="I42" s="248">
        <f>-K42+983.32</f>
        <v>616.59</v>
      </c>
      <c r="J42" s="354"/>
      <c r="K42" s="248">
        <v>366.73</v>
      </c>
      <c r="L42" s="354"/>
      <c r="M42" s="164">
        <f>+I42+K42</f>
        <v>983.32</v>
      </c>
      <c r="O42" s="378">
        <f>SUM(O37:O41)</f>
        <v>1240</v>
      </c>
      <c r="Q42" s="321">
        <v>0</v>
      </c>
      <c r="S42" s="356">
        <f>ROUND(Q42/$BC$2,0)</f>
        <v>0</v>
      </c>
      <c r="U42" s="353">
        <f t="shared" si="11"/>
        <v>0</v>
      </c>
      <c r="W42" s="248">
        <f>-Y42</f>
        <v>0</v>
      </c>
      <c r="X42" s="357"/>
      <c r="Y42" s="248">
        <v>0</v>
      </c>
      <c r="Z42" s="357"/>
      <c r="AA42" s="357">
        <f>+W42+Y42</f>
        <v>0</v>
      </c>
      <c r="AC42" s="355">
        <f>ROUND(AA42/1000,0)</f>
        <v>0</v>
      </c>
      <c r="AE42" s="356">
        <v>0</v>
      </c>
      <c r="AG42" s="356">
        <f>ROUND(AE42/$BC$3,0)</f>
        <v>0</v>
      </c>
      <c r="AI42" s="353">
        <f>IF(AK42=0,0,AK42/AE42)</f>
        <v>0</v>
      </c>
      <c r="AK42" s="248"/>
      <c r="AL42" s="164"/>
      <c r="AM42" s="164">
        <v>0</v>
      </c>
      <c r="AO42" s="323">
        <f>+AK42+AM42</f>
        <v>0</v>
      </c>
      <c r="AQ42" s="355">
        <f>ROUND(AK42/1000,0)</f>
        <v>0</v>
      </c>
      <c r="AS42" s="321">
        <f>+AE42+Q42+C42</f>
        <v>40300</v>
      </c>
      <c r="AU42" s="321">
        <f>+AG42+S42+E42</f>
        <v>1300</v>
      </c>
      <c r="AW42" s="353">
        <f>IF(AY42=0,0,AY42/AS42)</f>
        <v>1.5300000000000001E-2</v>
      </c>
      <c r="AX42" s="353"/>
      <c r="AY42" s="359">
        <f>+AK42+W42+I42</f>
        <v>616.59</v>
      </c>
      <c r="AZ42" s="359"/>
      <c r="BA42" s="359">
        <f>+AM42+Y42+K42</f>
        <v>366.73</v>
      </c>
      <c r="BB42" s="359"/>
      <c r="BC42" s="359">
        <f>+AO42+AA42+M42</f>
        <v>983.32</v>
      </c>
      <c r="BD42" s="174"/>
      <c r="BE42" s="360">
        <f>ROUND(BC42/1000,0)</f>
        <v>1</v>
      </c>
    </row>
    <row r="43" spans="1:57">
      <c r="A43" s="361" t="s">
        <v>144</v>
      </c>
      <c r="C43" s="257"/>
      <c r="E43" s="321">
        <f>ROUND(C43/$BC$1,0)</f>
        <v>0</v>
      </c>
      <c r="G43" s="353">
        <f t="shared" si="10"/>
        <v>0</v>
      </c>
      <c r="I43" s="248">
        <f>-K43</f>
        <v>0</v>
      </c>
      <c r="J43" s="354"/>
      <c r="K43" s="248"/>
      <c r="L43" s="354"/>
      <c r="M43" s="164">
        <f>+I43+K43</f>
        <v>0</v>
      </c>
      <c r="O43" s="355">
        <f>ROUND(M43/1000,0)</f>
        <v>0</v>
      </c>
      <c r="Q43" s="321">
        <v>0</v>
      </c>
      <c r="S43" s="356">
        <f>ROUND(Q43/$BC$2,0)</f>
        <v>0</v>
      </c>
      <c r="U43" s="353">
        <f t="shared" si="11"/>
        <v>0</v>
      </c>
      <c r="W43" s="248">
        <f>-Y43</f>
        <v>0</v>
      </c>
      <c r="X43" s="357"/>
      <c r="Y43" s="248">
        <v>0</v>
      </c>
      <c r="Z43" s="357"/>
      <c r="AA43" s="357">
        <f>+W43+Y43</f>
        <v>0</v>
      </c>
      <c r="AC43" s="355">
        <f>ROUND(AA43/1000,0)</f>
        <v>0</v>
      </c>
      <c r="AE43" s="356">
        <v>0</v>
      </c>
      <c r="AG43" s="356">
        <f>ROUND(AE43/$BC$3,0)</f>
        <v>0</v>
      </c>
      <c r="AI43" s="353">
        <f>IF(AK43=0,0,AK43/AE43)</f>
        <v>0</v>
      </c>
      <c r="AK43" s="248"/>
      <c r="AL43" s="164"/>
      <c r="AM43" s="164">
        <v>0</v>
      </c>
      <c r="AO43" s="323">
        <f>+AK43+AM43</f>
        <v>0</v>
      </c>
      <c r="AQ43" s="355">
        <f>ROUND(AK43/1000,0)</f>
        <v>0</v>
      </c>
      <c r="AS43" s="321">
        <f>+AE43+Q43+C43</f>
        <v>0</v>
      </c>
      <c r="AU43" s="321">
        <f>+AG43+S43+E43</f>
        <v>0</v>
      </c>
      <c r="AW43" s="353">
        <f>IF(AY43=0,0,AY43/AS43)</f>
        <v>0</v>
      </c>
      <c r="AX43" s="353"/>
      <c r="AY43" s="359">
        <f>+AK43+W43+I43</f>
        <v>0</v>
      </c>
      <c r="AZ43" s="359"/>
      <c r="BA43" s="359">
        <f>+AM43+Y43+K43</f>
        <v>0</v>
      </c>
      <c r="BB43" s="359"/>
      <c r="BC43" s="359">
        <f>+AO43+AA43+M43</f>
        <v>0</v>
      </c>
      <c r="BD43" s="174"/>
      <c r="BE43" s="360">
        <f>ROUND(BC43/1000,0)</f>
        <v>0</v>
      </c>
    </row>
    <row r="44" spans="1:57">
      <c r="A44" s="361" t="s">
        <v>145</v>
      </c>
      <c r="C44" s="257"/>
      <c r="E44" s="321">
        <f>ROUND(C44/$BC$1,0)</f>
        <v>0</v>
      </c>
      <c r="G44" s="353">
        <f t="shared" si="10"/>
        <v>0</v>
      </c>
      <c r="I44" s="248">
        <f>-K44</f>
        <v>0</v>
      </c>
      <c r="J44" s="354"/>
      <c r="K44" s="248"/>
      <c r="L44" s="354"/>
      <c r="M44" s="164">
        <f>+I44+K44</f>
        <v>0</v>
      </c>
      <c r="O44" s="355">
        <f>ROUND(M44/1000,0)</f>
        <v>0</v>
      </c>
      <c r="Q44" s="321">
        <v>0</v>
      </c>
      <c r="S44" s="356">
        <f>ROUND(Q44/$BC$2,0)</f>
        <v>0</v>
      </c>
      <c r="U44" s="353">
        <f t="shared" si="11"/>
        <v>0</v>
      </c>
      <c r="W44" s="248">
        <f>-Y44</f>
        <v>0</v>
      </c>
      <c r="X44" s="357"/>
      <c r="Y44" s="248"/>
      <c r="Z44" s="357"/>
      <c r="AA44" s="357"/>
      <c r="AC44" s="355"/>
      <c r="AE44" s="356"/>
      <c r="AG44" s="356"/>
      <c r="AI44" s="353"/>
      <c r="AK44" s="248"/>
      <c r="AL44" s="164"/>
      <c r="AM44" s="164"/>
      <c r="AO44" s="323"/>
      <c r="AQ44" s="355"/>
      <c r="AS44" s="321"/>
      <c r="AU44" s="321"/>
      <c r="AW44" s="353"/>
      <c r="AX44" s="353"/>
      <c r="AY44" s="359">
        <f>+AK44+W44+I44</f>
        <v>0</v>
      </c>
      <c r="AZ44" s="359"/>
      <c r="BA44" s="359">
        <f>+AM44+Y44+K44</f>
        <v>0</v>
      </c>
      <c r="BB44" s="359"/>
      <c r="BC44" s="359">
        <f>+AO44+AA44+M44</f>
        <v>0</v>
      </c>
      <c r="BD44" s="174"/>
      <c r="BE44" s="360">
        <f>ROUND(BC44/1000,0)</f>
        <v>0</v>
      </c>
    </row>
    <row r="45" spans="1:57">
      <c r="A45" s="361" t="s">
        <v>146</v>
      </c>
      <c r="B45" s="163" t="s">
        <v>21</v>
      </c>
      <c r="C45" s="257">
        <v>151233</v>
      </c>
      <c r="E45" s="321">
        <f>ROUND(C45/$BC$1,0)</f>
        <v>4878</v>
      </c>
      <c r="G45" s="353">
        <f t="shared" si="10"/>
        <v>0.25438786508235639</v>
      </c>
      <c r="I45" s="248">
        <f>-K45+39743.54</f>
        <v>38471.840000000004</v>
      </c>
      <c r="J45" s="354"/>
      <c r="K45" s="248">
        <v>1271.7</v>
      </c>
      <c r="L45" s="354"/>
      <c r="M45" s="164">
        <f>+I45+K45</f>
        <v>39743.54</v>
      </c>
      <c r="O45" s="355">
        <f>ROUND(M45/1000,0)</f>
        <v>40</v>
      </c>
      <c r="Q45" s="321">
        <v>0</v>
      </c>
      <c r="S45" s="356">
        <f>ROUND(Q45/$BC$2,0)</f>
        <v>0</v>
      </c>
      <c r="U45" s="353">
        <f t="shared" si="11"/>
        <v>0</v>
      </c>
      <c r="W45" s="248">
        <f>-Y45</f>
        <v>0</v>
      </c>
      <c r="X45" s="357"/>
      <c r="Y45" s="248"/>
      <c r="Z45" s="357"/>
      <c r="AA45" s="357">
        <f>+W45+Y45</f>
        <v>0</v>
      </c>
      <c r="AC45" s="355">
        <f>ROUND(AA45/1000,0)</f>
        <v>0</v>
      </c>
      <c r="AE45" s="356">
        <v>0</v>
      </c>
      <c r="AG45" s="356">
        <f>ROUND(AE45/$BC$3,0)</f>
        <v>0</v>
      </c>
      <c r="AI45" s="353">
        <f>IF(AK45=0,0,AK45/AE45)</f>
        <v>0</v>
      </c>
      <c r="AK45" s="248"/>
      <c r="AL45" s="164"/>
      <c r="AM45" s="164">
        <v>0</v>
      </c>
      <c r="AO45" s="323">
        <f>+AK45+AM45</f>
        <v>0</v>
      </c>
      <c r="AQ45" s="355">
        <f>ROUND(AK45/1000,0)</f>
        <v>0</v>
      </c>
      <c r="AS45" s="321">
        <f>+AE45+Q45+C45</f>
        <v>151233</v>
      </c>
      <c r="AU45" s="321">
        <f>+AG45+S45+E45</f>
        <v>4878</v>
      </c>
      <c r="AW45" s="353">
        <f>IF(AY45=0,0,AY45/AS45)</f>
        <v>0.25438786508235639</v>
      </c>
      <c r="AX45" s="353"/>
      <c r="AY45" s="359">
        <f>+AK45+W45+I45</f>
        <v>38471.840000000004</v>
      </c>
      <c r="AZ45" s="359"/>
      <c r="BA45" s="359">
        <f>+AM45+Y45+K45</f>
        <v>1271.7</v>
      </c>
      <c r="BB45" s="359"/>
      <c r="BC45" s="359">
        <f>+AO45+AA45+M45</f>
        <v>39743.54</v>
      </c>
      <c r="BD45" s="174"/>
      <c r="BE45" s="360">
        <f>ROUND(BC45/1000,0)</f>
        <v>40</v>
      </c>
    </row>
    <row r="46" spans="1:57">
      <c r="A46" s="362" t="s">
        <v>78</v>
      </c>
      <c r="B46" s="363"/>
      <c r="C46" s="364">
        <f>SUM(C42:C45)</f>
        <v>191533</v>
      </c>
      <c r="D46" s="363"/>
      <c r="E46" s="365">
        <f>SUM(E42:E45)</f>
        <v>6178</v>
      </c>
      <c r="F46" s="363"/>
      <c r="G46" s="366">
        <f t="shared" si="10"/>
        <v>0.25224426078012668</v>
      </c>
      <c r="H46" s="363"/>
      <c r="I46" s="367">
        <f>SUM(I41:I45)</f>
        <v>48313.100000000006</v>
      </c>
      <c r="J46" s="370"/>
      <c r="K46" s="367">
        <f>SUM(K41:K45)</f>
        <v>1759.33</v>
      </c>
      <c r="L46" s="370"/>
      <c r="M46" s="367">
        <f>SUM(M41:M45)</f>
        <v>50072.43</v>
      </c>
      <c r="N46" s="363"/>
      <c r="O46" s="383">
        <f>ROUND(M46/1000,0)</f>
        <v>50</v>
      </c>
      <c r="P46" s="363"/>
      <c r="Q46" s="371">
        <f>SUM(Q42:Q45)</f>
        <v>0</v>
      </c>
      <c r="R46" s="363"/>
      <c r="S46" s="371">
        <f>SUM(S42:S45)</f>
        <v>0</v>
      </c>
      <c r="T46" s="363"/>
      <c r="U46" s="366">
        <f t="shared" si="11"/>
        <v>0</v>
      </c>
      <c r="V46" s="363"/>
      <c r="W46" s="367">
        <f>SUM(W41:W45)</f>
        <v>0</v>
      </c>
      <c r="X46" s="368"/>
      <c r="Y46" s="372">
        <f>SUM(Y41:Y45)</f>
        <v>0</v>
      </c>
      <c r="Z46" s="368"/>
      <c r="AA46" s="372">
        <f>SUM(AA41:AA45)</f>
        <v>0</v>
      </c>
      <c r="AB46" s="363"/>
      <c r="AC46" s="365">
        <f>SUM(AC41:AC45)</f>
        <v>0</v>
      </c>
      <c r="AD46" s="363"/>
      <c r="AE46" s="371">
        <f>SUM(AE42:AE45)</f>
        <v>0</v>
      </c>
      <c r="AF46" s="363"/>
      <c r="AG46" s="371">
        <f>SUM(AG42:AG45)</f>
        <v>0</v>
      </c>
      <c r="AH46" s="363"/>
      <c r="AI46" s="366">
        <f>IF(AK46=0,0,AK46/AE46)</f>
        <v>0</v>
      </c>
      <c r="AJ46" s="363"/>
      <c r="AK46" s="372">
        <f>SUM(AK41:AK45)</f>
        <v>0</v>
      </c>
      <c r="AL46" s="363"/>
      <c r="AM46" s="372">
        <f>SUM(AM41:AM45)</f>
        <v>0</v>
      </c>
      <c r="AN46" s="363"/>
      <c r="AO46" s="372">
        <f>SUM(AO41:AO45)</f>
        <v>0</v>
      </c>
      <c r="AP46" s="363"/>
      <c r="AQ46" s="365">
        <f>SUM(AQ41:AQ45)</f>
        <v>0</v>
      </c>
      <c r="AR46" s="363"/>
      <c r="AS46" s="371">
        <f>SUM(AS42:AS45)</f>
        <v>191533</v>
      </c>
      <c r="AT46" s="363"/>
      <c r="AU46" s="371">
        <f>SUM(AU42:AU45)</f>
        <v>6178</v>
      </c>
      <c r="AV46" s="363"/>
      <c r="AW46" s="366">
        <f>IF(AY46=0,0,AY46/AS46)</f>
        <v>0.25224426078012668</v>
      </c>
      <c r="AX46" s="373"/>
      <c r="AY46" s="372">
        <f>SUM(AY41:AY45)</f>
        <v>48313.100000000006</v>
      </c>
      <c r="AZ46" s="368"/>
      <c r="BA46" s="372">
        <f>SUM(BA41:BA45)</f>
        <v>1759.33</v>
      </c>
      <c r="BB46" s="368"/>
      <c r="BC46" s="372">
        <f>SUM(BC41:BC45)</f>
        <v>50072.43</v>
      </c>
      <c r="BD46" s="382"/>
      <c r="BE46" s="374">
        <f>SUM(BE41:BE45)</f>
        <v>50</v>
      </c>
    </row>
    <row r="47" spans="1:57">
      <c r="A47" s="361"/>
      <c r="C47" s="257"/>
      <c r="E47" s="321"/>
      <c r="G47" s="353"/>
      <c r="I47" s="248"/>
      <c r="J47" s="354"/>
      <c r="K47" s="248"/>
      <c r="L47" s="354"/>
      <c r="O47" s="355"/>
      <c r="Q47" s="321"/>
      <c r="S47" s="356"/>
      <c r="U47" s="353"/>
      <c r="W47" s="248"/>
      <c r="X47" s="357"/>
      <c r="Y47" s="357"/>
      <c r="Z47" s="357"/>
      <c r="AA47" s="357"/>
      <c r="AC47" s="355"/>
      <c r="AE47" s="356"/>
      <c r="AG47" s="356"/>
      <c r="AI47" s="353"/>
      <c r="AK47" s="354"/>
      <c r="AM47" s="323"/>
      <c r="AO47" s="323"/>
      <c r="AQ47" s="355"/>
      <c r="AS47" s="321"/>
      <c r="AU47" s="356"/>
      <c r="AW47" s="353"/>
      <c r="AX47" s="353"/>
      <c r="AY47" s="359"/>
      <c r="AZ47" s="359"/>
      <c r="BA47" s="359"/>
      <c r="BB47" s="359"/>
      <c r="BC47" s="359"/>
      <c r="BD47" s="174"/>
      <c r="BE47" s="360"/>
    </row>
    <row r="48" spans="1:57">
      <c r="A48" s="362" t="s">
        <v>147</v>
      </c>
      <c r="B48" s="363"/>
      <c r="C48" s="384">
        <f>+C46+C39+C32+C25+C18</f>
        <v>32480537</v>
      </c>
      <c r="D48" s="363"/>
      <c r="E48" s="384">
        <f>+E46+E39+E32+E25+E18</f>
        <v>1047758</v>
      </c>
      <c r="F48" s="363"/>
      <c r="G48" s="366">
        <f>IF(I48=0,0,I48/C48)</f>
        <v>0.26279043508424749</v>
      </c>
      <c r="H48" s="363"/>
      <c r="I48" s="367">
        <f>+I46+I39+I32+I25+I18</f>
        <v>8535574.4499999993</v>
      </c>
      <c r="J48" s="370"/>
      <c r="K48" s="367">
        <f>+K46+K39+K32+K25+K18</f>
        <v>341826.82</v>
      </c>
      <c r="L48" s="370"/>
      <c r="M48" s="367">
        <f>+M46+M39+M32+M25+M18</f>
        <v>8877401.2699999996</v>
      </c>
      <c r="N48" s="363"/>
      <c r="O48" s="374">
        <f>+O46+O39+O32+O25+O18</f>
        <v>8877</v>
      </c>
      <c r="P48" s="363"/>
      <c r="Q48" s="384">
        <f>+Q46+Q39+Q32+Q25+Q18</f>
        <v>3180</v>
      </c>
      <c r="R48" s="363"/>
      <c r="S48" s="384">
        <f>+S46+S39+S32+S25+S18</f>
        <v>106</v>
      </c>
      <c r="T48" s="363"/>
      <c r="U48" s="366">
        <f>IF(W48=0,0,W48/Q48)</f>
        <v>0.13279874213836476</v>
      </c>
      <c r="V48" s="363"/>
      <c r="W48" s="367">
        <f>+W46+W39+W32+W25+W18</f>
        <v>422.29999999999995</v>
      </c>
      <c r="X48" s="370"/>
      <c r="Y48" s="367">
        <f>+Y46+Y39+Y32+Y25+Y18</f>
        <v>41.66</v>
      </c>
      <c r="Z48" s="370"/>
      <c r="AA48" s="367">
        <f>+AA46+AA39+AA32+AA25+AA18</f>
        <v>463.95999999999992</v>
      </c>
      <c r="AB48" s="363"/>
      <c r="AC48" s="374">
        <f>+AC46+AC39+AC32+AC25+AC18</f>
        <v>0</v>
      </c>
      <c r="AD48" s="363"/>
      <c r="AE48" s="384">
        <f>+AE46+AE39+AE32+AE25+AE18</f>
        <v>0</v>
      </c>
      <c r="AF48" s="363"/>
      <c r="AG48" s="384">
        <f>+AG46+AG39+AG32+AG25+AG18</f>
        <v>0</v>
      </c>
      <c r="AH48" s="363"/>
      <c r="AI48" s="366">
        <f>IF(AK48=0,0,AK48/AE48)</f>
        <v>0</v>
      </c>
      <c r="AJ48" s="363"/>
      <c r="AK48" s="367">
        <f>+AK46+AK39+AK32+AK25+AK18</f>
        <v>0</v>
      </c>
      <c r="AL48" s="370"/>
      <c r="AM48" s="367">
        <f>+AM46+AM39+AM32+AM25+AM18</f>
        <v>0</v>
      </c>
      <c r="AN48" s="370"/>
      <c r="AO48" s="367">
        <f>+AO46+AO39+AO32+AO25+AO18</f>
        <v>0</v>
      </c>
      <c r="AP48" s="363"/>
      <c r="AQ48" s="374">
        <f>+AQ46+AQ39+AQ32+AQ25+AQ18</f>
        <v>0</v>
      </c>
      <c r="AR48" s="363"/>
      <c r="AS48" s="384">
        <f>+AS46+AS39+AS32+AS25+AS18</f>
        <v>32483717</v>
      </c>
      <c r="AT48" s="363"/>
      <c r="AU48" s="384">
        <f>+AU46+AU39+AU32+AU25+AU18</f>
        <v>1047864</v>
      </c>
      <c r="AV48" s="363"/>
      <c r="AW48" s="366">
        <f>IF(AY48=0,0,AY48/AS48)</f>
        <v>0.26277770952135804</v>
      </c>
      <c r="AX48" s="363"/>
      <c r="AY48" s="367">
        <f>+AY46+AY39+AY32+AY25+AY18</f>
        <v>8535996.75</v>
      </c>
      <c r="AZ48" s="370"/>
      <c r="BA48" s="367">
        <f>+BA46+BA39+BA32+BA25+BA18</f>
        <v>341868.48</v>
      </c>
      <c r="BB48" s="370"/>
      <c r="BC48" s="367">
        <f>+BC46+BC39+BC32+BC25+BC18</f>
        <v>8877865.2300000004</v>
      </c>
      <c r="BD48" s="363"/>
      <c r="BE48" s="374">
        <f>+BE46+BE39+BE32+BE25+BE18</f>
        <v>8877</v>
      </c>
    </row>
    <row r="49" spans="1:57">
      <c r="A49" s="352" t="s">
        <v>48</v>
      </c>
      <c r="B49" s="363"/>
      <c r="C49" s="375"/>
      <c r="D49" s="363"/>
      <c r="E49" s="376"/>
      <c r="F49" s="363"/>
      <c r="G49" s="377"/>
      <c r="H49" s="363"/>
      <c r="I49" s="378"/>
      <c r="J49" s="370"/>
      <c r="K49" s="378"/>
      <c r="L49" s="370"/>
      <c r="M49" s="385"/>
      <c r="N49" s="363"/>
      <c r="O49" s="386"/>
      <c r="P49" s="363"/>
      <c r="Q49" s="387"/>
      <c r="R49" s="363"/>
      <c r="S49" s="388"/>
      <c r="T49" s="363"/>
      <c r="U49" s="377"/>
      <c r="V49" s="363"/>
      <c r="W49" s="389"/>
      <c r="X49" s="390"/>
      <c r="Y49" s="390"/>
      <c r="Z49" s="390"/>
      <c r="AA49" s="390"/>
      <c r="AB49" s="363"/>
      <c r="AC49" s="386"/>
      <c r="AD49" s="363"/>
      <c r="AE49" s="388"/>
      <c r="AF49" s="363"/>
      <c r="AG49" s="388"/>
      <c r="AH49" s="363"/>
      <c r="AI49" s="377"/>
      <c r="AJ49" s="363"/>
      <c r="AK49" s="391"/>
      <c r="AL49" s="363"/>
      <c r="AM49" s="392"/>
      <c r="AN49" s="363"/>
      <c r="AO49" s="392"/>
      <c r="AP49" s="363"/>
      <c r="AQ49" s="386"/>
      <c r="AR49" s="363"/>
      <c r="AS49" s="387"/>
      <c r="AT49" s="363"/>
      <c r="AU49" s="388"/>
      <c r="AV49" s="363"/>
      <c r="AW49" s="377"/>
      <c r="AX49" s="393"/>
      <c r="AY49" s="394"/>
      <c r="AZ49" s="394"/>
      <c r="BA49" s="395"/>
      <c r="BB49" s="394"/>
      <c r="BC49" s="394"/>
      <c r="BD49" s="382"/>
      <c r="BE49" s="396"/>
    </row>
    <row r="50" spans="1:57">
      <c r="A50" s="352" t="s">
        <v>148</v>
      </c>
      <c r="C50" s="257"/>
      <c r="E50" s="321"/>
      <c r="G50" s="353"/>
      <c r="I50" s="248"/>
      <c r="J50" s="354"/>
      <c r="K50" s="248"/>
      <c r="L50" s="354"/>
      <c r="O50" s="355"/>
      <c r="Q50" s="321"/>
      <c r="S50" s="356"/>
      <c r="U50" s="353"/>
      <c r="W50" s="248"/>
      <c r="X50" s="357"/>
      <c r="Y50" s="357"/>
      <c r="Z50" s="357"/>
      <c r="AA50" s="357"/>
      <c r="AC50" s="355"/>
      <c r="AE50" s="356"/>
      <c r="AG50" s="356"/>
      <c r="AI50" s="353"/>
      <c r="AK50" s="354"/>
      <c r="AM50" s="323"/>
      <c r="AO50" s="323"/>
      <c r="AQ50" s="355"/>
      <c r="AS50" s="321"/>
      <c r="AU50" s="356"/>
      <c r="AW50" s="353"/>
      <c r="AX50" s="353"/>
      <c r="AY50" s="359"/>
      <c r="AZ50" s="359"/>
      <c r="BA50" s="359"/>
      <c r="BB50" s="359"/>
      <c r="BC50" s="359"/>
      <c r="BD50" s="174"/>
      <c r="BE50" s="360"/>
    </row>
    <row r="51" spans="1:57">
      <c r="A51" s="361" t="s">
        <v>73</v>
      </c>
      <c r="B51" s="163" t="s">
        <v>21</v>
      </c>
      <c r="C51" s="257">
        <v>2480000</v>
      </c>
      <c r="E51" s="321">
        <f>ROUND(C51/$BC$1,0)</f>
        <v>80000</v>
      </c>
      <c r="G51" s="353">
        <f>IF(I51=0,0,I51/C51)</f>
        <v>2.5000000000000001E-2</v>
      </c>
      <c r="I51" s="248">
        <f>-K51+62000</f>
        <v>62000</v>
      </c>
      <c r="J51" s="354"/>
      <c r="K51" s="248"/>
      <c r="L51" s="354"/>
      <c r="M51" s="164">
        <f>+I51+K51</f>
        <v>62000</v>
      </c>
      <c r="O51" s="355">
        <f>ROUND(M51/1000,0)</f>
        <v>62</v>
      </c>
      <c r="Q51" s="321"/>
      <c r="S51" s="356">
        <f>ROUND(Q51/$BC$2,0)</f>
        <v>0</v>
      </c>
      <c r="U51" s="353">
        <f t="shared" ref="U51:U56" si="12">IF(W51=0,0,W51/Q51)</f>
        <v>0</v>
      </c>
      <c r="W51" s="248">
        <f>-Y51</f>
        <v>0</v>
      </c>
      <c r="X51" s="357"/>
      <c r="Y51" s="248"/>
      <c r="Z51" s="357"/>
      <c r="AA51" s="357">
        <f>+W51+Y51</f>
        <v>0</v>
      </c>
      <c r="AC51" s="355">
        <f>ROUND(AA51/1000,0)</f>
        <v>0</v>
      </c>
      <c r="AE51" s="356">
        <f>1071420-1071420+1107134+999992-1107134-999992</f>
        <v>0</v>
      </c>
      <c r="AG51" s="356">
        <f>ROUND(AE51/$BC$3,0)</f>
        <v>0</v>
      </c>
      <c r="AI51" s="353">
        <f>IF(AK51=0,0,AK51/AE51)</f>
        <v>0</v>
      </c>
      <c r="AK51" s="248"/>
      <c r="AL51" s="164"/>
      <c r="AM51" s="164"/>
      <c r="AO51" s="323">
        <f>+AK51+AM51</f>
        <v>0</v>
      </c>
      <c r="AQ51" s="355">
        <f>ROUND(AK51/1000,0)</f>
        <v>0</v>
      </c>
      <c r="AS51" s="321">
        <f>+AE51+Q51+C51</f>
        <v>2480000</v>
      </c>
      <c r="AU51" s="321">
        <f>+AG51+S51+E51</f>
        <v>80000</v>
      </c>
      <c r="AW51" s="353">
        <f>IF(AY51=0,0,AY51/AS51)</f>
        <v>2.5000000000000001E-2</v>
      </c>
      <c r="AX51" s="353"/>
      <c r="AY51" s="359">
        <f>+AK51+W51+I51</f>
        <v>62000</v>
      </c>
      <c r="AZ51" s="359"/>
      <c r="BA51" s="359">
        <f>+AM51+Y51+K51</f>
        <v>0</v>
      </c>
      <c r="BB51" s="359"/>
      <c r="BC51" s="359">
        <f>+AO51+AA51+M51</f>
        <v>62000</v>
      </c>
      <c r="BD51" s="174"/>
      <c r="BE51" s="360">
        <f>ROUND(BC51/1000,0)</f>
        <v>62</v>
      </c>
    </row>
    <row r="52" spans="1:57">
      <c r="A52" s="361" t="s">
        <v>149</v>
      </c>
      <c r="C52" s="257"/>
      <c r="E52" s="321">
        <f>ROUND(C52/$BC$1,0)</f>
        <v>0</v>
      </c>
      <c r="G52" s="353">
        <f>IF(I52=0,0,I52/C52)</f>
        <v>0</v>
      </c>
      <c r="I52" s="248">
        <f>-K52</f>
        <v>0</v>
      </c>
      <c r="J52" s="354"/>
      <c r="K52" s="248"/>
      <c r="L52" s="354"/>
      <c r="M52" s="164">
        <f>+I52+K52</f>
        <v>0</v>
      </c>
      <c r="O52" s="355">
        <f>ROUND(M52/1000,0)</f>
        <v>0</v>
      </c>
      <c r="Q52" s="321"/>
      <c r="S52" s="356">
        <f>ROUND(Q52/$BC$2,0)</f>
        <v>0</v>
      </c>
      <c r="U52" s="353">
        <f t="shared" si="12"/>
        <v>0</v>
      </c>
      <c r="W52" s="248">
        <f>-Y52</f>
        <v>0</v>
      </c>
      <c r="X52" s="357"/>
      <c r="Y52" s="248">
        <v>0</v>
      </c>
      <c r="Z52" s="357"/>
      <c r="AA52" s="357">
        <f>+W52+Y52</f>
        <v>0</v>
      </c>
      <c r="AC52" s="355">
        <f>ROUND(AA52/1000,0)</f>
        <v>0</v>
      </c>
      <c r="AE52" s="356"/>
      <c r="AG52" s="356">
        <f>ROUND(AE52/$BC$3,0)</f>
        <v>0</v>
      </c>
      <c r="AI52" s="353">
        <f>IF(AK52=0,0,AK52/AE52)</f>
        <v>0</v>
      </c>
      <c r="AK52" s="248"/>
      <c r="AL52" s="164"/>
      <c r="AM52" s="164">
        <v>0</v>
      </c>
      <c r="AO52" s="323">
        <f>+AK52+AM52</f>
        <v>0</v>
      </c>
      <c r="AQ52" s="355">
        <f>ROUND(AK52/1000,0)</f>
        <v>0</v>
      </c>
      <c r="AS52" s="321">
        <f>+AE52+Q52+C52</f>
        <v>0</v>
      </c>
      <c r="AU52" s="321">
        <f>+AG52+S52+E52</f>
        <v>0</v>
      </c>
      <c r="AW52" s="353">
        <f>IF(AY52=0,0,AY52/AS52)</f>
        <v>0</v>
      </c>
      <c r="AX52" s="353"/>
      <c r="AY52" s="359">
        <f>+AK52+W52+I52</f>
        <v>0</v>
      </c>
      <c r="AZ52" s="359"/>
      <c r="BA52" s="359">
        <f>+AM52+Y52+K52</f>
        <v>0</v>
      </c>
      <c r="BB52" s="359"/>
      <c r="BC52" s="359">
        <f>+AO52+AA52+M52</f>
        <v>0</v>
      </c>
      <c r="BD52" s="174"/>
      <c r="BE52" s="360">
        <f>ROUND(BC52/1000,0)</f>
        <v>0</v>
      </c>
    </row>
    <row r="53" spans="1:57">
      <c r="A53" s="361" t="s">
        <v>150</v>
      </c>
      <c r="C53" s="257"/>
      <c r="E53" s="321">
        <f>ROUND(C53/$BC$1,0)</f>
        <v>0</v>
      </c>
      <c r="G53" s="353">
        <f>IF(I53=0,0,I53/C53)</f>
        <v>0</v>
      </c>
      <c r="I53" s="248">
        <f>-K53</f>
        <v>0</v>
      </c>
      <c r="J53" s="354"/>
      <c r="K53" s="248"/>
      <c r="L53" s="354"/>
      <c r="M53" s="164">
        <f>+I53+K53</f>
        <v>0</v>
      </c>
      <c r="O53" s="355">
        <f>ROUND(M53/1000,0)</f>
        <v>0</v>
      </c>
      <c r="Q53" s="321">
        <v>0</v>
      </c>
      <c r="S53" s="356">
        <f>ROUND(Q53/$BC$2,0)</f>
        <v>0</v>
      </c>
      <c r="U53" s="353">
        <f t="shared" si="12"/>
        <v>0</v>
      </c>
      <c r="W53" s="248">
        <f>-Y53</f>
        <v>0</v>
      </c>
      <c r="X53" s="357"/>
      <c r="Y53" s="248">
        <v>0</v>
      </c>
      <c r="Z53" s="357"/>
      <c r="AA53" s="357">
        <f>+W53+Y53</f>
        <v>0</v>
      </c>
      <c r="AC53" s="355">
        <f>ROUND(AA53/1000,0)</f>
        <v>0</v>
      </c>
      <c r="AE53" s="356">
        <v>0</v>
      </c>
      <c r="AG53" s="356">
        <f>ROUND(AE53/$BC$3,0)</f>
        <v>0</v>
      </c>
      <c r="AI53" s="353">
        <f>IF(AK53=0,0,AK53/AE53)</f>
        <v>0</v>
      </c>
      <c r="AK53" s="248"/>
      <c r="AL53" s="164"/>
      <c r="AM53" s="164">
        <v>0</v>
      </c>
      <c r="AO53" s="323">
        <f>+AK53+AM53</f>
        <v>0</v>
      </c>
      <c r="AQ53" s="355">
        <f>ROUND(AK53/1000,0)</f>
        <v>0</v>
      </c>
      <c r="AS53" s="321">
        <f>+AE53+Q53+C53</f>
        <v>0</v>
      </c>
      <c r="AU53" s="321">
        <f>+AG53+S53+E53</f>
        <v>0</v>
      </c>
      <c r="AW53" s="353">
        <f>IF(AY53=0,0,AY53/AS53)</f>
        <v>0</v>
      </c>
      <c r="AX53" s="353"/>
      <c r="AY53" s="359">
        <f>+AK53+W53+I53</f>
        <v>0</v>
      </c>
      <c r="AZ53" s="359"/>
      <c r="BA53" s="359">
        <f>+AM53+Y53+K53</f>
        <v>0</v>
      </c>
      <c r="BB53" s="359"/>
      <c r="BC53" s="359">
        <f>+AO53+AA53+M53</f>
        <v>0</v>
      </c>
      <c r="BD53" s="174"/>
      <c r="BE53" s="360">
        <f>ROUND(BC53/1000,0)</f>
        <v>0</v>
      </c>
    </row>
    <row r="54" spans="1:57">
      <c r="A54" s="361" t="s">
        <v>151</v>
      </c>
      <c r="C54" s="257"/>
      <c r="E54" s="321">
        <f>ROUND(C54/$BC$1,0)</f>
        <v>0</v>
      </c>
      <c r="G54" s="353">
        <f>IF(I54=0,0,I54/C54)</f>
        <v>0</v>
      </c>
      <c r="I54" s="248">
        <f>-K54</f>
        <v>0</v>
      </c>
      <c r="J54" s="354"/>
      <c r="K54" s="248"/>
      <c r="L54" s="354"/>
      <c r="M54" s="164">
        <f>+I54+K54</f>
        <v>0</v>
      </c>
      <c r="O54" s="355">
        <f>ROUND(M54/1000,0)</f>
        <v>0</v>
      </c>
      <c r="Q54" s="321">
        <v>0</v>
      </c>
      <c r="S54" s="356">
        <f>ROUND(Q54/$BC$2,0)</f>
        <v>0</v>
      </c>
      <c r="U54" s="353">
        <f t="shared" si="12"/>
        <v>0</v>
      </c>
      <c r="W54" s="248">
        <f>-Y54</f>
        <v>0</v>
      </c>
      <c r="X54" s="357"/>
      <c r="Y54" s="248"/>
      <c r="Z54" s="357"/>
      <c r="AA54" s="357"/>
      <c r="AC54" s="355"/>
      <c r="AE54" s="356"/>
      <c r="AG54" s="356"/>
      <c r="AI54" s="353"/>
      <c r="AK54" s="248"/>
      <c r="AL54" s="164"/>
      <c r="AM54" s="164"/>
      <c r="AO54" s="323"/>
      <c r="AQ54" s="355"/>
      <c r="AS54" s="321"/>
      <c r="AU54" s="321"/>
      <c r="AW54" s="353"/>
      <c r="AX54" s="353"/>
      <c r="AY54" s="359">
        <f>+AK54+W54+I54</f>
        <v>0</v>
      </c>
      <c r="AZ54" s="359"/>
      <c r="BA54" s="359">
        <f>+AM54+Y54+K54</f>
        <v>0</v>
      </c>
      <c r="BB54" s="359"/>
      <c r="BC54" s="359">
        <f>+AO54+AA54+M54</f>
        <v>0</v>
      </c>
      <c r="BD54" s="174"/>
      <c r="BE54" s="360">
        <f>ROUND(BC54/1000,0)</f>
        <v>0</v>
      </c>
    </row>
    <row r="55" spans="1:57">
      <c r="A55" s="361" t="s">
        <v>152</v>
      </c>
      <c r="B55" s="163" t="s">
        <v>21</v>
      </c>
      <c r="C55" s="257"/>
      <c r="E55" s="321">
        <f>ROUND(C55/$BC$1,0)</f>
        <v>0</v>
      </c>
      <c r="G55" s="353">
        <f>IF(I55=0,0,I55/C55)</f>
        <v>0</v>
      </c>
      <c r="I55" s="248">
        <f>-K55</f>
        <v>0</v>
      </c>
      <c r="J55" s="354"/>
      <c r="K55" s="248">
        <v>0</v>
      </c>
      <c r="L55" s="354"/>
      <c r="M55" s="164">
        <f>+I55+K55</f>
        <v>0</v>
      </c>
      <c r="O55" s="355">
        <f>ROUND(M55/1000,0)</f>
        <v>0</v>
      </c>
      <c r="Q55" s="321">
        <v>0</v>
      </c>
      <c r="S55" s="356">
        <f>ROUND(Q55/$BC$2,0)</f>
        <v>0</v>
      </c>
      <c r="U55" s="353">
        <f t="shared" si="12"/>
        <v>0</v>
      </c>
      <c r="W55" s="248">
        <f>-Y55</f>
        <v>0</v>
      </c>
      <c r="X55" s="357"/>
      <c r="Y55" s="248">
        <v>0</v>
      </c>
      <c r="Z55" s="357"/>
      <c r="AA55" s="357">
        <f>+W55+Y55</f>
        <v>0</v>
      </c>
      <c r="AC55" s="355">
        <f>ROUND(AA55/1000,0)</f>
        <v>0</v>
      </c>
      <c r="AE55" s="356">
        <v>0</v>
      </c>
      <c r="AG55" s="356">
        <f>ROUND(AE55/$BC$3,0)</f>
        <v>0</v>
      </c>
      <c r="AI55" s="353">
        <f>IF(AK55=0,0,AK55/AE55)</f>
        <v>0</v>
      </c>
      <c r="AK55" s="248"/>
      <c r="AL55" s="164"/>
      <c r="AM55" s="164">
        <v>0</v>
      </c>
      <c r="AO55" s="323">
        <f>+AK55+AM55</f>
        <v>0</v>
      </c>
      <c r="AQ55" s="355"/>
      <c r="AS55" s="321">
        <f>+AE55+Q55+C55</f>
        <v>0</v>
      </c>
      <c r="AU55" s="321">
        <f>+AG55+S55+E55</f>
        <v>0</v>
      </c>
      <c r="AW55" s="353">
        <f>IF(AY55=0,0,AY55/AS55)</f>
        <v>0</v>
      </c>
      <c r="AX55" s="353"/>
      <c r="AY55" s="359">
        <f>+AK55+W55+I55</f>
        <v>0</v>
      </c>
      <c r="AZ55" s="359"/>
      <c r="BA55" s="359">
        <f>+AM55+Y55+K55</f>
        <v>0</v>
      </c>
      <c r="BB55" s="359"/>
      <c r="BC55" s="359">
        <f>+AO55+AA55+M55</f>
        <v>0</v>
      </c>
      <c r="BD55" s="174"/>
      <c r="BE55" s="360">
        <f>ROUND(BC55/1000,0)</f>
        <v>0</v>
      </c>
    </row>
    <row r="56" spans="1:57">
      <c r="A56" s="362" t="s">
        <v>78</v>
      </c>
      <c r="B56" s="363"/>
      <c r="C56" s="364">
        <f>SUM(C52:C55)</f>
        <v>0</v>
      </c>
      <c r="D56" s="363"/>
      <c r="E56" s="365">
        <f>SUM(E52:E55)</f>
        <v>0</v>
      </c>
      <c r="F56" s="363"/>
      <c r="G56" s="366">
        <v>0</v>
      </c>
      <c r="H56" s="363"/>
      <c r="I56" s="367">
        <f>SUM(I51:I55)</f>
        <v>62000</v>
      </c>
      <c r="J56" s="370"/>
      <c r="K56" s="367">
        <f>SUM(K51:K55)</f>
        <v>0</v>
      </c>
      <c r="L56" s="370"/>
      <c r="M56" s="367">
        <f>SUM(M51:M55)</f>
        <v>62000</v>
      </c>
      <c r="N56" s="363"/>
      <c r="O56" s="374">
        <f>SUM(O51:O55)</f>
        <v>62</v>
      </c>
      <c r="P56" s="363"/>
      <c r="Q56" s="371">
        <f>SUM(Q52:Q55)</f>
        <v>0</v>
      </c>
      <c r="R56" s="363"/>
      <c r="S56" s="371">
        <f>SUM(S52:S55)</f>
        <v>0</v>
      </c>
      <c r="T56" s="363"/>
      <c r="U56" s="366">
        <f t="shared" si="12"/>
        <v>0</v>
      </c>
      <c r="V56" s="363"/>
      <c r="W56" s="367">
        <f>SUM(W51:W55)</f>
        <v>0</v>
      </c>
      <c r="X56" s="368"/>
      <c r="Y56" s="372">
        <f>SUM(Y51:Y55)</f>
        <v>0</v>
      </c>
      <c r="Z56" s="368"/>
      <c r="AA56" s="372">
        <f>SUM(AA51:AA55)</f>
        <v>0</v>
      </c>
      <c r="AB56" s="363"/>
      <c r="AC56" s="365">
        <f>SUM(AC51:AC55)</f>
        <v>0</v>
      </c>
      <c r="AD56" s="363"/>
      <c r="AE56" s="371">
        <f>SUM(AE52:AE55)</f>
        <v>0</v>
      </c>
      <c r="AF56" s="363"/>
      <c r="AG56" s="371">
        <f>SUM(AG52:AG55)</f>
        <v>0</v>
      </c>
      <c r="AH56" s="363"/>
      <c r="AI56" s="366">
        <f>IF(AK56=0,0,AK56/AE56)</f>
        <v>0</v>
      </c>
      <c r="AJ56" s="363"/>
      <c r="AK56" s="372">
        <f>SUM(AK51:AK55)</f>
        <v>0</v>
      </c>
      <c r="AL56" s="363"/>
      <c r="AM56" s="372">
        <f>SUM(AM51:AM55)</f>
        <v>0</v>
      </c>
      <c r="AN56" s="363"/>
      <c r="AO56" s="372">
        <f>SUM(AO51:AO55)</f>
        <v>0</v>
      </c>
      <c r="AP56" s="363"/>
      <c r="AQ56" s="365">
        <f>SUM(AQ51:AQ55)</f>
        <v>0</v>
      </c>
      <c r="AR56" s="363"/>
      <c r="AS56" s="371">
        <f>SUM(AS52:AS55)</f>
        <v>0</v>
      </c>
      <c r="AT56" s="363"/>
      <c r="AU56" s="371">
        <f>SUM(AU52:AU55)</f>
        <v>0</v>
      </c>
      <c r="AV56" s="363"/>
      <c r="AW56" s="366" t="e">
        <f>IF(AY56=0,0,AY56/AS56)</f>
        <v>#DIV/0!</v>
      </c>
      <c r="AX56" s="373"/>
      <c r="AY56" s="372">
        <f>SUM(AY51:AY55)</f>
        <v>62000</v>
      </c>
      <c r="AZ56" s="368"/>
      <c r="BA56" s="372">
        <f>SUM(BA51:BA55)</f>
        <v>0</v>
      </c>
      <c r="BB56" s="368"/>
      <c r="BC56" s="372">
        <f>SUM(BC51:BC55)</f>
        <v>62000</v>
      </c>
      <c r="BD56" s="368"/>
      <c r="BE56" s="374">
        <f>SUM(BE51:BE55)</f>
        <v>62</v>
      </c>
    </row>
    <row r="57" spans="1:57">
      <c r="A57" s="340"/>
      <c r="C57" s="257"/>
      <c r="E57" s="321"/>
      <c r="G57" s="353"/>
      <c r="I57" s="248"/>
      <c r="J57" s="354"/>
      <c r="K57" s="248"/>
      <c r="L57" s="354"/>
      <c r="O57" s="355"/>
      <c r="Q57" s="321"/>
      <c r="S57" s="356"/>
      <c r="U57" s="353"/>
      <c r="W57" s="248"/>
      <c r="X57" s="357"/>
      <c r="Y57" s="357"/>
      <c r="Z57" s="357"/>
      <c r="AA57" s="357"/>
      <c r="AC57" s="355"/>
      <c r="AE57" s="356"/>
      <c r="AG57" s="356"/>
      <c r="AI57" s="353"/>
      <c r="AK57" s="354"/>
      <c r="AM57" s="323"/>
      <c r="AO57" s="323"/>
      <c r="AQ57" s="355"/>
      <c r="AS57" s="321"/>
      <c r="AU57" s="356"/>
      <c r="AW57" s="353"/>
      <c r="AX57" s="353"/>
      <c r="AY57" s="359"/>
      <c r="AZ57" s="359"/>
      <c r="BA57" s="359"/>
      <c r="BB57" s="359"/>
      <c r="BC57" s="359"/>
      <c r="BD57" s="174"/>
      <c r="BE57" s="360"/>
    </row>
    <row r="58" spans="1:57">
      <c r="A58" s="361" t="s">
        <v>73</v>
      </c>
      <c r="B58" s="163" t="s">
        <v>21</v>
      </c>
      <c r="C58" s="321">
        <v>19696418</v>
      </c>
      <c r="E58" s="321">
        <f t="shared" ref="E58:E63" si="13">ROUND(C58/$BC$1,0)</f>
        <v>635368</v>
      </c>
      <c r="G58" s="353">
        <f t="shared" ref="G58:G64" si="14">IF(I58=0,0,I58/C58)</f>
        <v>4.2078359628639074E-2</v>
      </c>
      <c r="I58" s="248">
        <f>-K58+832114.36</f>
        <v>828792.96</v>
      </c>
      <c r="J58" s="354"/>
      <c r="K58" s="248">
        <v>3321.4</v>
      </c>
      <c r="L58" s="354"/>
      <c r="M58" s="164">
        <f t="shared" ref="M58:M63" si="15">+I58+K58</f>
        <v>832114.36</v>
      </c>
      <c r="O58" s="355">
        <f t="shared" ref="O58:O63" si="16">ROUND(M58/1000,0)</f>
        <v>832</v>
      </c>
      <c r="Q58" s="321"/>
      <c r="S58" s="356">
        <f>ROUND(Q58/$BC$2,0)</f>
        <v>0</v>
      </c>
      <c r="U58" s="353">
        <v>0</v>
      </c>
      <c r="W58" s="248">
        <f>-Y58</f>
        <v>0</v>
      </c>
      <c r="X58" s="357"/>
      <c r="Y58" s="248"/>
      <c r="Z58" s="357"/>
      <c r="AA58" s="357">
        <f>+W58+Y58</f>
        <v>0</v>
      </c>
      <c r="AC58" s="355">
        <f>ROUND(AA58/1000,0)</f>
        <v>0</v>
      </c>
      <c r="AE58" s="356"/>
      <c r="AG58" s="356">
        <f>ROUND(AE58/$BC$3,0)</f>
        <v>0</v>
      </c>
      <c r="AI58" s="353">
        <f>IF(AK58=0,0,AK58/AE58)</f>
        <v>0</v>
      </c>
      <c r="AK58" s="248">
        <f>+AM58</f>
        <v>0</v>
      </c>
      <c r="AL58" s="164"/>
      <c r="AM58" s="164"/>
      <c r="AO58" s="323">
        <f>+AK58+AM58</f>
        <v>0</v>
      </c>
      <c r="AQ58" s="355">
        <f>ROUND(AO58/1000,0)</f>
        <v>0</v>
      </c>
      <c r="AS58" s="321">
        <f t="shared" ref="AS58:AS63" si="17">+AE58+Q58+C58</f>
        <v>19696418</v>
      </c>
      <c r="AU58" s="321">
        <f t="shared" ref="AU58:AU63" si="18">+AG58+S58+E58</f>
        <v>635368</v>
      </c>
      <c r="AW58" s="353">
        <f t="shared" ref="AW58:AW64" si="19">IF(AY58=0,0,AY58/AS58)</f>
        <v>4.2078359628639074E-2</v>
      </c>
      <c r="AX58" s="353"/>
      <c r="AY58" s="359">
        <f t="shared" ref="AY58:AY63" si="20">+AK58+W58+I58</f>
        <v>828792.96</v>
      </c>
      <c r="AZ58" s="359"/>
      <c r="BA58" s="359">
        <f t="shared" ref="BA58:BA63" si="21">+AM58+Y58+K58</f>
        <v>3321.4</v>
      </c>
      <c r="BB58" s="359"/>
      <c r="BC58" s="359">
        <f t="shared" ref="BC58:BC63" si="22">+AO58+AA58+M58</f>
        <v>832114.36</v>
      </c>
      <c r="BD58" s="174"/>
      <c r="BE58" s="360">
        <f t="shared" ref="BE58:BE63" si="23">ROUND(BC58/1000,0)</f>
        <v>832</v>
      </c>
    </row>
    <row r="59" spans="1:57">
      <c r="A59" s="361" t="s">
        <v>136</v>
      </c>
      <c r="B59" s="163" t="s">
        <v>21</v>
      </c>
      <c r="C59" s="321">
        <v>8688753</v>
      </c>
      <c r="E59" s="321">
        <f t="shared" si="13"/>
        <v>280282</v>
      </c>
      <c r="G59" s="353">
        <f t="shared" si="14"/>
        <v>7.2268011301506669E-3</v>
      </c>
      <c r="I59" s="248">
        <f>-K59+82096.08</f>
        <v>62791.89</v>
      </c>
      <c r="J59" s="354"/>
      <c r="K59" s="248">
        <f>211.92+19092.27</f>
        <v>19304.189999999999</v>
      </c>
      <c r="L59" s="354"/>
      <c r="M59" s="164">
        <f t="shared" si="15"/>
        <v>82096.08</v>
      </c>
      <c r="O59" s="355">
        <f t="shared" si="16"/>
        <v>82</v>
      </c>
      <c r="Q59" s="321">
        <v>2001</v>
      </c>
      <c r="S59" s="356">
        <f>ROUND(Q59/$BC$2,0)</f>
        <v>67</v>
      </c>
      <c r="U59" s="353">
        <f>IF(W59=0,0,W59/Q59)</f>
        <v>0.13280859570214892</v>
      </c>
      <c r="W59" s="248">
        <f>-Y59+291.63</f>
        <v>265.75</v>
      </c>
      <c r="X59" s="357"/>
      <c r="Y59" s="248">
        <v>25.88</v>
      </c>
      <c r="Z59" s="357"/>
      <c r="AA59" s="357">
        <f>+W59+Y59</f>
        <v>291.63</v>
      </c>
      <c r="AB59" s="163" t="s">
        <v>21</v>
      </c>
      <c r="AC59" s="355">
        <f>ROUND(AA59/1000,0)</f>
        <v>0</v>
      </c>
      <c r="AE59" s="356">
        <v>0</v>
      </c>
      <c r="AG59" s="356">
        <f>ROUND(AE59/$BC$3,0)</f>
        <v>0</v>
      </c>
      <c r="AI59" s="353">
        <f>IF(AK59=0,0,AK59/AE59)</f>
        <v>0</v>
      </c>
      <c r="AK59" s="248">
        <f>+AM59</f>
        <v>0</v>
      </c>
      <c r="AL59" s="164"/>
      <c r="AM59" s="164"/>
      <c r="AO59" s="323">
        <f>+AK59+AM59</f>
        <v>0</v>
      </c>
      <c r="AQ59" s="355">
        <f>ROUND(AO59/1000,0)</f>
        <v>0</v>
      </c>
      <c r="AS59" s="321">
        <f t="shared" si="17"/>
        <v>8690754</v>
      </c>
      <c r="AU59" s="321">
        <f t="shared" si="18"/>
        <v>280349</v>
      </c>
      <c r="AW59" s="353">
        <f t="shared" si="19"/>
        <v>7.2557156720809268E-3</v>
      </c>
      <c r="AX59" s="353"/>
      <c r="AY59" s="359">
        <f t="shared" si="20"/>
        <v>63057.64</v>
      </c>
      <c r="AZ59" s="359"/>
      <c r="BA59" s="359">
        <f t="shared" si="21"/>
        <v>19330.07</v>
      </c>
      <c r="BB59" s="359"/>
      <c r="BC59" s="359">
        <f t="shared" si="22"/>
        <v>82387.710000000006</v>
      </c>
      <c r="BD59" s="174"/>
      <c r="BE59" s="360">
        <f t="shared" si="23"/>
        <v>82</v>
      </c>
    </row>
    <row r="60" spans="1:57">
      <c r="A60" s="361" t="s">
        <v>137</v>
      </c>
      <c r="B60" s="163" t="s">
        <v>21</v>
      </c>
      <c r="C60" s="321"/>
      <c r="E60" s="321">
        <f t="shared" si="13"/>
        <v>0</v>
      </c>
      <c r="G60" s="353">
        <f t="shared" si="14"/>
        <v>0</v>
      </c>
      <c r="I60" s="248">
        <f>-K60</f>
        <v>0</v>
      </c>
      <c r="J60" s="354"/>
      <c r="K60" s="248"/>
      <c r="L60" s="354"/>
      <c r="M60" s="164">
        <f t="shared" si="15"/>
        <v>0</v>
      </c>
      <c r="O60" s="355">
        <f t="shared" si="16"/>
        <v>0</v>
      </c>
      <c r="Q60" s="321"/>
      <c r="S60" s="356">
        <f>ROUND(Q60/$BC$2,0)</f>
        <v>0</v>
      </c>
      <c r="U60" s="353">
        <f>IF(W60=0,0,W60/Q60)</f>
        <v>0</v>
      </c>
      <c r="W60" s="248">
        <f>-Y60</f>
        <v>0</v>
      </c>
      <c r="X60" s="357"/>
      <c r="Y60" s="248"/>
      <c r="Z60" s="357"/>
      <c r="AA60" s="357">
        <f>+W60+Y60</f>
        <v>0</v>
      </c>
      <c r="AC60" s="355">
        <f>ROUND(AA60/1000,0)</f>
        <v>0</v>
      </c>
      <c r="AE60" s="356"/>
      <c r="AG60" s="356">
        <f>ROUND(AE60/$BC$3,0)</f>
        <v>0</v>
      </c>
      <c r="AI60" s="353">
        <f>IF(AK60=0,0,AK60/AE60)</f>
        <v>0</v>
      </c>
      <c r="AK60" s="248"/>
      <c r="AL60" s="164"/>
      <c r="AM60" s="164"/>
      <c r="AO60" s="323">
        <f>+AK60+AM60</f>
        <v>0</v>
      </c>
      <c r="AQ60" s="355">
        <f>ROUND(AO60/1000,0)</f>
        <v>0</v>
      </c>
      <c r="AS60" s="321">
        <f t="shared" si="17"/>
        <v>0</v>
      </c>
      <c r="AU60" s="321">
        <f t="shared" si="18"/>
        <v>0</v>
      </c>
      <c r="AW60" s="353">
        <f t="shared" si="19"/>
        <v>0</v>
      </c>
      <c r="AX60" s="353"/>
      <c r="AY60" s="359">
        <f t="shared" si="20"/>
        <v>0</v>
      </c>
      <c r="AZ60" s="359"/>
      <c r="BA60" s="359">
        <f t="shared" si="21"/>
        <v>0</v>
      </c>
      <c r="BB60" s="359"/>
      <c r="BC60" s="359">
        <f t="shared" si="22"/>
        <v>0</v>
      </c>
      <c r="BD60" s="174"/>
      <c r="BE60" s="360">
        <f t="shared" si="23"/>
        <v>0</v>
      </c>
    </row>
    <row r="61" spans="1:57">
      <c r="A61" s="361" t="s">
        <v>138</v>
      </c>
      <c r="B61" s="163" t="s">
        <v>21</v>
      </c>
      <c r="C61" s="321"/>
      <c r="E61" s="321">
        <f t="shared" si="13"/>
        <v>0</v>
      </c>
      <c r="G61" s="353">
        <f t="shared" si="14"/>
        <v>0</v>
      </c>
      <c r="I61" s="248">
        <f>-K61</f>
        <v>0</v>
      </c>
      <c r="J61" s="354"/>
      <c r="K61" s="248"/>
      <c r="L61" s="354"/>
      <c r="M61" s="164">
        <f t="shared" si="15"/>
        <v>0</v>
      </c>
      <c r="O61" s="355">
        <f t="shared" si="16"/>
        <v>0</v>
      </c>
      <c r="Q61" s="321"/>
      <c r="S61" s="356">
        <f>ROUND(Q61/$BC$2,0)</f>
        <v>0</v>
      </c>
      <c r="U61" s="353">
        <f>IF(W61=0,0,W61/Q61)</f>
        <v>0</v>
      </c>
      <c r="W61" s="248">
        <f>-Y61</f>
        <v>0</v>
      </c>
      <c r="X61" s="357"/>
      <c r="Y61" s="248"/>
      <c r="Z61" s="357"/>
      <c r="AA61" s="357"/>
      <c r="AC61" s="355"/>
      <c r="AE61" s="356"/>
      <c r="AG61" s="356"/>
      <c r="AI61" s="353"/>
      <c r="AK61" s="248"/>
      <c r="AL61" s="164"/>
      <c r="AM61" s="164"/>
      <c r="AO61" s="323"/>
      <c r="AQ61" s="355"/>
      <c r="AS61" s="321">
        <f t="shared" si="17"/>
        <v>0</v>
      </c>
      <c r="AU61" s="321">
        <f t="shared" si="18"/>
        <v>0</v>
      </c>
      <c r="AW61" s="353">
        <f t="shared" si="19"/>
        <v>0</v>
      </c>
      <c r="AX61" s="353"/>
      <c r="AY61" s="359">
        <f t="shared" si="20"/>
        <v>0</v>
      </c>
      <c r="AZ61" s="359"/>
      <c r="BA61" s="359">
        <f t="shared" si="21"/>
        <v>0</v>
      </c>
      <c r="BB61" s="359"/>
      <c r="BC61" s="359">
        <f t="shared" si="22"/>
        <v>0</v>
      </c>
      <c r="BD61" s="174"/>
      <c r="BE61" s="360">
        <f t="shared" si="23"/>
        <v>0</v>
      </c>
    </row>
    <row r="62" spans="1:57">
      <c r="A62" s="361" t="s">
        <v>139</v>
      </c>
      <c r="B62" s="163" t="s">
        <v>21</v>
      </c>
      <c r="C62" s="321">
        <v>288090</v>
      </c>
      <c r="E62" s="321">
        <f t="shared" si="13"/>
        <v>9293</v>
      </c>
      <c r="G62" s="353">
        <f t="shared" si="14"/>
        <v>5.3703148321705023E-2</v>
      </c>
      <c r="I62" s="248">
        <f>-K62+16029.36</f>
        <v>15471.34</v>
      </c>
      <c r="J62" s="354"/>
      <c r="K62" s="248">
        <v>558.02</v>
      </c>
      <c r="L62" s="354"/>
      <c r="M62" s="164">
        <f t="shared" si="15"/>
        <v>16029.36</v>
      </c>
      <c r="O62" s="355">
        <f t="shared" si="16"/>
        <v>16</v>
      </c>
      <c r="Q62" s="321"/>
      <c r="S62" s="356">
        <f>ROUND(Q62/$BC$2,0)</f>
        <v>0</v>
      </c>
      <c r="U62" s="353">
        <f>IF(W62=0,0,W62/Q62)</f>
        <v>0</v>
      </c>
      <c r="W62" s="248">
        <f>-Y62</f>
        <v>0</v>
      </c>
      <c r="X62" s="357"/>
      <c r="Y62" s="248"/>
      <c r="Z62" s="357"/>
      <c r="AA62" s="357">
        <f>+W62+Y62</f>
        <v>0</v>
      </c>
      <c r="AC62" s="355">
        <f>ROUND(AA62/1000,0)</f>
        <v>0</v>
      </c>
      <c r="AE62" s="356"/>
      <c r="AG62" s="356">
        <f>ROUND(AE62/$BC$3,0)</f>
        <v>0</v>
      </c>
      <c r="AI62" s="353">
        <f>IF(AK62=0,0,AK62/AE62)</f>
        <v>0</v>
      </c>
      <c r="AK62" s="248"/>
      <c r="AL62" s="164"/>
      <c r="AM62" s="164"/>
      <c r="AO62" s="323">
        <f>+AK62+AM62</f>
        <v>0</v>
      </c>
      <c r="AQ62" s="355">
        <f>ROUND(AO62/1000,0)</f>
        <v>0</v>
      </c>
      <c r="AS62" s="321">
        <f t="shared" si="17"/>
        <v>288090</v>
      </c>
      <c r="AU62" s="321">
        <f t="shared" si="18"/>
        <v>9293</v>
      </c>
      <c r="AW62" s="353">
        <f t="shared" si="19"/>
        <v>5.3703148321705023E-2</v>
      </c>
      <c r="AX62" s="353"/>
      <c r="AY62" s="359">
        <f t="shared" si="20"/>
        <v>15471.34</v>
      </c>
      <c r="AZ62" s="359"/>
      <c r="BA62" s="359">
        <f t="shared" si="21"/>
        <v>558.02</v>
      </c>
      <c r="BB62" s="359"/>
      <c r="BC62" s="359">
        <f t="shared" si="22"/>
        <v>16029.36</v>
      </c>
      <c r="BD62" s="174"/>
      <c r="BE62" s="360">
        <f t="shared" si="23"/>
        <v>16</v>
      </c>
    </row>
    <row r="63" spans="1:57">
      <c r="A63" s="361" t="s">
        <v>153</v>
      </c>
      <c r="B63" s="363" t="s">
        <v>21</v>
      </c>
      <c r="C63" s="397">
        <v>4793</v>
      </c>
      <c r="D63" s="363"/>
      <c r="E63" s="398">
        <f t="shared" si="13"/>
        <v>155</v>
      </c>
      <c r="F63" s="363"/>
      <c r="G63" s="353">
        <v>0</v>
      </c>
      <c r="H63" s="363"/>
      <c r="I63" s="258">
        <f>-K63+20073.86</f>
        <v>20073.86</v>
      </c>
      <c r="J63" s="370"/>
      <c r="K63" s="399"/>
      <c r="L63" s="370"/>
      <c r="M63" s="400">
        <f t="shared" si="15"/>
        <v>20073.86</v>
      </c>
      <c r="N63" s="363"/>
      <c r="O63" s="401">
        <f t="shared" si="16"/>
        <v>20</v>
      </c>
      <c r="P63" s="363"/>
      <c r="Q63" s="402"/>
      <c r="R63" s="363"/>
      <c r="S63" s="403"/>
      <c r="T63" s="363"/>
      <c r="U63" s="377"/>
      <c r="V63" s="363"/>
      <c r="W63" s="258">
        <f>-Y63+600</f>
        <v>600</v>
      </c>
      <c r="X63" s="370"/>
      <c r="Y63" s="404"/>
      <c r="Z63" s="370"/>
      <c r="AA63" s="405">
        <f>+W63+Y63</f>
        <v>600</v>
      </c>
      <c r="AB63" s="363"/>
      <c r="AC63" s="406"/>
      <c r="AD63" s="363"/>
      <c r="AE63" s="402"/>
      <c r="AF63" s="363"/>
      <c r="AG63" s="403"/>
      <c r="AH63" s="363"/>
      <c r="AI63" s="377"/>
      <c r="AJ63" s="363"/>
      <c r="AK63" s="407"/>
      <c r="AL63" s="370"/>
      <c r="AM63" s="404"/>
      <c r="AN63" s="370"/>
      <c r="AO63" s="408">
        <f>+AK63+AM63</f>
        <v>0</v>
      </c>
      <c r="AP63" s="363"/>
      <c r="AQ63" s="355">
        <f>ROUND(AO63/1000,0)</f>
        <v>0</v>
      </c>
      <c r="AR63" s="363"/>
      <c r="AS63" s="398">
        <f t="shared" si="17"/>
        <v>4793</v>
      </c>
      <c r="AT63" s="363"/>
      <c r="AU63" s="398">
        <f t="shared" si="18"/>
        <v>155</v>
      </c>
      <c r="AV63" s="363"/>
      <c r="AW63" s="409">
        <f t="shared" si="19"/>
        <v>4.3133444606718134</v>
      </c>
      <c r="AX63" s="363"/>
      <c r="AY63" s="410">
        <f t="shared" si="20"/>
        <v>20673.86</v>
      </c>
      <c r="AZ63" s="359"/>
      <c r="BA63" s="410">
        <f t="shared" si="21"/>
        <v>0</v>
      </c>
      <c r="BB63" s="359"/>
      <c r="BC63" s="410">
        <f t="shared" si="22"/>
        <v>20673.86</v>
      </c>
      <c r="BD63" s="174"/>
      <c r="BE63" s="411">
        <f t="shared" si="23"/>
        <v>21</v>
      </c>
    </row>
    <row r="64" spans="1:57" s="414" customFormat="1">
      <c r="A64" s="362" t="s">
        <v>78</v>
      </c>
      <c r="B64" s="363"/>
      <c r="C64" s="412">
        <f>SUM(C59:C63)</f>
        <v>8981636</v>
      </c>
      <c r="D64" s="412"/>
      <c r="E64" s="412">
        <f>SUM(E59:E63)</f>
        <v>289730</v>
      </c>
      <c r="F64" s="363"/>
      <c r="G64" s="366">
        <f t="shared" si="14"/>
        <v>0.10322507503087409</v>
      </c>
      <c r="H64" s="363"/>
      <c r="I64" s="378">
        <f>SUM(I58:I63)</f>
        <v>927130.04999999993</v>
      </c>
      <c r="J64" s="370"/>
      <c r="K64" s="378">
        <f>SUM(K58:K63)</f>
        <v>23183.61</v>
      </c>
      <c r="L64" s="370"/>
      <c r="M64" s="378">
        <f>SUM(M58:M63)</f>
        <v>950313.65999999992</v>
      </c>
      <c r="N64" s="363"/>
      <c r="O64" s="381">
        <f>SUM(O58:O63)</f>
        <v>950</v>
      </c>
      <c r="P64" s="363"/>
      <c r="Q64" s="412">
        <f>SUM(Q59:Q63)</f>
        <v>2001</v>
      </c>
      <c r="R64" s="412"/>
      <c r="S64" s="412">
        <f>SUM(S59:S63)</f>
        <v>67</v>
      </c>
      <c r="T64" s="363"/>
      <c r="U64" s="366">
        <f>IF(W64=0,0,W64/Q64)</f>
        <v>0.43265867066466768</v>
      </c>
      <c r="V64" s="363"/>
      <c r="W64" s="378">
        <f>SUM(W58:W63)</f>
        <v>865.75</v>
      </c>
      <c r="X64" s="370"/>
      <c r="Y64" s="378">
        <f>SUM(Y58:Y63)</f>
        <v>25.88</v>
      </c>
      <c r="Z64" s="370"/>
      <c r="AA64" s="378">
        <f>SUM(AA58:AA63)</f>
        <v>891.63</v>
      </c>
      <c r="AB64" s="363"/>
      <c r="AC64" s="381">
        <f>SUM(AC58:AC63)</f>
        <v>0</v>
      </c>
      <c r="AD64" s="363"/>
      <c r="AE64" s="412">
        <f>SUM(AE58:AE63)</f>
        <v>0</v>
      </c>
      <c r="AF64" s="412"/>
      <c r="AG64" s="412">
        <f>SUM(AG59:AG63)</f>
        <v>0</v>
      </c>
      <c r="AH64" s="363"/>
      <c r="AI64" s="366">
        <f>IF(AK64=0,0,AK64/AE64)</f>
        <v>0</v>
      </c>
      <c r="AJ64" s="363"/>
      <c r="AK64" s="378">
        <f>SUM(AK58:AK63)</f>
        <v>0</v>
      </c>
      <c r="AL64" s="370"/>
      <c r="AM64" s="378">
        <f>SUM(AM58:AM63)</f>
        <v>0</v>
      </c>
      <c r="AN64" s="370"/>
      <c r="AO64" s="378">
        <f>SUM(AO58:AO63)</f>
        <v>0</v>
      </c>
      <c r="AP64" s="363"/>
      <c r="AQ64" s="381">
        <f>SUM(AQ58:AQ63)</f>
        <v>0</v>
      </c>
      <c r="AR64" s="363"/>
      <c r="AS64" s="412">
        <f>SUM(AS59:AS63)</f>
        <v>8983637</v>
      </c>
      <c r="AT64" s="412"/>
      <c r="AU64" s="412">
        <f>SUM(AU59:AU63)</f>
        <v>289797</v>
      </c>
      <c r="AV64" s="363"/>
      <c r="AW64" s="366">
        <f t="shared" si="19"/>
        <v>0.10329845250871111</v>
      </c>
      <c r="AX64" s="363"/>
      <c r="AY64" s="378">
        <f>SUM(AY58:AY63)</f>
        <v>927995.79999999993</v>
      </c>
      <c r="AZ64" s="370"/>
      <c r="BA64" s="378">
        <f>SUM(BA58:BA63)</f>
        <v>23209.49</v>
      </c>
      <c r="BB64" s="370"/>
      <c r="BC64" s="413">
        <f>SUM(BC58:BC63)</f>
        <v>951205.28999999992</v>
      </c>
      <c r="BD64" s="363"/>
      <c r="BE64" s="381">
        <f>SUM(BE58:BE63)</f>
        <v>951</v>
      </c>
    </row>
    <row r="65" spans="1:57">
      <c r="A65" s="361"/>
      <c r="B65" s="363"/>
      <c r="C65" s="257"/>
      <c r="D65" s="363"/>
      <c r="E65" s="321"/>
      <c r="F65" s="363"/>
      <c r="G65" s="377"/>
      <c r="H65" s="363"/>
      <c r="I65" s="378"/>
      <c r="J65" s="370"/>
      <c r="K65" s="378"/>
      <c r="L65" s="370"/>
      <c r="M65" s="378"/>
      <c r="N65" s="363"/>
      <c r="O65" s="381"/>
      <c r="P65" s="363"/>
      <c r="Q65" s="375"/>
      <c r="R65" s="363"/>
      <c r="S65" s="376"/>
      <c r="T65" s="363"/>
      <c r="U65" s="377"/>
      <c r="V65" s="363"/>
      <c r="W65" s="415"/>
      <c r="X65" s="370"/>
      <c r="Y65" s="415"/>
      <c r="Z65" s="370"/>
      <c r="AA65" s="415"/>
      <c r="AB65" s="363"/>
      <c r="AC65" s="381"/>
      <c r="AD65" s="363"/>
      <c r="AE65" s="375"/>
      <c r="AF65" s="363"/>
      <c r="AG65" s="376"/>
      <c r="AH65" s="363"/>
      <c r="AI65" s="377"/>
      <c r="AJ65" s="363"/>
      <c r="AK65" s="415"/>
      <c r="AL65" s="370"/>
      <c r="AM65" s="415"/>
      <c r="AN65" s="370"/>
      <c r="AO65" s="415"/>
      <c r="AP65" s="363"/>
      <c r="AQ65" s="381"/>
      <c r="AR65" s="363"/>
      <c r="AS65" s="375"/>
      <c r="AT65" s="363"/>
      <c r="AU65" s="376"/>
      <c r="AV65" s="363"/>
      <c r="AW65" s="377"/>
      <c r="AX65" s="363"/>
      <c r="AY65" s="415"/>
      <c r="AZ65" s="370"/>
      <c r="BA65" s="415"/>
      <c r="BB65" s="370"/>
      <c r="BC65" s="415"/>
      <c r="BD65" s="363"/>
      <c r="BE65" s="381"/>
    </row>
    <row r="66" spans="1:57">
      <c r="A66" s="361" t="s">
        <v>73</v>
      </c>
      <c r="B66" s="363" t="s">
        <v>21</v>
      </c>
      <c r="C66" s="257">
        <f>992000+248000</f>
        <v>1240000</v>
      </c>
      <c r="E66" s="321">
        <f t="shared" ref="E66:E77" si="24">ROUND(C66/$BC$1,0)</f>
        <v>40000</v>
      </c>
      <c r="G66" s="353">
        <f t="shared" ref="G66:G71" si="25">IF(I66=0,0,I66/C66)</f>
        <v>0.20699999999999999</v>
      </c>
      <c r="I66" s="248">
        <f>-K66+205344+51336</f>
        <v>256680</v>
      </c>
      <c r="J66" s="354"/>
      <c r="K66" s="248"/>
      <c r="L66" s="354"/>
      <c r="M66" s="164">
        <f>+I66+K66</f>
        <v>256680</v>
      </c>
      <c r="O66" s="355">
        <f>ROUND(M66/1000,0)</f>
        <v>257</v>
      </c>
      <c r="Q66" s="321">
        <v>0</v>
      </c>
      <c r="S66" s="356">
        <f>ROUND(Q66/$BC$2,0)</f>
        <v>0</v>
      </c>
      <c r="U66" s="353">
        <f t="shared" ref="U66:U71" si="26">IF(W66=0,0,W66/Q66)</f>
        <v>0</v>
      </c>
      <c r="W66" s="248">
        <f>-Y66</f>
        <v>0</v>
      </c>
      <c r="X66" s="357"/>
      <c r="Y66" s="248">
        <v>0</v>
      </c>
      <c r="Z66" s="357"/>
      <c r="AA66" s="357">
        <f>+W66+Y66</f>
        <v>0</v>
      </c>
      <c r="AC66" s="355">
        <f>ROUND(AA66/1000,0)</f>
        <v>0</v>
      </c>
      <c r="AE66" s="356">
        <v>0</v>
      </c>
      <c r="AG66" s="356">
        <f>ROUND(AE66/$BC$3,0)</f>
        <v>0</v>
      </c>
      <c r="AI66" s="353">
        <f>IF(AK66=0,0,AK66/AE66)</f>
        <v>0</v>
      </c>
      <c r="AK66" s="248"/>
      <c r="AL66" s="164"/>
      <c r="AM66" s="164">
        <v>0</v>
      </c>
      <c r="AO66" s="323">
        <f>+AK66+AM66</f>
        <v>0</v>
      </c>
      <c r="AQ66" s="355">
        <f>ROUND(AO66/1000,0)</f>
        <v>0</v>
      </c>
      <c r="AS66" s="321">
        <f>+AE66+Q66+C66</f>
        <v>1240000</v>
      </c>
      <c r="AU66" s="321">
        <f>+AG66+S66+E66</f>
        <v>40000</v>
      </c>
      <c r="AW66" s="353">
        <f>IF(AY66=0,0,AY66/AS66)</f>
        <v>0.20699999999999999</v>
      </c>
      <c r="AX66" s="353"/>
      <c r="AY66" s="359">
        <f>+AK66+W66+I66</f>
        <v>256680</v>
      </c>
      <c r="AZ66" s="359"/>
      <c r="BA66" s="359">
        <f>+AM66+Y66+K66</f>
        <v>0</v>
      </c>
      <c r="BB66" s="359"/>
      <c r="BC66" s="359">
        <f>+AO66+AA66+M66</f>
        <v>256680</v>
      </c>
      <c r="BD66" s="174"/>
      <c r="BE66" s="360">
        <f>ROUND(BC66/1000,0)</f>
        <v>257</v>
      </c>
    </row>
    <row r="67" spans="1:57">
      <c r="A67" s="361" t="s">
        <v>74</v>
      </c>
      <c r="B67" s="363" t="s">
        <v>21</v>
      </c>
      <c r="C67" s="257"/>
      <c r="E67" s="321">
        <f t="shared" si="24"/>
        <v>0</v>
      </c>
      <c r="G67" s="353">
        <f t="shared" si="25"/>
        <v>0</v>
      </c>
      <c r="I67" s="248">
        <f>-K67</f>
        <v>0</v>
      </c>
      <c r="J67" s="354"/>
      <c r="K67" s="248"/>
      <c r="L67" s="354"/>
      <c r="M67" s="164">
        <f>+I67+K67</f>
        <v>0</v>
      </c>
      <c r="O67" s="355">
        <f>ROUND(M67/1000,0)</f>
        <v>0</v>
      </c>
      <c r="Q67" s="321">
        <v>0</v>
      </c>
      <c r="S67" s="356">
        <f>ROUND(Q67/$BC$2,0)</f>
        <v>0</v>
      </c>
      <c r="U67" s="353">
        <f t="shared" si="26"/>
        <v>0</v>
      </c>
      <c r="W67" s="248">
        <f>-Y67</f>
        <v>0</v>
      </c>
      <c r="X67" s="357"/>
      <c r="Y67" s="248">
        <v>0</v>
      </c>
      <c r="Z67" s="357"/>
      <c r="AA67" s="357">
        <f>+W67+Y67</f>
        <v>0</v>
      </c>
      <c r="AC67" s="355">
        <f>ROUND(AA67/1000,0)</f>
        <v>0</v>
      </c>
      <c r="AE67" s="356"/>
      <c r="AG67" s="356">
        <f>ROUND(AE67/$BC$3,0)</f>
        <v>0</v>
      </c>
      <c r="AI67" s="353">
        <f>IF(AK67=0,0,AK67/AE67)</f>
        <v>0</v>
      </c>
      <c r="AK67" s="248"/>
      <c r="AL67" s="164"/>
      <c r="AM67" s="164"/>
      <c r="AO67" s="323">
        <f>+AK67+AM67</f>
        <v>0</v>
      </c>
      <c r="AQ67" s="355">
        <f>ROUND(AO67/1000,0)</f>
        <v>0</v>
      </c>
      <c r="AS67" s="321">
        <f>+AE67+Q67+C67</f>
        <v>0</v>
      </c>
      <c r="AU67" s="321">
        <f>+AG67+S67+E67</f>
        <v>0</v>
      </c>
      <c r="AW67" s="353">
        <f>IF(AY67=0,0,AY67/AS67)</f>
        <v>0</v>
      </c>
      <c r="AX67" s="353"/>
      <c r="AY67" s="359">
        <f>+AK67+W67+I67</f>
        <v>0</v>
      </c>
      <c r="AZ67" s="359"/>
      <c r="BA67" s="359">
        <f>+AM67+Y67+K67</f>
        <v>0</v>
      </c>
      <c r="BB67" s="359"/>
      <c r="BC67" s="359">
        <f>+AO67+AA67+M67</f>
        <v>0</v>
      </c>
      <c r="BD67" s="174"/>
      <c r="BE67" s="360">
        <f>ROUND(BC67/1000,0)</f>
        <v>0</v>
      </c>
    </row>
    <row r="68" spans="1:57">
      <c r="A68" s="361" t="s">
        <v>75</v>
      </c>
      <c r="C68" s="257"/>
      <c r="E68" s="321">
        <f t="shared" si="24"/>
        <v>0</v>
      </c>
      <c r="G68" s="353">
        <f t="shared" si="25"/>
        <v>0</v>
      </c>
      <c r="I68" s="248">
        <f>-K68</f>
        <v>0</v>
      </c>
      <c r="J68" s="354"/>
      <c r="K68" s="248"/>
      <c r="L68" s="354"/>
      <c r="M68" s="164">
        <f>+I68+K68</f>
        <v>0</v>
      </c>
      <c r="O68" s="355">
        <f>ROUND(M68/1000,0)</f>
        <v>0</v>
      </c>
      <c r="Q68" s="321">
        <v>0</v>
      </c>
      <c r="S68" s="356">
        <f>ROUND(Q68/$BC$2,0)</f>
        <v>0</v>
      </c>
      <c r="U68" s="353">
        <f t="shared" si="26"/>
        <v>0</v>
      </c>
      <c r="W68" s="248">
        <f>-Y68</f>
        <v>0</v>
      </c>
      <c r="X68" s="357"/>
      <c r="Y68" s="248">
        <v>0</v>
      </c>
      <c r="Z68" s="357"/>
      <c r="AA68" s="357">
        <f>+W68+Y68</f>
        <v>0</v>
      </c>
      <c r="AC68" s="355">
        <f>ROUND(AA68/1000,0)</f>
        <v>0</v>
      </c>
      <c r="AE68" s="356">
        <v>0</v>
      </c>
      <c r="AG68" s="356">
        <f>ROUND(AE68/$BC$3,0)</f>
        <v>0</v>
      </c>
      <c r="AI68" s="353">
        <f>IF(AK68=0,0,AK68/AE68)</f>
        <v>0</v>
      </c>
      <c r="AK68" s="248"/>
      <c r="AL68" s="164"/>
      <c r="AM68" s="164">
        <v>0</v>
      </c>
      <c r="AO68" s="323">
        <f>+AK68+AM68</f>
        <v>0</v>
      </c>
      <c r="AQ68" s="355">
        <f>ROUND(AO68/1000,0)</f>
        <v>0</v>
      </c>
      <c r="AS68" s="321">
        <f>+AE68+Q68+C68</f>
        <v>0</v>
      </c>
      <c r="AU68" s="321">
        <f>+AG68+S68+E68</f>
        <v>0</v>
      </c>
      <c r="AW68" s="353">
        <f>IF(AY68=0,0,AY68/AS68)</f>
        <v>0</v>
      </c>
      <c r="AX68" s="353"/>
      <c r="AY68" s="359">
        <f>+AK68+W68+I68</f>
        <v>0</v>
      </c>
      <c r="AZ68" s="359"/>
      <c r="BA68" s="359">
        <f>+AM68+Y68+K68</f>
        <v>0</v>
      </c>
      <c r="BB68" s="359"/>
      <c r="BC68" s="359">
        <f>+AO68+AA68+M68</f>
        <v>0</v>
      </c>
      <c r="BD68" s="174"/>
      <c r="BE68" s="360">
        <f>ROUND(BC68/1000,0)</f>
        <v>0</v>
      </c>
    </row>
    <row r="69" spans="1:57">
      <c r="A69" s="361" t="s">
        <v>76</v>
      </c>
      <c r="C69" s="257"/>
      <c r="E69" s="321">
        <f t="shared" si="24"/>
        <v>0</v>
      </c>
      <c r="G69" s="353">
        <f t="shared" si="25"/>
        <v>0</v>
      </c>
      <c r="I69" s="248">
        <f>-K69</f>
        <v>0</v>
      </c>
      <c r="J69" s="354"/>
      <c r="K69" s="248"/>
      <c r="L69" s="354"/>
      <c r="M69" s="164">
        <f>+I69+K69</f>
        <v>0</v>
      </c>
      <c r="O69" s="355">
        <f>ROUND(M69/1000,0)</f>
        <v>0</v>
      </c>
      <c r="Q69" s="321">
        <v>0</v>
      </c>
      <c r="S69" s="356">
        <f>ROUND(Q69/$BC$2,0)</f>
        <v>0</v>
      </c>
      <c r="U69" s="353">
        <f t="shared" si="26"/>
        <v>0</v>
      </c>
      <c r="W69" s="248">
        <f>-Y69</f>
        <v>0</v>
      </c>
      <c r="X69" s="357"/>
      <c r="Y69" s="248"/>
      <c r="Z69" s="357"/>
      <c r="AA69" s="357"/>
      <c r="AC69" s="355"/>
      <c r="AE69" s="356"/>
      <c r="AG69" s="356"/>
      <c r="AI69" s="353"/>
      <c r="AK69" s="248"/>
      <c r="AL69" s="164"/>
      <c r="AM69" s="164"/>
      <c r="AO69" s="323"/>
      <c r="AQ69" s="355"/>
      <c r="AS69" s="321"/>
      <c r="AU69" s="321"/>
      <c r="AW69" s="353"/>
      <c r="AX69" s="353"/>
      <c r="AY69" s="359"/>
      <c r="AZ69" s="359"/>
      <c r="BA69" s="359">
        <f>+AM69+Y69+K69</f>
        <v>0</v>
      </c>
      <c r="BB69" s="359"/>
      <c r="BC69" s="359">
        <f>+AO69+AA69+M69</f>
        <v>0</v>
      </c>
      <c r="BD69" s="174"/>
      <c r="BE69" s="360">
        <f>ROUND(BC69/1000,0)</f>
        <v>0</v>
      </c>
    </row>
    <row r="70" spans="1:57">
      <c r="A70" s="361" t="s">
        <v>77</v>
      </c>
      <c r="C70" s="257"/>
      <c r="E70" s="321">
        <f t="shared" si="24"/>
        <v>0</v>
      </c>
      <c r="G70" s="353">
        <f t="shared" si="25"/>
        <v>0</v>
      </c>
      <c r="I70" s="248">
        <f>-K70</f>
        <v>0</v>
      </c>
      <c r="J70" s="354"/>
      <c r="K70" s="248"/>
      <c r="L70" s="354"/>
      <c r="M70" s="164">
        <f>+I70+K70</f>
        <v>0</v>
      </c>
      <c r="O70" s="355">
        <f>ROUND(M70/1000,0)</f>
        <v>0</v>
      </c>
      <c r="Q70" s="321">
        <v>0</v>
      </c>
      <c r="S70" s="356">
        <f>ROUND(Q70/$BC$2,0)</f>
        <v>0</v>
      </c>
      <c r="U70" s="353">
        <f t="shared" si="26"/>
        <v>0</v>
      </c>
      <c r="W70" s="248">
        <f>-Y70</f>
        <v>0</v>
      </c>
      <c r="X70" s="357"/>
      <c r="Y70" s="248"/>
      <c r="Z70" s="357"/>
      <c r="AA70" s="357">
        <f>+W70+Y70</f>
        <v>0</v>
      </c>
      <c r="AC70" s="355">
        <f>ROUND(AA70/1000,0)</f>
        <v>0</v>
      </c>
      <c r="AE70" s="356">
        <v>0</v>
      </c>
      <c r="AG70" s="356">
        <f>ROUND(AE70/$BC$3,0)</f>
        <v>0</v>
      </c>
      <c r="AI70" s="353">
        <f>IF(AK70=0,0,AK70/AE70)</f>
        <v>0</v>
      </c>
      <c r="AK70" s="248"/>
      <c r="AL70" s="164"/>
      <c r="AM70" s="164">
        <v>0</v>
      </c>
      <c r="AO70" s="323">
        <f>+AK70+AM70</f>
        <v>0</v>
      </c>
      <c r="AQ70" s="355">
        <f>ROUND(AO70/1000,0)</f>
        <v>0</v>
      </c>
      <c r="AS70" s="321">
        <f>+AE70+Q70+C70</f>
        <v>0</v>
      </c>
      <c r="AU70" s="321">
        <f>+AG70+S70+E70</f>
        <v>0</v>
      </c>
      <c r="AW70" s="353">
        <f>IF(AY70=0,0,AY70/AS70)</f>
        <v>0</v>
      </c>
      <c r="AX70" s="353"/>
      <c r="AY70" s="359">
        <f>+AK70+W70+I70</f>
        <v>0</v>
      </c>
      <c r="AZ70" s="359"/>
      <c r="BA70" s="359">
        <f>+AM70+Y70+K70</f>
        <v>0</v>
      </c>
      <c r="BB70" s="359"/>
      <c r="BC70" s="359">
        <f>+AO70+AA70+M70</f>
        <v>0</v>
      </c>
      <c r="BD70" s="174"/>
      <c r="BE70" s="360">
        <f>ROUND(BC70/1000,0)</f>
        <v>0</v>
      </c>
    </row>
    <row r="71" spans="1:57">
      <c r="A71" s="362" t="s">
        <v>78</v>
      </c>
      <c r="B71" s="363"/>
      <c r="C71" s="364">
        <f>SUM(C67:C70)</f>
        <v>0</v>
      </c>
      <c r="D71" s="363"/>
      <c r="E71" s="365">
        <f>SUM(E67:E70)</f>
        <v>0</v>
      </c>
      <c r="F71" s="363"/>
      <c r="G71" s="366" t="e">
        <f t="shared" si="25"/>
        <v>#DIV/0!</v>
      </c>
      <c r="H71" s="363"/>
      <c r="I71" s="367">
        <f>SUM(I66:I70)</f>
        <v>256680</v>
      </c>
      <c r="J71" s="370"/>
      <c r="K71" s="367">
        <f>SUM(K66:K70)</f>
        <v>0</v>
      </c>
      <c r="L71" s="370"/>
      <c r="M71" s="367">
        <f>SUM(M66:M70)</f>
        <v>256680</v>
      </c>
      <c r="N71" s="363"/>
      <c r="O71" s="374">
        <f>SUM(O66:O70)</f>
        <v>257</v>
      </c>
      <c r="P71" s="363"/>
      <c r="Q71" s="364">
        <f>SUM(Q66:Q70)</f>
        <v>0</v>
      </c>
      <c r="R71" s="363"/>
      <c r="S71" s="365">
        <f>SUM(S67:S70)</f>
        <v>0</v>
      </c>
      <c r="T71" s="363"/>
      <c r="U71" s="366">
        <f t="shared" si="26"/>
        <v>0</v>
      </c>
      <c r="V71" s="363"/>
      <c r="W71" s="416">
        <f>SUM(W66:W70)</f>
        <v>0</v>
      </c>
      <c r="X71" s="370"/>
      <c r="Y71" s="416">
        <f>SUM(Y66:Y70)</f>
        <v>0</v>
      </c>
      <c r="Z71" s="370"/>
      <c r="AA71" s="416">
        <f>SUM(AA66:AA70)</f>
        <v>0</v>
      </c>
      <c r="AB71" s="363"/>
      <c r="AC71" s="374">
        <f>SUM(AC66:AC70)</f>
        <v>0</v>
      </c>
      <c r="AD71" s="363"/>
      <c r="AE71" s="364">
        <f>SUM(AE67:AE70)</f>
        <v>0</v>
      </c>
      <c r="AF71" s="363"/>
      <c r="AG71" s="365">
        <f>SUM(AG67:AG70)</f>
        <v>0</v>
      </c>
      <c r="AH71" s="363"/>
      <c r="AI71" s="366">
        <f>IF(AK71=0,0,AK71/AE71)</f>
        <v>0</v>
      </c>
      <c r="AJ71" s="363"/>
      <c r="AK71" s="416">
        <f>SUM(AK66:AK70)</f>
        <v>0</v>
      </c>
      <c r="AL71" s="370"/>
      <c r="AM71" s="416">
        <f>SUM(AM66:AM70)</f>
        <v>0</v>
      </c>
      <c r="AN71" s="370"/>
      <c r="AO71" s="416">
        <f>SUM(AO66:AO70)</f>
        <v>0</v>
      </c>
      <c r="AP71" s="363"/>
      <c r="AQ71" s="374">
        <f>SUM(AQ66:AQ70)</f>
        <v>0</v>
      </c>
      <c r="AR71" s="363"/>
      <c r="AS71" s="364">
        <f>SUM(AS67:AS70)</f>
        <v>0</v>
      </c>
      <c r="AT71" s="363"/>
      <c r="AU71" s="365">
        <f>SUM(AU67:AU70)</f>
        <v>0</v>
      </c>
      <c r="AV71" s="363"/>
      <c r="AW71" s="366" t="e">
        <f>IF(AY71=0,0,AY71/AS71)</f>
        <v>#DIV/0!</v>
      </c>
      <c r="AX71" s="363"/>
      <c r="AY71" s="416">
        <f>SUM(AY66:AY70)</f>
        <v>256680</v>
      </c>
      <c r="AZ71" s="370"/>
      <c r="BA71" s="416">
        <f>SUM(BA66:BA70)</f>
        <v>0</v>
      </c>
      <c r="BB71" s="370"/>
      <c r="BC71" s="417">
        <f>SUM(BC66:BC70)</f>
        <v>256680</v>
      </c>
      <c r="BD71" s="363"/>
      <c r="BE71" s="374">
        <f>SUM(BE66:BE70)</f>
        <v>257</v>
      </c>
    </row>
    <row r="72" spans="1:57">
      <c r="A72" s="362"/>
      <c r="B72" s="363"/>
      <c r="C72" s="375"/>
      <c r="D72" s="363"/>
      <c r="E72" s="376"/>
      <c r="F72" s="363"/>
      <c r="G72" s="377"/>
      <c r="H72" s="363"/>
      <c r="I72" s="378"/>
      <c r="J72" s="370"/>
      <c r="K72" s="378"/>
      <c r="L72" s="370"/>
      <c r="M72" s="378"/>
      <c r="N72" s="363"/>
      <c r="O72" s="381"/>
      <c r="P72" s="363"/>
      <c r="Q72" s="375"/>
      <c r="R72" s="363"/>
      <c r="S72" s="376"/>
      <c r="T72" s="363"/>
      <c r="U72" s="377"/>
      <c r="V72" s="363"/>
      <c r="W72" s="415"/>
      <c r="X72" s="370"/>
      <c r="Y72" s="415"/>
      <c r="Z72" s="370"/>
      <c r="AA72" s="415"/>
      <c r="AB72" s="363"/>
      <c r="AC72" s="381"/>
      <c r="AD72" s="363"/>
      <c r="AE72" s="375"/>
      <c r="AF72" s="363"/>
      <c r="AG72" s="376"/>
      <c r="AH72" s="363"/>
      <c r="AI72" s="377"/>
      <c r="AJ72" s="363"/>
      <c r="AK72" s="415"/>
      <c r="AL72" s="370"/>
      <c r="AM72" s="415"/>
      <c r="AN72" s="370"/>
      <c r="AO72" s="415"/>
      <c r="AP72" s="363"/>
      <c r="AQ72" s="381"/>
      <c r="AR72" s="363"/>
      <c r="AS72" s="375"/>
      <c r="AT72" s="363"/>
      <c r="AU72" s="376"/>
      <c r="AV72" s="363"/>
      <c r="AW72" s="377"/>
      <c r="AX72" s="363"/>
      <c r="AY72" s="415"/>
      <c r="AZ72" s="370"/>
      <c r="BA72" s="415"/>
      <c r="BB72" s="370"/>
      <c r="BC72" s="415"/>
      <c r="BD72" s="363"/>
      <c r="BE72" s="381"/>
    </row>
    <row r="73" spans="1:57">
      <c r="A73" s="361" t="s">
        <v>73</v>
      </c>
      <c r="B73" s="163" t="s">
        <v>21</v>
      </c>
      <c r="C73" s="257">
        <f>3720000-1240000</f>
        <v>2480000</v>
      </c>
      <c r="E73" s="321">
        <f t="shared" si="24"/>
        <v>80000</v>
      </c>
      <c r="G73" s="353">
        <f t="shared" ref="G73:G78" si="27">IF(I73=0,0,I73/C73)</f>
        <v>0.13348265725806452</v>
      </c>
      <c r="I73" s="248">
        <f>-K73+591436.99-256680</f>
        <v>331036.99</v>
      </c>
      <c r="J73" s="354"/>
      <c r="K73" s="248">
        <v>3720</v>
      </c>
      <c r="L73" s="354"/>
      <c r="M73" s="164">
        <f>+I73+K73</f>
        <v>334756.99</v>
      </c>
      <c r="O73" s="355">
        <f>ROUND(M73/1000,0)</f>
        <v>335</v>
      </c>
      <c r="Q73" s="321"/>
      <c r="S73" s="356">
        <f>ROUND(Q73/$BC$2,0)</f>
        <v>0</v>
      </c>
      <c r="U73" s="353">
        <f t="shared" ref="U73:U78" si="28">IF(W73=0,0,W73/Q73)</f>
        <v>0</v>
      </c>
      <c r="W73" s="248">
        <f>-Y73</f>
        <v>0</v>
      </c>
      <c r="X73" s="357"/>
      <c r="Y73" s="248">
        <v>0</v>
      </c>
      <c r="Z73" s="357"/>
      <c r="AA73" s="357">
        <f>+W73+Y73</f>
        <v>0</v>
      </c>
      <c r="AC73" s="355">
        <f>ROUND(AA73/1000,0)</f>
        <v>0</v>
      </c>
      <c r="AE73" s="356"/>
      <c r="AG73" s="356">
        <f>ROUND(AE73/$BC$3,0)</f>
        <v>0</v>
      </c>
      <c r="AI73" s="353">
        <v>0</v>
      </c>
      <c r="AK73" s="248"/>
      <c r="AL73" s="164"/>
      <c r="AM73" s="164"/>
      <c r="AO73" s="323">
        <f>+AK73+AM73</f>
        <v>0</v>
      </c>
      <c r="AQ73" s="355">
        <f>ROUND(AK73/1000,0)</f>
        <v>0</v>
      </c>
      <c r="AS73" s="321">
        <f>+AE73+Q73+C73</f>
        <v>2480000</v>
      </c>
      <c r="AU73" s="321">
        <f>+AG73+S73+E73</f>
        <v>80000</v>
      </c>
      <c r="AW73" s="353">
        <f t="shared" ref="AW73:AW78" si="29">IF(AY73=0,0,AY73/AS73)</f>
        <v>0.13348265725806452</v>
      </c>
      <c r="AX73" s="353"/>
      <c r="AY73" s="359">
        <f>+AK73+W73+I73</f>
        <v>331036.99</v>
      </c>
      <c r="AZ73" s="359"/>
      <c r="BA73" s="359">
        <f>+AM73+Y73+K73</f>
        <v>3720</v>
      </c>
      <c r="BB73" s="359"/>
      <c r="BC73" s="359">
        <f>+AO73+AA73+M73</f>
        <v>334756.99</v>
      </c>
      <c r="BD73" s="174"/>
      <c r="BE73" s="360">
        <f>ROUND(BC73/1000,0)</f>
        <v>335</v>
      </c>
    </row>
    <row r="74" spans="1:57">
      <c r="A74" s="361" t="s">
        <v>88</v>
      </c>
      <c r="B74" s="163" t="s">
        <v>21</v>
      </c>
      <c r="C74" s="257">
        <v>2499732</v>
      </c>
      <c r="E74" s="321">
        <f t="shared" si="24"/>
        <v>80637</v>
      </c>
      <c r="G74" s="353">
        <f t="shared" si="27"/>
        <v>8.1999990398970782E-3</v>
      </c>
      <c r="I74" s="248">
        <f>-K74+25747.24</f>
        <v>20497.800000000003</v>
      </c>
      <c r="J74" s="354"/>
      <c r="K74" s="248">
        <v>5249.44</v>
      </c>
      <c r="L74" s="354"/>
      <c r="M74" s="164">
        <f>+I74+K74</f>
        <v>25747.24</v>
      </c>
      <c r="O74" s="355">
        <f>ROUND(M74/1000,0)</f>
        <v>26</v>
      </c>
      <c r="Q74" s="321"/>
      <c r="S74" s="356">
        <f>ROUND(Q74/$BC$2,0)</f>
        <v>0</v>
      </c>
      <c r="U74" s="353">
        <f t="shared" si="28"/>
        <v>0</v>
      </c>
      <c r="W74" s="248">
        <f>-Y74</f>
        <v>0</v>
      </c>
      <c r="X74" s="357"/>
      <c r="Y74" s="248"/>
      <c r="Z74" s="357"/>
      <c r="AA74" s="357">
        <f>+W74+Y74</f>
        <v>0</v>
      </c>
      <c r="AC74" s="355">
        <f>ROUND(AA74/1000,0)</f>
        <v>0</v>
      </c>
      <c r="AE74" s="356"/>
      <c r="AG74" s="356">
        <f>ROUND(AE74/$BC$3,0)</f>
        <v>0</v>
      </c>
      <c r="AI74" s="353">
        <f>IF(AK74=0,0,AK74/AE74)</f>
        <v>0</v>
      </c>
      <c r="AK74" s="248"/>
      <c r="AL74" s="164"/>
      <c r="AM74" s="164"/>
      <c r="AO74" s="323">
        <f>+AK74+AM74</f>
        <v>0</v>
      </c>
      <c r="AQ74" s="355">
        <f>ROUND(AK74/1000,0)</f>
        <v>0</v>
      </c>
      <c r="AS74" s="321">
        <f>+AE74+Q74+C74</f>
        <v>2499732</v>
      </c>
      <c r="AU74" s="321">
        <f>+AG74+S74+E74</f>
        <v>80637</v>
      </c>
      <c r="AW74" s="353">
        <f t="shared" si="29"/>
        <v>8.1999990398970782E-3</v>
      </c>
      <c r="AX74" s="353"/>
      <c r="AY74" s="359">
        <f>+AK74+W74+I74</f>
        <v>20497.800000000003</v>
      </c>
      <c r="AZ74" s="359"/>
      <c r="BA74" s="359">
        <f>+AM74+Y74+K74</f>
        <v>5249.44</v>
      </c>
      <c r="BB74" s="359"/>
      <c r="BC74" s="359">
        <f>+AO74+AA74+M74</f>
        <v>25747.24</v>
      </c>
      <c r="BD74" s="174"/>
      <c r="BE74" s="360">
        <f>ROUND(BC74/1000,0)</f>
        <v>26</v>
      </c>
    </row>
    <row r="75" spans="1:57">
      <c r="A75" s="361" t="s">
        <v>89</v>
      </c>
      <c r="C75" s="257"/>
      <c r="E75" s="321">
        <f t="shared" si="24"/>
        <v>0</v>
      </c>
      <c r="G75" s="353">
        <f t="shared" si="27"/>
        <v>0</v>
      </c>
      <c r="I75" s="248">
        <f>-K75</f>
        <v>0</v>
      </c>
      <c r="J75" s="354"/>
      <c r="K75" s="248"/>
      <c r="L75" s="354"/>
      <c r="M75" s="164">
        <f>+I75+K75</f>
        <v>0</v>
      </c>
      <c r="O75" s="355">
        <f>ROUND(M75/1000,0)</f>
        <v>0</v>
      </c>
      <c r="Q75" s="321">
        <v>0</v>
      </c>
      <c r="S75" s="356">
        <f>ROUND(Q75/$BC$2,0)</f>
        <v>0</v>
      </c>
      <c r="U75" s="353">
        <f t="shared" si="28"/>
        <v>0</v>
      </c>
      <c r="W75" s="248">
        <f>-Y75</f>
        <v>0</v>
      </c>
      <c r="X75" s="357"/>
      <c r="Y75" s="248">
        <v>0</v>
      </c>
      <c r="Z75" s="357"/>
      <c r="AA75" s="357">
        <f>+W75+Y75</f>
        <v>0</v>
      </c>
      <c r="AC75" s="355">
        <f>ROUND(AA75/1000,0)</f>
        <v>0</v>
      </c>
      <c r="AE75" s="356">
        <v>0</v>
      </c>
      <c r="AG75" s="356">
        <f>ROUND(AE75/$BC$3,0)</f>
        <v>0</v>
      </c>
      <c r="AI75" s="353">
        <f>IF(AK75=0,0,AK75/AE75)</f>
        <v>0</v>
      </c>
      <c r="AK75" s="248"/>
      <c r="AL75" s="164"/>
      <c r="AM75" s="164"/>
      <c r="AO75" s="323">
        <f>+AK75+AM75</f>
        <v>0</v>
      </c>
      <c r="AQ75" s="355">
        <f>ROUND(AK75/1000,0)</f>
        <v>0</v>
      </c>
      <c r="AS75" s="321">
        <f>+AE75+Q75+C75</f>
        <v>0</v>
      </c>
      <c r="AU75" s="321">
        <f>+AG75+S75+E75</f>
        <v>0</v>
      </c>
      <c r="AW75" s="353">
        <f t="shared" si="29"/>
        <v>0</v>
      </c>
      <c r="AX75" s="353"/>
      <c r="AY75" s="359">
        <f>+AK75+W75+I75</f>
        <v>0</v>
      </c>
      <c r="AZ75" s="359"/>
      <c r="BA75" s="359">
        <f>+AM75+Y75+K75</f>
        <v>0</v>
      </c>
      <c r="BB75" s="359"/>
      <c r="BC75" s="359">
        <f>+AO75+AA75+M75</f>
        <v>0</v>
      </c>
      <c r="BD75" s="174"/>
      <c r="BE75" s="360">
        <f>ROUND(BC75/1000,0)</f>
        <v>0</v>
      </c>
    </row>
    <row r="76" spans="1:57">
      <c r="A76" s="361" t="s">
        <v>90</v>
      </c>
      <c r="C76" s="257"/>
      <c r="E76" s="321">
        <f t="shared" si="24"/>
        <v>0</v>
      </c>
      <c r="G76" s="353">
        <f t="shared" si="27"/>
        <v>0</v>
      </c>
      <c r="I76" s="248">
        <f>-K76</f>
        <v>0</v>
      </c>
      <c r="J76" s="354"/>
      <c r="K76" s="248"/>
      <c r="L76" s="354"/>
      <c r="M76" s="164">
        <f>+I76+K76</f>
        <v>0</v>
      </c>
      <c r="O76" s="355">
        <f>ROUND(M76/1000,0)</f>
        <v>0</v>
      </c>
      <c r="Q76" s="321">
        <v>0</v>
      </c>
      <c r="S76" s="356">
        <f>ROUND(Q76/$BC$2,0)</f>
        <v>0</v>
      </c>
      <c r="U76" s="353">
        <f>IF(W76=0,0,W76/Q76)</f>
        <v>0</v>
      </c>
      <c r="W76" s="248">
        <f>-Y76</f>
        <v>0</v>
      </c>
      <c r="X76" s="357"/>
      <c r="Y76" s="248"/>
      <c r="Z76" s="357"/>
      <c r="AA76" s="357"/>
      <c r="AC76" s="355"/>
      <c r="AE76" s="356"/>
      <c r="AG76" s="356"/>
      <c r="AI76" s="353"/>
      <c r="AK76" s="248"/>
      <c r="AL76" s="164"/>
      <c r="AM76" s="164"/>
      <c r="AO76" s="323"/>
      <c r="AQ76" s="355"/>
      <c r="AS76" s="321">
        <f>+AE76+Q76+C76</f>
        <v>0</v>
      </c>
      <c r="AU76" s="321"/>
      <c r="AW76" s="353"/>
      <c r="AX76" s="353"/>
      <c r="AY76" s="359">
        <f>+AK76+W76+I76</f>
        <v>0</v>
      </c>
      <c r="AZ76" s="359"/>
      <c r="BA76" s="359">
        <f>+AM76+Y76+K76</f>
        <v>0</v>
      </c>
      <c r="BB76" s="359"/>
      <c r="BC76" s="359">
        <f>+AO76+AA76+M76</f>
        <v>0</v>
      </c>
      <c r="BD76" s="174"/>
      <c r="BE76" s="360">
        <f>ROUND(BC76/1000,0)</f>
        <v>0</v>
      </c>
    </row>
    <row r="77" spans="1:57">
      <c r="A77" s="361" t="s">
        <v>91</v>
      </c>
      <c r="B77" s="163" t="s">
        <v>21</v>
      </c>
      <c r="C77" s="257"/>
      <c r="E77" s="321">
        <f t="shared" si="24"/>
        <v>0</v>
      </c>
      <c r="G77" s="409">
        <f t="shared" si="27"/>
        <v>0</v>
      </c>
      <c r="I77" s="248">
        <f>-K77</f>
        <v>0</v>
      </c>
      <c r="J77" s="354"/>
      <c r="K77" s="248"/>
      <c r="L77" s="354"/>
      <c r="M77" s="164">
        <f>+I77+K77</f>
        <v>0</v>
      </c>
      <c r="O77" s="355">
        <f>ROUND(M77/1000,0)</f>
        <v>0</v>
      </c>
      <c r="Q77" s="321">
        <v>0</v>
      </c>
      <c r="S77" s="356">
        <f>ROUND(Q77/$BC$2,0)</f>
        <v>0</v>
      </c>
      <c r="U77" s="353">
        <f t="shared" si="28"/>
        <v>0</v>
      </c>
      <c r="W77" s="248">
        <f>-Y77</f>
        <v>0</v>
      </c>
      <c r="X77" s="357"/>
      <c r="Y77" s="248">
        <f>-285.65+285.65</f>
        <v>0</v>
      </c>
      <c r="Z77" s="357"/>
      <c r="AA77" s="357">
        <f>+W77+Y77</f>
        <v>0</v>
      </c>
      <c r="AC77" s="355">
        <f>ROUND(AA77/1000,0)</f>
        <v>0</v>
      </c>
      <c r="AE77" s="356">
        <v>0</v>
      </c>
      <c r="AG77" s="356">
        <f>ROUND(AE77/$BC$3,0)</f>
        <v>0</v>
      </c>
      <c r="AI77" s="353">
        <f>IF(AK77=0,0,AK77/AE77)</f>
        <v>0</v>
      </c>
      <c r="AK77" s="248"/>
      <c r="AL77" s="164"/>
      <c r="AM77" s="164">
        <v>0</v>
      </c>
      <c r="AO77" s="323">
        <f>+AK77+AM77</f>
        <v>0</v>
      </c>
      <c r="AQ77" s="355">
        <f>ROUND(AK77/1000,0)</f>
        <v>0</v>
      </c>
      <c r="AS77" s="321">
        <f>+AE77+Q77+C77</f>
        <v>0</v>
      </c>
      <c r="AU77" s="321">
        <f>+AG77+S77+E77</f>
        <v>0</v>
      </c>
      <c r="AW77" s="409">
        <f t="shared" si="29"/>
        <v>0</v>
      </c>
      <c r="AX77" s="353"/>
      <c r="AY77" s="359">
        <f>+AK77+W77+I77</f>
        <v>0</v>
      </c>
      <c r="AZ77" s="359"/>
      <c r="BA77" s="359">
        <f>+AM77+Y77+K77</f>
        <v>0</v>
      </c>
      <c r="BB77" s="359"/>
      <c r="BC77" s="359">
        <f>+AO77+AA77+M77</f>
        <v>0</v>
      </c>
      <c r="BD77" s="174"/>
      <c r="BE77" s="360">
        <f>ROUND(BC77/1000,0)</f>
        <v>0</v>
      </c>
    </row>
    <row r="78" spans="1:57">
      <c r="A78" s="362" t="s">
        <v>78</v>
      </c>
      <c r="B78" s="363"/>
      <c r="C78" s="384">
        <f>SUM(C74:C77)</f>
        <v>2499732</v>
      </c>
      <c r="D78" s="384"/>
      <c r="E78" s="384">
        <f>SUM(E74:E77)</f>
        <v>80637</v>
      </c>
      <c r="F78" s="363"/>
      <c r="G78" s="353">
        <f t="shared" si="27"/>
        <v>0.14062899142788107</v>
      </c>
      <c r="H78" s="363"/>
      <c r="I78" s="367">
        <f>SUM(I73:I77)</f>
        <v>351534.79</v>
      </c>
      <c r="J78" s="370"/>
      <c r="K78" s="367">
        <f>SUM(K73:K77)</f>
        <v>8969.4399999999987</v>
      </c>
      <c r="L78" s="370"/>
      <c r="M78" s="367">
        <f>SUM(M73:M77)</f>
        <v>360504.23</v>
      </c>
      <c r="N78" s="363"/>
      <c r="O78" s="374">
        <f>SUM(O73:O77)</f>
        <v>361</v>
      </c>
      <c r="P78" s="363"/>
      <c r="Q78" s="371">
        <f>SUM(Q74:Q77)</f>
        <v>0</v>
      </c>
      <c r="R78" s="363"/>
      <c r="S78" s="371">
        <f>SUM(S74:S75)</f>
        <v>0</v>
      </c>
      <c r="T78" s="363"/>
      <c r="U78" s="353">
        <f t="shared" si="28"/>
        <v>0</v>
      </c>
      <c r="V78" s="363"/>
      <c r="W78" s="367">
        <f>SUM(W73:W77)</f>
        <v>0</v>
      </c>
      <c r="X78" s="368"/>
      <c r="Y78" s="372">
        <f>SUM(Y73:Y77)</f>
        <v>0</v>
      </c>
      <c r="Z78" s="368"/>
      <c r="AA78" s="372">
        <f>SUM(AA73:AA77)</f>
        <v>0</v>
      </c>
      <c r="AB78" s="363"/>
      <c r="AC78" s="365">
        <f>SUM(AC73:AC75)</f>
        <v>0</v>
      </c>
      <c r="AD78" s="363"/>
      <c r="AE78" s="371">
        <f>SUM(AE74:AE75)</f>
        <v>0</v>
      </c>
      <c r="AF78" s="363"/>
      <c r="AG78" s="371">
        <f>SUM(AG74:AG75)</f>
        <v>0</v>
      </c>
      <c r="AH78" s="363"/>
      <c r="AI78" s="366">
        <f>IF(AK78=0,0,AK78/AE78)</f>
        <v>0</v>
      </c>
      <c r="AJ78" s="363"/>
      <c r="AK78" s="372">
        <f>SUM(AK73:AK77)</f>
        <v>0</v>
      </c>
      <c r="AL78" s="363"/>
      <c r="AM78" s="372">
        <f>SUM(AM73:AM77)</f>
        <v>0</v>
      </c>
      <c r="AN78" s="363"/>
      <c r="AO78" s="372">
        <f>SUM(AO73:AO77)</f>
        <v>0</v>
      </c>
      <c r="AP78" s="363"/>
      <c r="AQ78" s="365">
        <f>SUM(AQ73:AQ75)</f>
        <v>0</v>
      </c>
      <c r="AR78" s="363"/>
      <c r="AS78" s="371">
        <f>SUM(AS74:AS77)</f>
        <v>2499732</v>
      </c>
      <c r="AT78" s="363"/>
      <c r="AU78" s="371">
        <f>SUM(AU74:AU77)</f>
        <v>80637</v>
      </c>
      <c r="AV78" s="363"/>
      <c r="AW78" s="353">
        <f t="shared" si="29"/>
        <v>0.14062899142788107</v>
      </c>
      <c r="AX78" s="373"/>
      <c r="AY78" s="372">
        <f>SUM(AY73:AY77)</f>
        <v>351534.79</v>
      </c>
      <c r="AZ78" s="368"/>
      <c r="BA78" s="372">
        <f>SUM(BA73:BA77)</f>
        <v>8969.4399999999987</v>
      </c>
      <c r="BB78" s="368"/>
      <c r="BC78" s="372">
        <f>SUM(BC73:BC77)</f>
        <v>360504.23</v>
      </c>
      <c r="BD78" s="368"/>
      <c r="BE78" s="374">
        <f>SUM(BE73:BE77)</f>
        <v>361</v>
      </c>
    </row>
    <row r="79" spans="1:57">
      <c r="A79" s="362"/>
      <c r="B79" s="363"/>
      <c r="C79" s="375"/>
      <c r="D79" s="363"/>
      <c r="E79" s="376"/>
      <c r="F79" s="363"/>
      <c r="G79" s="377"/>
      <c r="H79" s="363"/>
      <c r="I79" s="378"/>
      <c r="J79" s="370"/>
      <c r="K79" s="378"/>
      <c r="L79" s="370"/>
      <c r="M79" s="378"/>
      <c r="N79" s="363"/>
      <c r="O79" s="381"/>
      <c r="P79" s="363"/>
      <c r="Q79" s="375"/>
      <c r="R79" s="363"/>
      <c r="S79" s="376"/>
      <c r="T79" s="363"/>
      <c r="U79" s="377"/>
      <c r="V79" s="363"/>
      <c r="W79" s="415"/>
      <c r="X79" s="370"/>
      <c r="Y79" s="415"/>
      <c r="Z79" s="370"/>
      <c r="AA79" s="415"/>
      <c r="AB79" s="363"/>
      <c r="AC79" s="381"/>
      <c r="AD79" s="363"/>
      <c r="AE79" s="375"/>
      <c r="AF79" s="363"/>
      <c r="AG79" s="376"/>
      <c r="AH79" s="363"/>
      <c r="AI79" s="377"/>
      <c r="AJ79" s="363"/>
      <c r="AK79" s="415"/>
      <c r="AL79" s="370"/>
      <c r="AM79" s="415"/>
      <c r="AN79" s="370"/>
      <c r="AO79" s="415"/>
      <c r="AP79" s="363"/>
      <c r="AQ79" s="381"/>
      <c r="AR79" s="363"/>
      <c r="AS79" s="375"/>
      <c r="AT79" s="363"/>
      <c r="AU79" s="376"/>
      <c r="AV79" s="363"/>
      <c r="AW79" s="377"/>
      <c r="AX79" s="363"/>
      <c r="AY79" s="415"/>
      <c r="AZ79" s="370"/>
      <c r="BA79" s="415"/>
      <c r="BB79" s="370"/>
      <c r="BC79" s="415"/>
      <c r="BD79" s="363"/>
      <c r="BE79" s="381"/>
    </row>
    <row r="80" spans="1:57">
      <c r="A80" s="361" t="s">
        <v>73</v>
      </c>
      <c r="B80" s="163" t="s">
        <v>21</v>
      </c>
      <c r="C80" s="257"/>
      <c r="E80" s="321">
        <f t="shared" ref="E80:E91" si="30">ROUND(C80/$BC$1,0)</f>
        <v>0</v>
      </c>
      <c r="G80" s="353">
        <f>IF(I80=0,0,I80/C80)</f>
        <v>0</v>
      </c>
      <c r="I80" s="248">
        <f>-K80</f>
        <v>0</v>
      </c>
      <c r="J80" s="354"/>
      <c r="K80" s="248"/>
      <c r="L80" s="354"/>
      <c r="M80" s="164">
        <f>+I80+K80</f>
        <v>0</v>
      </c>
      <c r="O80" s="355">
        <f>ROUND(M80/1000,0)</f>
        <v>0</v>
      </c>
      <c r="Q80" s="321">
        <v>0</v>
      </c>
      <c r="S80" s="356">
        <f>ROUND(Q80/$BC$2,0)</f>
        <v>0</v>
      </c>
      <c r="U80" s="353">
        <f t="shared" ref="U80:U85" si="31">IF(W80=0,0,W80/Q80)</f>
        <v>0</v>
      </c>
      <c r="W80" s="248">
        <f>-Y80</f>
        <v>0</v>
      </c>
      <c r="X80" s="357"/>
      <c r="Y80" s="248"/>
      <c r="Z80" s="357"/>
      <c r="AA80" s="357">
        <f>+W80+Y80</f>
        <v>0</v>
      </c>
      <c r="AC80" s="355">
        <f>ROUND(AA80/1000,0)</f>
        <v>0</v>
      </c>
      <c r="AE80" s="356">
        <v>0</v>
      </c>
      <c r="AG80" s="356">
        <f>ROUND(AE80/$BC$3,0)</f>
        <v>0</v>
      </c>
      <c r="AI80" s="353">
        <f t="shared" ref="AI80:AI85" si="32">IF(AK80=0,0,AK80/AE80)</f>
        <v>0</v>
      </c>
      <c r="AK80" s="248"/>
      <c r="AL80" s="164"/>
      <c r="AM80" s="164">
        <v>0</v>
      </c>
      <c r="AO80" s="323">
        <f>+AK80+AM80</f>
        <v>0</v>
      </c>
      <c r="AQ80" s="355">
        <f>ROUND(AK80/1000,0)</f>
        <v>0</v>
      </c>
      <c r="AS80" s="321">
        <f>+AE80+Q80+C80</f>
        <v>0</v>
      </c>
      <c r="AU80" s="321">
        <f>+AG80+S80+E80</f>
        <v>0</v>
      </c>
      <c r="AW80" s="353">
        <f>IF(AY80=0,0,AY80/AS80)</f>
        <v>0</v>
      </c>
      <c r="AX80" s="353"/>
      <c r="AY80" s="359">
        <f>+AK80+W80+I80</f>
        <v>0</v>
      </c>
      <c r="AZ80" s="359"/>
      <c r="BA80" s="359">
        <f>+AM80+Y80+K80</f>
        <v>0</v>
      </c>
      <c r="BB80" s="359"/>
      <c r="BC80" s="359">
        <f>+AO80+AA80+M80</f>
        <v>0</v>
      </c>
      <c r="BD80" s="174"/>
      <c r="BE80" s="360">
        <f>ROUND(BC80/1000,0)</f>
        <v>0</v>
      </c>
    </row>
    <row r="81" spans="1:57">
      <c r="A81" s="361" t="s">
        <v>92</v>
      </c>
      <c r="B81" s="163" t="s">
        <v>21</v>
      </c>
      <c r="C81" s="257"/>
      <c r="E81" s="321">
        <f t="shared" si="30"/>
        <v>0</v>
      </c>
      <c r="G81" s="353">
        <f>IF(I81=0,0,I81/C81)</f>
        <v>0</v>
      </c>
      <c r="I81" s="248">
        <f>-K81</f>
        <v>0</v>
      </c>
      <c r="J81" s="354"/>
      <c r="K81" s="248"/>
      <c r="L81" s="354"/>
      <c r="M81" s="164">
        <f>+I81+K81</f>
        <v>0</v>
      </c>
      <c r="O81" s="355">
        <f>ROUND(M81/1000,0)</f>
        <v>0</v>
      </c>
      <c r="Q81" s="321">
        <v>0</v>
      </c>
      <c r="S81" s="356">
        <f>ROUND(Q81/$BC$2,0)</f>
        <v>0</v>
      </c>
      <c r="U81" s="353">
        <f t="shared" si="31"/>
        <v>0</v>
      </c>
      <c r="W81" s="248">
        <f>-Y81</f>
        <v>0</v>
      </c>
      <c r="X81" s="357"/>
      <c r="Y81" s="248"/>
      <c r="Z81" s="357"/>
      <c r="AA81" s="357">
        <f>+W81+Y81</f>
        <v>0</v>
      </c>
      <c r="AC81" s="355">
        <f>ROUND(AA81/1000,0)</f>
        <v>0</v>
      </c>
      <c r="AE81" s="356">
        <v>0</v>
      </c>
      <c r="AG81" s="356">
        <f>ROUND(AE81/$BC$3,0)</f>
        <v>0</v>
      </c>
      <c r="AI81" s="353">
        <f t="shared" si="32"/>
        <v>0</v>
      </c>
      <c r="AK81" s="248"/>
      <c r="AL81" s="164"/>
      <c r="AM81" s="164"/>
      <c r="AO81" s="323">
        <f>+AK81+AM81</f>
        <v>0</v>
      </c>
      <c r="AQ81" s="355">
        <f>ROUND(AK81/1000,0)</f>
        <v>0</v>
      </c>
      <c r="AS81" s="321">
        <f>+AE81+Q81+C81</f>
        <v>0</v>
      </c>
      <c r="AU81" s="321">
        <f>+AG81+S81+E81</f>
        <v>0</v>
      </c>
      <c r="AW81" s="353">
        <f>IF(AY81=0,0,AY81/AS81)</f>
        <v>0</v>
      </c>
      <c r="AX81" s="353"/>
      <c r="AY81" s="359">
        <f>+AK81+W81+I81</f>
        <v>0</v>
      </c>
      <c r="AZ81" s="359"/>
      <c r="BA81" s="359">
        <f>+AM81+Y81+K81</f>
        <v>0</v>
      </c>
      <c r="BB81" s="359"/>
      <c r="BC81" s="359">
        <f>+AO81+AA81+M81</f>
        <v>0</v>
      </c>
      <c r="BD81" s="174"/>
      <c r="BE81" s="360">
        <f>ROUND(BC81/1000,0)</f>
        <v>0</v>
      </c>
    </row>
    <row r="82" spans="1:57">
      <c r="A82" s="361" t="s">
        <v>94</v>
      </c>
      <c r="C82" s="257"/>
      <c r="E82" s="321">
        <f t="shared" si="30"/>
        <v>0</v>
      </c>
      <c r="G82" s="353">
        <f>IF(I82=0,0,I82/C82)</f>
        <v>0</v>
      </c>
      <c r="I82" s="248">
        <f>-K82</f>
        <v>0</v>
      </c>
      <c r="J82" s="354"/>
      <c r="K82" s="248"/>
      <c r="L82" s="354"/>
      <c r="M82" s="164">
        <f>+I82+K82</f>
        <v>0</v>
      </c>
      <c r="O82" s="355">
        <f>ROUND(M82/1000,0)</f>
        <v>0</v>
      </c>
      <c r="Q82" s="321">
        <v>0</v>
      </c>
      <c r="S82" s="356">
        <f>ROUND(Q82/$BC$2,0)</f>
        <v>0</v>
      </c>
      <c r="U82" s="353">
        <f t="shared" si="31"/>
        <v>0</v>
      </c>
      <c r="W82" s="248">
        <f>-Y82</f>
        <v>0</v>
      </c>
      <c r="X82" s="357"/>
      <c r="Y82" s="248"/>
      <c r="Z82" s="357"/>
      <c r="AA82" s="357">
        <f>+W82+Y82</f>
        <v>0</v>
      </c>
      <c r="AC82" s="355">
        <f>ROUND(AA82/1000,0)</f>
        <v>0</v>
      </c>
      <c r="AE82" s="356">
        <v>0</v>
      </c>
      <c r="AG82" s="356">
        <f>ROUND(AE82/$BC$3,0)</f>
        <v>0</v>
      </c>
      <c r="AI82" s="353">
        <f t="shared" si="32"/>
        <v>0</v>
      </c>
      <c r="AK82" s="248"/>
      <c r="AL82" s="164"/>
      <c r="AM82" s="164">
        <v>0</v>
      </c>
      <c r="AO82" s="323">
        <f>+AK82+AM82</f>
        <v>0</v>
      </c>
      <c r="AQ82" s="355">
        <f>ROUND(AK82/1000,0)</f>
        <v>0</v>
      </c>
      <c r="AS82" s="321">
        <f>+AE82+Q82+C82</f>
        <v>0</v>
      </c>
      <c r="AU82" s="321">
        <f>+AG82+S82+E82</f>
        <v>0</v>
      </c>
      <c r="AW82" s="353">
        <f>IF(AY82=0,0,AY82/AS82)</f>
        <v>0</v>
      </c>
      <c r="AX82" s="353"/>
      <c r="AY82" s="359">
        <f>+AK82+W82+I82</f>
        <v>0</v>
      </c>
      <c r="AZ82" s="359"/>
      <c r="BA82" s="359">
        <f>+AM82+Y82+K82</f>
        <v>0</v>
      </c>
      <c r="BB82" s="359"/>
      <c r="BC82" s="359">
        <f>+AO82+AA82+M82</f>
        <v>0</v>
      </c>
      <c r="BD82" s="174"/>
      <c r="BE82" s="360">
        <f>ROUND(BC82/1000,0)</f>
        <v>0</v>
      </c>
    </row>
    <row r="83" spans="1:57">
      <c r="A83" s="361" t="s">
        <v>135</v>
      </c>
      <c r="C83" s="257"/>
      <c r="E83" s="321">
        <f t="shared" si="30"/>
        <v>0</v>
      </c>
      <c r="G83" s="353">
        <f>IF(I83=0,0,I83/C83)</f>
        <v>0</v>
      </c>
      <c r="I83" s="248">
        <f>-K83</f>
        <v>0</v>
      </c>
      <c r="J83" s="354"/>
      <c r="K83" s="248"/>
      <c r="L83" s="354"/>
      <c r="M83" s="164">
        <f>+I83+K83</f>
        <v>0</v>
      </c>
      <c r="O83" s="355">
        <f>ROUND(M83/1000,0)</f>
        <v>0</v>
      </c>
      <c r="Q83" s="321">
        <v>0</v>
      </c>
      <c r="S83" s="356">
        <f>ROUND(Q83/$BC$2,0)</f>
        <v>0</v>
      </c>
      <c r="U83" s="353">
        <f>IF(W83=0,0,W83/Q83)</f>
        <v>0</v>
      </c>
      <c r="W83" s="248">
        <f>-Y83</f>
        <v>0</v>
      </c>
      <c r="X83" s="357"/>
      <c r="Y83" s="248"/>
      <c r="Z83" s="357"/>
      <c r="AA83" s="357"/>
      <c r="AC83" s="355"/>
      <c r="AE83" s="356"/>
      <c r="AG83" s="356"/>
      <c r="AI83" s="353"/>
      <c r="AK83" s="248"/>
      <c r="AL83" s="164"/>
      <c r="AM83" s="164"/>
      <c r="AO83" s="323"/>
      <c r="AQ83" s="355"/>
      <c r="AS83" s="321"/>
      <c r="AU83" s="321"/>
      <c r="AW83" s="353"/>
      <c r="AX83" s="353"/>
      <c r="AY83" s="359">
        <f>+AK83+W83+I83</f>
        <v>0</v>
      </c>
      <c r="AZ83" s="359"/>
      <c r="BA83" s="359">
        <f>+AM83+Y83+K83</f>
        <v>0</v>
      </c>
      <c r="BB83" s="359"/>
      <c r="BC83" s="359">
        <f>+AO83+AA83+M83</f>
        <v>0</v>
      </c>
      <c r="BD83" s="174"/>
      <c r="BE83" s="360">
        <f>ROUND(BC83/1000,0)</f>
        <v>0</v>
      </c>
    </row>
    <row r="84" spans="1:57">
      <c r="A84" s="361" t="s">
        <v>95</v>
      </c>
      <c r="B84" s="163" t="s">
        <v>21</v>
      </c>
      <c r="C84" s="257"/>
      <c r="E84" s="398">
        <f t="shared" si="30"/>
        <v>0</v>
      </c>
      <c r="G84" s="353">
        <f>IF(I84=0,0,I84/C84)</f>
        <v>0</v>
      </c>
      <c r="I84" s="248">
        <f>-K84</f>
        <v>0</v>
      </c>
      <c r="J84" s="354"/>
      <c r="K84" s="248"/>
      <c r="L84" s="354"/>
      <c r="M84" s="164">
        <f>+I84+K84</f>
        <v>0</v>
      </c>
      <c r="O84" s="355">
        <f>ROUND(M84/1000,0)</f>
        <v>0</v>
      </c>
      <c r="Q84" s="321">
        <v>0</v>
      </c>
      <c r="S84" s="356">
        <f>ROUND(Q84/$BC$2,0)</f>
        <v>0</v>
      </c>
      <c r="U84" s="353">
        <f t="shared" si="31"/>
        <v>0</v>
      </c>
      <c r="W84" s="248">
        <f>-Y84</f>
        <v>0</v>
      </c>
      <c r="X84" s="357"/>
      <c r="Y84" s="248">
        <v>0</v>
      </c>
      <c r="Z84" s="357"/>
      <c r="AA84" s="357">
        <f>+W84+Y84</f>
        <v>0</v>
      </c>
      <c r="AC84" s="355">
        <f>ROUND(AA84/1000,0)</f>
        <v>0</v>
      </c>
      <c r="AE84" s="356">
        <v>0</v>
      </c>
      <c r="AG84" s="356">
        <f>ROUND(AE84/$BC$3,0)</f>
        <v>0</v>
      </c>
      <c r="AI84" s="353">
        <f t="shared" si="32"/>
        <v>0</v>
      </c>
      <c r="AK84" s="248"/>
      <c r="AL84" s="164"/>
      <c r="AM84" s="164">
        <v>0</v>
      </c>
      <c r="AO84" s="323">
        <f>+AK84+AM84</f>
        <v>0</v>
      </c>
      <c r="AQ84" s="355">
        <f>ROUND(AK84/1000,0)</f>
        <v>0</v>
      </c>
      <c r="AS84" s="321">
        <f>+AE84+Q84+C84</f>
        <v>0</v>
      </c>
      <c r="AU84" s="321">
        <f>+AG84+S84+E84</f>
        <v>0</v>
      </c>
      <c r="AW84" s="353">
        <f>IF(AY84=0,0,AY84/AS84)</f>
        <v>0</v>
      </c>
      <c r="AX84" s="353"/>
      <c r="AY84" s="359">
        <f>+AK84+W84+I84</f>
        <v>0</v>
      </c>
      <c r="AZ84" s="359"/>
      <c r="BA84" s="359">
        <f>+AM84+Y84+K84</f>
        <v>0</v>
      </c>
      <c r="BB84" s="359"/>
      <c r="BC84" s="359">
        <f>+AO84+AA84+M84</f>
        <v>0</v>
      </c>
      <c r="BD84" s="174"/>
      <c r="BE84" s="360">
        <f>ROUND(BC84/1000,0)</f>
        <v>0</v>
      </c>
    </row>
    <row r="85" spans="1:57">
      <c r="A85" s="362" t="s">
        <v>78</v>
      </c>
      <c r="B85" s="363"/>
      <c r="C85" s="364">
        <f>SUM(C81:C84)</f>
        <v>0</v>
      </c>
      <c r="D85" s="363"/>
      <c r="E85" s="321">
        <f t="shared" si="30"/>
        <v>0</v>
      </c>
      <c r="F85" s="363"/>
      <c r="G85" s="418" t="e">
        <f>+I85/C85</f>
        <v>#DIV/0!</v>
      </c>
      <c r="H85" s="363"/>
      <c r="I85" s="367">
        <f>SUM(I80:I84)</f>
        <v>0</v>
      </c>
      <c r="J85" s="370"/>
      <c r="K85" s="367">
        <f>SUM(K80:K84)</f>
        <v>0</v>
      </c>
      <c r="L85" s="370"/>
      <c r="M85" s="367">
        <f>SUM(M80:M84)</f>
        <v>0</v>
      </c>
      <c r="N85" s="363"/>
      <c r="O85" s="365">
        <f>SUM(O80:O84)</f>
        <v>0</v>
      </c>
      <c r="P85" s="363"/>
      <c r="Q85" s="371">
        <f>SUM(Q80:Q84)</f>
        <v>0</v>
      </c>
      <c r="R85" s="363"/>
      <c r="S85" s="371">
        <f>SUM(S80:S84)</f>
        <v>0</v>
      </c>
      <c r="T85" s="363"/>
      <c r="U85" s="366">
        <f t="shared" si="31"/>
        <v>0</v>
      </c>
      <c r="V85" s="363"/>
      <c r="W85" s="367">
        <f>SUM(W80:W84)</f>
        <v>0</v>
      </c>
      <c r="X85" s="368"/>
      <c r="Y85" s="372">
        <f>SUM(Y80:Y84)</f>
        <v>0</v>
      </c>
      <c r="Z85" s="368"/>
      <c r="AA85" s="372">
        <f>SUM(AA80:AA84)</f>
        <v>0</v>
      </c>
      <c r="AB85" s="363"/>
      <c r="AC85" s="365">
        <f>SUM(AC80:AC84)</f>
        <v>0</v>
      </c>
      <c r="AD85" s="363"/>
      <c r="AE85" s="371">
        <f>SUM(AE81:AE84)</f>
        <v>0</v>
      </c>
      <c r="AF85" s="363"/>
      <c r="AG85" s="371">
        <f>SUM(AG81:AG84)</f>
        <v>0</v>
      </c>
      <c r="AH85" s="363"/>
      <c r="AI85" s="366">
        <f t="shared" si="32"/>
        <v>0</v>
      </c>
      <c r="AJ85" s="363"/>
      <c r="AK85" s="372">
        <f>SUM(AK80:AK84)</f>
        <v>0</v>
      </c>
      <c r="AL85" s="363"/>
      <c r="AM85" s="372">
        <f>SUM(AM80:AM84)</f>
        <v>0</v>
      </c>
      <c r="AN85" s="363"/>
      <c r="AO85" s="372">
        <f>SUM(AO80:AO84)</f>
        <v>0</v>
      </c>
      <c r="AP85" s="363"/>
      <c r="AQ85" s="365">
        <f>SUM(AQ80:AQ84)</f>
        <v>0</v>
      </c>
      <c r="AR85" s="363"/>
      <c r="AS85" s="371">
        <f>SUM(AS81:AS84)</f>
        <v>0</v>
      </c>
      <c r="AT85" s="363"/>
      <c r="AU85" s="371">
        <f>SUM(AU81:AU84)</f>
        <v>0</v>
      </c>
      <c r="AV85" s="363"/>
      <c r="AW85" s="418" t="e">
        <f>+AY85/AS85</f>
        <v>#DIV/0!</v>
      </c>
      <c r="AX85" s="373"/>
      <c r="AY85" s="372">
        <f>SUM(AY80:AY84)</f>
        <v>0</v>
      </c>
      <c r="AZ85" s="368"/>
      <c r="BA85" s="372">
        <f>SUM(BA80:BA84)</f>
        <v>0</v>
      </c>
      <c r="BB85" s="368"/>
      <c r="BC85" s="372">
        <f>SUM(BC80:BC84)</f>
        <v>0</v>
      </c>
      <c r="BD85" s="382"/>
      <c r="BE85" s="374">
        <f>SUM(BE80:BE84)</f>
        <v>0</v>
      </c>
    </row>
    <row r="86" spans="1:57">
      <c r="A86" s="340"/>
      <c r="C86" s="257"/>
      <c r="E86" s="321"/>
      <c r="G86" s="353"/>
      <c r="I86" s="248"/>
      <c r="J86" s="354"/>
      <c r="K86" s="248"/>
      <c r="L86" s="354"/>
      <c r="O86" s="355"/>
      <c r="Q86" s="321"/>
      <c r="S86" s="356"/>
      <c r="U86" s="353"/>
      <c r="W86" s="248"/>
      <c r="X86" s="357"/>
      <c r="Y86" s="357"/>
      <c r="Z86" s="357"/>
      <c r="AA86" s="357"/>
      <c r="AC86" s="355"/>
      <c r="AE86" s="356"/>
      <c r="AG86" s="356"/>
      <c r="AI86" s="353"/>
      <c r="AK86" s="354"/>
      <c r="AM86" s="323"/>
      <c r="AO86" s="323"/>
      <c r="AQ86" s="355"/>
      <c r="AS86" s="321"/>
      <c r="AU86" s="356"/>
      <c r="AW86" s="353"/>
      <c r="AX86" s="353"/>
      <c r="AY86" s="359"/>
      <c r="AZ86" s="359"/>
      <c r="BA86" s="359"/>
      <c r="BB86" s="359"/>
      <c r="BC86" s="359"/>
      <c r="BD86" s="174"/>
      <c r="BE86" s="360"/>
    </row>
    <row r="87" spans="1:57">
      <c r="A87" s="361" t="s">
        <v>154</v>
      </c>
      <c r="C87" s="257"/>
      <c r="E87" s="321">
        <f t="shared" si="30"/>
        <v>0</v>
      </c>
      <c r="G87" s="353">
        <f t="shared" ref="G87:G92" si="33">IF(I87=0,0,I87/C87)</f>
        <v>0</v>
      </c>
      <c r="I87" s="248">
        <f>-K87</f>
        <v>0</v>
      </c>
      <c r="J87" s="354"/>
      <c r="K87" s="248"/>
      <c r="L87" s="354"/>
      <c r="M87" s="164">
        <f>+I87+K87</f>
        <v>0</v>
      </c>
      <c r="O87" s="355">
        <f>ROUND(M87/1000,0)</f>
        <v>0</v>
      </c>
      <c r="Q87" s="321">
        <v>0</v>
      </c>
      <c r="S87" s="356">
        <f>ROUND(Q87/$BC$2,0)</f>
        <v>0</v>
      </c>
      <c r="U87" s="353">
        <f t="shared" ref="U87:U92" si="34">IF(W87=0,0,W87/Q87)</f>
        <v>0</v>
      </c>
      <c r="W87" s="248">
        <v>0</v>
      </c>
      <c r="X87" s="357"/>
      <c r="Y87" s="248">
        <v>0</v>
      </c>
      <c r="Z87" s="357"/>
      <c r="AA87" s="357">
        <f>+W87+Y87</f>
        <v>0</v>
      </c>
      <c r="AC87" s="355">
        <f>ROUND(AA87/1000,0)</f>
        <v>0</v>
      </c>
      <c r="AE87" s="356">
        <v>0</v>
      </c>
      <c r="AG87" s="356">
        <f>ROUND(AE87/$BC$3,0)</f>
        <v>0</v>
      </c>
      <c r="AI87" s="353">
        <f t="shared" ref="AI87:AI92" si="35">IF(AK87=0,0,AK87/AE87)</f>
        <v>0</v>
      </c>
      <c r="AK87" s="248"/>
      <c r="AL87" s="164"/>
      <c r="AM87" s="164">
        <v>0</v>
      </c>
      <c r="AO87" s="323">
        <f>+AK87+AM87</f>
        <v>0</v>
      </c>
      <c r="AQ87" s="355">
        <f>ROUND(AK87/1000,0)</f>
        <v>0</v>
      </c>
      <c r="AS87" s="321">
        <f>+AE87+Q87+C87</f>
        <v>0</v>
      </c>
      <c r="AU87" s="321">
        <f>+AG87+S87+E87</f>
        <v>0</v>
      </c>
      <c r="AW87" s="353">
        <f t="shared" ref="AW87:AW92" si="36">IF(AY87=0,0,AY87/AS87)</f>
        <v>0</v>
      </c>
      <c r="AX87" s="353"/>
      <c r="AY87" s="359">
        <f>+AK87+W87+I87</f>
        <v>0</v>
      </c>
      <c r="AZ87" s="359"/>
      <c r="BA87" s="359">
        <f>+AM87+Y87+K87</f>
        <v>0</v>
      </c>
      <c r="BB87" s="359"/>
      <c r="BC87" s="359">
        <f>+AO87+AA87+M87</f>
        <v>0</v>
      </c>
      <c r="BD87" s="174"/>
      <c r="BE87" s="360">
        <f>ROUND(BC87/1000,0)</f>
        <v>0</v>
      </c>
    </row>
    <row r="88" spans="1:57">
      <c r="A88" s="361" t="s">
        <v>155</v>
      </c>
      <c r="C88" s="257"/>
      <c r="E88" s="321">
        <f t="shared" si="30"/>
        <v>0</v>
      </c>
      <c r="G88" s="353">
        <f t="shared" si="33"/>
        <v>0</v>
      </c>
      <c r="I88" s="248">
        <f>-K88</f>
        <v>0</v>
      </c>
      <c r="J88" s="354"/>
      <c r="K88" s="248"/>
      <c r="L88" s="354"/>
      <c r="M88" s="164">
        <f>+I88+K88</f>
        <v>0</v>
      </c>
      <c r="O88" s="355">
        <f>ROUND(M88/1000,0)</f>
        <v>0</v>
      </c>
      <c r="Q88" s="321">
        <v>0</v>
      </c>
      <c r="S88" s="356">
        <f>ROUND(Q88/$BC$2,0)</f>
        <v>0</v>
      </c>
      <c r="U88" s="353">
        <f t="shared" si="34"/>
        <v>0</v>
      </c>
      <c r="W88" s="248">
        <v>0</v>
      </c>
      <c r="X88" s="357"/>
      <c r="Y88" s="248">
        <v>0</v>
      </c>
      <c r="Z88" s="357"/>
      <c r="AA88" s="357">
        <f>+W88+Y88</f>
        <v>0</v>
      </c>
      <c r="AC88" s="355">
        <f>ROUND(AA88/1000,0)</f>
        <v>0</v>
      </c>
      <c r="AE88" s="356">
        <v>0</v>
      </c>
      <c r="AG88" s="356">
        <f>ROUND(AE88/$BC$3,0)</f>
        <v>0</v>
      </c>
      <c r="AI88" s="353">
        <f t="shared" si="35"/>
        <v>0</v>
      </c>
      <c r="AK88" s="248"/>
      <c r="AL88" s="164"/>
      <c r="AM88" s="164">
        <v>0</v>
      </c>
      <c r="AO88" s="323">
        <f>+AK88+AM88</f>
        <v>0</v>
      </c>
      <c r="AQ88" s="355">
        <f>ROUND(AK88/1000,0)</f>
        <v>0</v>
      </c>
      <c r="AS88" s="321">
        <f>+AE88+Q88+C88</f>
        <v>0</v>
      </c>
      <c r="AU88" s="321">
        <f>+AG88+S88+E88</f>
        <v>0</v>
      </c>
      <c r="AW88" s="353">
        <f t="shared" si="36"/>
        <v>0</v>
      </c>
      <c r="AX88" s="353"/>
      <c r="AY88" s="359">
        <f>+AK88+W88+I88</f>
        <v>0</v>
      </c>
      <c r="AZ88" s="359"/>
      <c r="BA88" s="359">
        <f>+AM88+Y88+K88</f>
        <v>0</v>
      </c>
      <c r="BB88" s="359"/>
      <c r="BC88" s="359">
        <f>+AO88+AA88+M88</f>
        <v>0</v>
      </c>
      <c r="BD88" s="174"/>
      <c r="BE88" s="360">
        <f>ROUND(BC88/1000,0)</f>
        <v>0</v>
      </c>
    </row>
    <row r="89" spans="1:57">
      <c r="A89" s="361" t="s">
        <v>156</v>
      </c>
      <c r="C89" s="257"/>
      <c r="E89" s="321">
        <f t="shared" si="30"/>
        <v>0</v>
      </c>
      <c r="G89" s="353">
        <f t="shared" si="33"/>
        <v>0</v>
      </c>
      <c r="I89" s="248">
        <f>-K89</f>
        <v>0</v>
      </c>
      <c r="J89" s="354"/>
      <c r="K89" s="248"/>
      <c r="L89" s="354"/>
      <c r="M89" s="164">
        <f>+I89+K89</f>
        <v>0</v>
      </c>
      <c r="O89" s="355">
        <f>ROUND(M89/1000,0)</f>
        <v>0</v>
      </c>
      <c r="Q89" s="321">
        <v>0</v>
      </c>
      <c r="S89" s="356">
        <f>ROUND(Q89/$BC$2,0)</f>
        <v>0</v>
      </c>
      <c r="U89" s="353">
        <f t="shared" si="34"/>
        <v>0</v>
      </c>
      <c r="W89" s="248">
        <v>0</v>
      </c>
      <c r="X89" s="357"/>
      <c r="Y89" s="248">
        <v>0</v>
      </c>
      <c r="Z89" s="357"/>
      <c r="AA89" s="357">
        <f>+W89+Y89</f>
        <v>0</v>
      </c>
      <c r="AC89" s="355">
        <f>ROUND(AA89/1000,0)</f>
        <v>0</v>
      </c>
      <c r="AE89" s="356">
        <v>0</v>
      </c>
      <c r="AG89" s="356">
        <f>ROUND(AE89/$BC$3,0)</f>
        <v>0</v>
      </c>
      <c r="AI89" s="353">
        <f t="shared" si="35"/>
        <v>0</v>
      </c>
      <c r="AK89" s="248"/>
      <c r="AL89" s="164"/>
      <c r="AM89" s="164">
        <v>0</v>
      </c>
      <c r="AO89" s="323">
        <f>+AK89+AM89</f>
        <v>0</v>
      </c>
      <c r="AQ89" s="355">
        <f>ROUND(AK89/1000,0)</f>
        <v>0</v>
      </c>
      <c r="AS89" s="321">
        <f>+AE89+Q89+C89</f>
        <v>0</v>
      </c>
      <c r="AU89" s="321">
        <f>+AG89+S89+E89</f>
        <v>0</v>
      </c>
      <c r="AW89" s="353">
        <f>IF(AY89=0,0,AY89/AS89)</f>
        <v>0</v>
      </c>
      <c r="AX89" s="353"/>
      <c r="AY89" s="359">
        <f>+AK89+W89+I89</f>
        <v>0</v>
      </c>
      <c r="AZ89" s="359"/>
      <c r="BA89" s="359">
        <f>+AM89+Y89+K89</f>
        <v>0</v>
      </c>
      <c r="BB89" s="359"/>
      <c r="BC89" s="359">
        <f>+AO89+AA89+M89</f>
        <v>0</v>
      </c>
      <c r="BD89" s="174"/>
      <c r="BE89" s="360">
        <f>ROUND(BC89/1000,0)</f>
        <v>0</v>
      </c>
    </row>
    <row r="90" spans="1:57">
      <c r="A90" s="361" t="s">
        <v>157</v>
      </c>
      <c r="C90" s="257"/>
      <c r="E90" s="321">
        <f t="shared" si="30"/>
        <v>0</v>
      </c>
      <c r="G90" s="353">
        <f>IF(I90=0,0,I90/C90)</f>
        <v>0</v>
      </c>
      <c r="I90" s="248">
        <f>-K90</f>
        <v>0</v>
      </c>
      <c r="J90" s="354"/>
      <c r="K90" s="248"/>
      <c r="L90" s="354"/>
      <c r="M90" s="164">
        <f>+I90+K90</f>
        <v>0</v>
      </c>
      <c r="O90" s="355">
        <f>ROUND(M90/1000,0)</f>
        <v>0</v>
      </c>
      <c r="Q90" s="321">
        <v>0</v>
      </c>
      <c r="S90" s="356">
        <f>ROUND(Q90/$BC$2,0)</f>
        <v>0</v>
      </c>
      <c r="U90" s="353">
        <f>IF(W90=0,0,W90/Q90)</f>
        <v>0</v>
      </c>
      <c r="W90" s="248">
        <v>0</v>
      </c>
      <c r="X90" s="357"/>
      <c r="Y90" s="248"/>
      <c r="Z90" s="357"/>
      <c r="AA90" s="357"/>
      <c r="AC90" s="355"/>
      <c r="AE90" s="356"/>
      <c r="AG90" s="356"/>
      <c r="AI90" s="353"/>
      <c r="AK90" s="248"/>
      <c r="AL90" s="164"/>
      <c r="AM90" s="164"/>
      <c r="AO90" s="323"/>
      <c r="AQ90" s="355"/>
      <c r="AS90" s="321"/>
      <c r="AU90" s="321"/>
      <c r="AW90" s="353"/>
      <c r="AX90" s="353"/>
      <c r="AY90" s="359">
        <f>+AK90+W90+I90</f>
        <v>0</v>
      </c>
      <c r="AZ90" s="359"/>
      <c r="BA90" s="359">
        <f>+AM90+Y90+K90</f>
        <v>0</v>
      </c>
      <c r="BB90" s="359"/>
      <c r="BC90" s="359">
        <f>+AO90+AA90+M90</f>
        <v>0</v>
      </c>
      <c r="BD90" s="174"/>
      <c r="BE90" s="360">
        <f>ROUND(BC90/1000,0)</f>
        <v>0</v>
      </c>
    </row>
    <row r="91" spans="1:57">
      <c r="A91" s="361" t="s">
        <v>158</v>
      </c>
      <c r="C91" s="257"/>
      <c r="E91" s="321">
        <f t="shared" si="30"/>
        <v>0</v>
      </c>
      <c r="G91" s="353">
        <f t="shared" si="33"/>
        <v>0</v>
      </c>
      <c r="I91" s="248">
        <f>-K91</f>
        <v>0</v>
      </c>
      <c r="J91" s="354"/>
      <c r="K91" s="248"/>
      <c r="L91" s="354"/>
      <c r="M91" s="164">
        <f>+I91+K91</f>
        <v>0</v>
      </c>
      <c r="O91" s="355">
        <f>ROUND(M91/1000,0)</f>
        <v>0</v>
      </c>
      <c r="Q91" s="321">
        <v>0</v>
      </c>
      <c r="S91" s="356">
        <f>ROUND(Q91/$BC$2,0)</f>
        <v>0</v>
      </c>
      <c r="U91" s="353">
        <f t="shared" si="34"/>
        <v>0</v>
      </c>
      <c r="W91" s="248">
        <v>0</v>
      </c>
      <c r="X91" s="357"/>
      <c r="Y91" s="248">
        <v>0</v>
      </c>
      <c r="Z91" s="357"/>
      <c r="AA91" s="357">
        <f>+W91+Y91</f>
        <v>0</v>
      </c>
      <c r="AC91" s="355">
        <f>ROUND(AA91/1000,0)</f>
        <v>0</v>
      </c>
      <c r="AE91" s="356">
        <v>0</v>
      </c>
      <c r="AG91" s="356">
        <f>ROUND(AE91/$BC$3,0)</f>
        <v>0</v>
      </c>
      <c r="AI91" s="353">
        <f t="shared" si="35"/>
        <v>0</v>
      </c>
      <c r="AK91" s="248"/>
      <c r="AL91" s="164"/>
      <c r="AM91" s="164">
        <v>0</v>
      </c>
      <c r="AO91" s="323">
        <f>+AK91+AM91</f>
        <v>0</v>
      </c>
      <c r="AQ91" s="355">
        <f>ROUND(AK91/1000,0)</f>
        <v>0</v>
      </c>
      <c r="AS91" s="321">
        <f>+AE91+Q91+C91</f>
        <v>0</v>
      </c>
      <c r="AU91" s="321">
        <f>+AG91+S91+E91</f>
        <v>0</v>
      </c>
      <c r="AW91" s="353">
        <f t="shared" si="36"/>
        <v>0</v>
      </c>
      <c r="AX91" s="353"/>
      <c r="AY91" s="359">
        <f>+AK91+W91+I91</f>
        <v>0</v>
      </c>
      <c r="AZ91" s="359"/>
      <c r="BA91" s="359">
        <f>+AM91+Y91+K91</f>
        <v>0</v>
      </c>
      <c r="BB91" s="359"/>
      <c r="BC91" s="359">
        <f>+AO91+AA91+M91</f>
        <v>0</v>
      </c>
      <c r="BD91" s="174"/>
      <c r="BE91" s="360">
        <f>ROUND(BC91/1000,0)</f>
        <v>0</v>
      </c>
    </row>
    <row r="92" spans="1:57">
      <c r="A92" s="362" t="s">
        <v>78</v>
      </c>
      <c r="C92" s="364">
        <f>SUM(C88:C91)</f>
        <v>0</v>
      </c>
      <c r="E92" s="365">
        <f>SUM(E88:E91)</f>
        <v>0</v>
      </c>
      <c r="G92" s="366">
        <f t="shared" si="33"/>
        <v>0</v>
      </c>
      <c r="I92" s="367">
        <f>SUM(I87:I91)</f>
        <v>0</v>
      </c>
      <c r="J92" s="354"/>
      <c r="K92" s="367">
        <f>SUM(K87:K91)</f>
        <v>0</v>
      </c>
      <c r="L92" s="354"/>
      <c r="M92" s="367">
        <f>SUM(M87:M91)</f>
        <v>0</v>
      </c>
      <c r="O92" s="365">
        <f>SUM(O87:O91)</f>
        <v>0</v>
      </c>
      <c r="Q92" s="371">
        <f>SUM(Q88:Q91)</f>
        <v>0</v>
      </c>
      <c r="R92" s="363"/>
      <c r="S92" s="371">
        <f>SUM(S88:S91)</f>
        <v>0</v>
      </c>
      <c r="T92" s="363"/>
      <c r="U92" s="366">
        <f t="shared" si="34"/>
        <v>0</v>
      </c>
      <c r="V92" s="363"/>
      <c r="W92" s="367">
        <f>SUM(W87:W91)</f>
        <v>0</v>
      </c>
      <c r="X92" s="357"/>
      <c r="Y92" s="419">
        <f>SUM(Y87:Y91)</f>
        <v>0</v>
      </c>
      <c r="Z92" s="357"/>
      <c r="AA92" s="419">
        <f>SUM(AA87:AA91)</f>
        <v>0</v>
      </c>
      <c r="AC92" s="365">
        <f>SUM(AC87:AC91)</f>
        <v>0</v>
      </c>
      <c r="AE92" s="371">
        <f>SUM(AE88:AE91)</f>
        <v>0</v>
      </c>
      <c r="AF92" s="363"/>
      <c r="AG92" s="371">
        <f>SUM(AG88:AG91)</f>
        <v>0</v>
      </c>
      <c r="AH92" s="363"/>
      <c r="AI92" s="366">
        <f t="shared" si="35"/>
        <v>0</v>
      </c>
      <c r="AJ92" s="363"/>
      <c r="AK92" s="419">
        <f>SUM(AK87:AK91)</f>
        <v>0</v>
      </c>
      <c r="AL92" s="363"/>
      <c r="AM92" s="419">
        <f>SUM(AM87:AM91)</f>
        <v>0</v>
      </c>
      <c r="AN92" s="363"/>
      <c r="AO92" s="419">
        <f>SUM(AO87:AO91)</f>
        <v>0</v>
      </c>
      <c r="AP92" s="363"/>
      <c r="AQ92" s="365">
        <f>SUM(AQ87:AQ91)</f>
        <v>0</v>
      </c>
      <c r="AR92" s="363"/>
      <c r="AS92" s="371">
        <f>SUM(AS88:AS91)</f>
        <v>0</v>
      </c>
      <c r="AT92" s="363"/>
      <c r="AU92" s="371">
        <f>SUM(AU88:AU91)</f>
        <v>0</v>
      </c>
      <c r="AV92" s="363"/>
      <c r="AW92" s="366">
        <f t="shared" si="36"/>
        <v>0</v>
      </c>
      <c r="AX92" s="373"/>
      <c r="AY92" s="419">
        <f>SUM(AY87:AY91)</f>
        <v>0</v>
      </c>
      <c r="AZ92" s="370"/>
      <c r="BA92" s="419">
        <f>SUM(BA87:BA91)</f>
        <v>0</v>
      </c>
      <c r="BB92" s="370"/>
      <c r="BC92" s="419">
        <f>SUM(BC87:BC91)</f>
        <v>0</v>
      </c>
      <c r="BD92" s="382"/>
      <c r="BE92" s="374">
        <f>SUM(BE87:BE91)</f>
        <v>0</v>
      </c>
    </row>
    <row r="93" spans="1:57">
      <c r="A93" s="361"/>
      <c r="C93" s="375"/>
      <c r="E93" s="321"/>
      <c r="G93" s="353"/>
      <c r="I93" s="248"/>
      <c r="J93" s="354"/>
      <c r="K93" s="248"/>
      <c r="L93" s="354"/>
      <c r="O93" s="355"/>
      <c r="Q93" s="321"/>
      <c r="S93" s="356"/>
      <c r="U93" s="353"/>
      <c r="W93" s="248"/>
      <c r="X93" s="357"/>
      <c r="Y93" s="357"/>
      <c r="Z93" s="357"/>
      <c r="AA93" s="357"/>
      <c r="AC93" s="355"/>
      <c r="AE93" s="356"/>
      <c r="AG93" s="356"/>
      <c r="AI93" s="353"/>
      <c r="AK93" s="354"/>
      <c r="AM93" s="323"/>
      <c r="AO93" s="323"/>
      <c r="AQ93" s="355"/>
      <c r="AS93" s="321"/>
      <c r="AU93" s="356"/>
      <c r="AW93" s="353"/>
      <c r="AX93" s="353"/>
      <c r="AY93" s="359"/>
      <c r="AZ93" s="359"/>
      <c r="BA93" s="359"/>
      <c r="BB93" s="359"/>
      <c r="BC93" s="359"/>
      <c r="BD93" s="174"/>
      <c r="BE93" s="360"/>
    </row>
    <row r="94" spans="1:57">
      <c r="A94" s="362" t="s">
        <v>159</v>
      </c>
      <c r="B94" s="363"/>
      <c r="C94" s="364">
        <f>+C92+C85+C78+C71+C64+C56</f>
        <v>11481368</v>
      </c>
      <c r="D94" s="363"/>
      <c r="E94" s="364">
        <f>+E92+E85+E78+E71+E64+E56</f>
        <v>370367</v>
      </c>
      <c r="F94" s="363"/>
      <c r="G94" s="420" t="e">
        <f>+G92+G85+G78+G71+G64+G56</f>
        <v>#DIV/0!</v>
      </c>
      <c r="H94" s="363"/>
      <c r="I94" s="420">
        <f>+I92+I85+I78+I71+I64+I56</f>
        <v>1597344.8399999999</v>
      </c>
      <c r="J94" s="370"/>
      <c r="K94" s="421">
        <f>+K92+K85+K78+K71+K64+K56</f>
        <v>32153.05</v>
      </c>
      <c r="L94" s="370"/>
      <c r="M94" s="420">
        <f>+M92+M85+M78+M71+M64+M56</f>
        <v>1629497.89</v>
      </c>
      <c r="N94" s="363"/>
      <c r="O94" s="374">
        <f>+O92+O85+O78+O71+O64+O56</f>
        <v>1630</v>
      </c>
      <c r="P94" s="363"/>
      <c r="Q94" s="364">
        <f>+Q92+Q85+Q78+Q71+Q64+Q56</f>
        <v>2001</v>
      </c>
      <c r="R94" s="363"/>
      <c r="S94" s="364">
        <f>+S92+S85+S78+S71+S64+S56</f>
        <v>67</v>
      </c>
      <c r="T94" s="363"/>
      <c r="U94" s="420">
        <f>+U92+U85+U78+U71+U64+U56</f>
        <v>0.43265867066466768</v>
      </c>
      <c r="V94" s="363"/>
      <c r="W94" s="420">
        <f>+W92+W85+W78+W71+W64+W56</f>
        <v>865.75</v>
      </c>
      <c r="X94" s="370"/>
      <c r="Y94" s="420">
        <f>+Y92+Y85+Y78+Y71+Y64+Y56</f>
        <v>25.88</v>
      </c>
      <c r="Z94" s="370"/>
      <c r="AA94" s="420">
        <f>+AA92+AA85+AA78+AA71+AA64+AA56</f>
        <v>891.63</v>
      </c>
      <c r="AB94" s="363"/>
      <c r="AC94" s="374">
        <f>+AC92+AC85+AC78+AC71+AC64+AC56</f>
        <v>0</v>
      </c>
      <c r="AD94" s="363"/>
      <c r="AE94" s="364">
        <f>+AE92+AE85+AE78+AE71+AE64+AE56</f>
        <v>0</v>
      </c>
      <c r="AF94" s="363"/>
      <c r="AG94" s="364">
        <f>+AG92+AG85+AG78+AG71+AG64+AG56</f>
        <v>0</v>
      </c>
      <c r="AH94" s="363"/>
      <c r="AI94" s="420">
        <f>+AI92+AI85+AI78+AI71+AI64+AI56</f>
        <v>0</v>
      </c>
      <c r="AJ94" s="363"/>
      <c r="AK94" s="420">
        <f>+AK92+AK85+AK78+AK71+AK64+AK56</f>
        <v>0</v>
      </c>
      <c r="AL94" s="370"/>
      <c r="AM94" s="420">
        <f>+AM92+AM85+AM78+AM71+AM64+AM56</f>
        <v>0</v>
      </c>
      <c r="AN94" s="370"/>
      <c r="AO94" s="420">
        <f>+AO92+AO85+AO78+AO71+AO64+AO56</f>
        <v>0</v>
      </c>
      <c r="AP94" s="363"/>
      <c r="AQ94" s="374">
        <f>+AQ92+AQ85+AQ78+AQ71+AQ64+AQ56</f>
        <v>0</v>
      </c>
      <c r="AR94" s="363"/>
      <c r="AS94" s="364">
        <f>+AS92+AS85+AS78+AS71+AS64+AS56</f>
        <v>11483369</v>
      </c>
      <c r="AT94" s="363"/>
      <c r="AU94" s="364">
        <f>+AU92+AU85+AU78+AU71+AU64+AU56</f>
        <v>370434</v>
      </c>
      <c r="AV94" s="363"/>
      <c r="AW94" s="420">
        <f>+AY94/AS94</f>
        <v>0.13917610676797026</v>
      </c>
      <c r="AX94" s="363"/>
      <c r="AY94" s="420">
        <f>+AY92+AY85+AY78+AY71+AY64+AY56</f>
        <v>1598210.5899999999</v>
      </c>
      <c r="AZ94" s="370"/>
      <c r="BA94" s="420">
        <f>+BA92+BA85+BA78+BA71+BA64+BA56</f>
        <v>32178.93</v>
      </c>
      <c r="BB94" s="370"/>
      <c r="BC94" s="420">
        <f>+BC92+BC85+BC78+BC71+BC64+BC56</f>
        <v>1630389.52</v>
      </c>
      <c r="BD94" s="363"/>
      <c r="BE94" s="374">
        <f>+BE92+BE85+BE78+BE71+BE64+BE56</f>
        <v>1631</v>
      </c>
    </row>
    <row r="95" spans="1:57">
      <c r="A95" s="362"/>
      <c r="C95" s="257"/>
      <c r="E95" s="321"/>
      <c r="G95" s="353"/>
      <c r="I95" s="248"/>
      <c r="J95" s="354"/>
      <c r="K95" s="248"/>
      <c r="L95" s="354"/>
      <c r="O95" s="355"/>
      <c r="Q95" s="321"/>
      <c r="S95" s="356"/>
      <c r="U95" s="353"/>
      <c r="W95" s="248"/>
      <c r="X95" s="357"/>
      <c r="Y95" s="357"/>
      <c r="Z95" s="357"/>
      <c r="AA95" s="357"/>
      <c r="AC95" s="355"/>
      <c r="AE95" s="356"/>
      <c r="AG95" s="356"/>
      <c r="AI95" s="353"/>
      <c r="AK95" s="354"/>
      <c r="AM95" s="323"/>
      <c r="AO95" s="323"/>
      <c r="AQ95" s="355"/>
      <c r="AS95" s="321"/>
      <c r="AU95" s="356"/>
      <c r="AW95" s="353"/>
      <c r="AX95" s="353"/>
      <c r="AY95" s="359"/>
      <c r="AZ95" s="359"/>
      <c r="BA95" s="359"/>
      <c r="BB95" s="359"/>
      <c r="BC95" s="359"/>
      <c r="BD95" s="174"/>
      <c r="BE95" s="360"/>
    </row>
    <row r="96" spans="1:57">
      <c r="A96" s="352" t="s">
        <v>160</v>
      </c>
      <c r="C96" s="257"/>
      <c r="E96" s="321"/>
      <c r="G96" s="353"/>
      <c r="I96" s="248"/>
      <c r="J96" s="354"/>
      <c r="K96" s="248"/>
      <c r="L96" s="354"/>
      <c r="O96" s="355"/>
      <c r="Q96" s="321"/>
      <c r="S96" s="356"/>
      <c r="U96" s="353"/>
      <c r="W96" s="248"/>
      <c r="X96" s="357"/>
      <c r="Y96" s="357"/>
      <c r="Z96" s="357"/>
      <c r="AA96" s="357"/>
      <c r="AC96" s="355"/>
      <c r="AE96" s="356"/>
      <c r="AG96" s="356"/>
      <c r="AI96" s="353"/>
      <c r="AK96" s="354"/>
      <c r="AM96" s="323"/>
      <c r="AO96" s="323"/>
      <c r="AQ96" s="355"/>
      <c r="AS96" s="321"/>
      <c r="AU96" s="356"/>
      <c r="AW96" s="353"/>
      <c r="AX96" s="353"/>
      <c r="AY96" s="359"/>
      <c r="AZ96" s="359"/>
      <c r="BA96" s="359"/>
      <c r="BB96" s="359"/>
      <c r="BC96" s="359"/>
      <c r="BD96" s="174"/>
      <c r="BE96" s="360"/>
    </row>
    <row r="97" spans="1:57">
      <c r="A97" s="361" t="s">
        <v>161</v>
      </c>
      <c r="B97" s="163" t="s">
        <v>21</v>
      </c>
      <c r="C97" s="257">
        <v>8664832</v>
      </c>
      <c r="E97" s="321">
        <f>ROUND(C97/$BC$1,0)</f>
        <v>279511</v>
      </c>
      <c r="G97" s="353">
        <f t="shared" ref="G97:G102" si="37">IF(I97=0,0,I97/C97)</f>
        <v>4.8015205603524687E-2</v>
      </c>
      <c r="I97" s="248">
        <f>-K97+416043.69</f>
        <v>416043.69</v>
      </c>
      <c r="J97" s="354"/>
      <c r="K97" s="248"/>
      <c r="L97" s="354"/>
      <c r="M97" s="164">
        <f>+I97+K97</f>
        <v>416043.69</v>
      </c>
      <c r="O97" s="355">
        <f>ROUND(M97/1000,0)</f>
        <v>416</v>
      </c>
      <c r="Q97" s="321"/>
      <c r="S97" s="356">
        <f>ROUND(Q97/$BC$2,0)</f>
        <v>0</v>
      </c>
      <c r="U97" s="353">
        <f t="shared" ref="U97:U102" si="38">IF(W97=0,0,W97/Q97)</f>
        <v>0</v>
      </c>
      <c r="W97" s="248">
        <v>0</v>
      </c>
      <c r="X97" s="357"/>
      <c r="Y97" s="248">
        <v>0</v>
      </c>
      <c r="Z97" s="357"/>
      <c r="AA97" s="357">
        <f>+W97+Y97</f>
        <v>0</v>
      </c>
      <c r="AC97" s="355">
        <f>ROUND(AA97/1000,0)</f>
        <v>0</v>
      </c>
      <c r="AE97" s="356">
        <v>0</v>
      </c>
      <c r="AG97" s="356">
        <f>ROUND(AE97/$BC$3,0)</f>
        <v>0</v>
      </c>
      <c r="AI97" s="353">
        <f>IF(AK97=0,0,AK97/AE97)</f>
        <v>0</v>
      </c>
      <c r="AK97" s="248"/>
      <c r="AL97" s="164"/>
      <c r="AM97" s="164">
        <v>0</v>
      </c>
      <c r="AO97" s="323">
        <f>+AK97+AM97</f>
        <v>0</v>
      </c>
      <c r="AQ97" s="355">
        <f>ROUND(AK97/1000,0)</f>
        <v>0</v>
      </c>
      <c r="AS97" s="321">
        <f>+AE97+Q97+C97</f>
        <v>8664832</v>
      </c>
      <c r="AU97" s="321">
        <f>+AG97+S97+E97</f>
        <v>279511</v>
      </c>
      <c r="AW97" s="353">
        <f>IF(AY97=0,0,AY97/AS97)</f>
        <v>4.8015205603524687E-2</v>
      </c>
      <c r="AX97" s="353"/>
      <c r="AY97" s="359">
        <f>+AK97+W97+I97</f>
        <v>416043.69</v>
      </c>
      <c r="AZ97" s="359"/>
      <c r="BA97" s="359">
        <f>+AM97+Y97+K97</f>
        <v>0</v>
      </c>
      <c r="BB97" s="359"/>
      <c r="BC97" s="359">
        <f>+AO97+AA97+M97</f>
        <v>416043.69</v>
      </c>
      <c r="BD97" s="174"/>
      <c r="BE97" s="360">
        <f>ROUND(BC97/1000,0)</f>
        <v>416</v>
      </c>
    </row>
    <row r="98" spans="1:57">
      <c r="A98" s="340" t="s">
        <v>162</v>
      </c>
      <c r="B98" s="163" t="s">
        <v>21</v>
      </c>
      <c r="C98" s="165">
        <v>8676424</v>
      </c>
      <c r="E98" s="321">
        <f>ROUND(C98/$BC$1,0)</f>
        <v>279885</v>
      </c>
      <c r="G98" s="353">
        <f t="shared" si="37"/>
        <v>1.1000015674660435E-3</v>
      </c>
      <c r="I98" s="248">
        <f>-K98+9544.08</f>
        <v>9544.08</v>
      </c>
      <c r="J98" s="354"/>
      <c r="K98" s="248"/>
      <c r="L98" s="354"/>
      <c r="M98" s="164">
        <f>+I98+K98</f>
        <v>9544.08</v>
      </c>
      <c r="O98" s="355">
        <f>ROUND(M98/1000,0)</f>
        <v>10</v>
      </c>
      <c r="Q98" s="321"/>
      <c r="S98" s="356">
        <f>ROUND(Q98/$BC$2,0)</f>
        <v>0</v>
      </c>
      <c r="U98" s="353">
        <f t="shared" si="38"/>
        <v>0</v>
      </c>
      <c r="W98" s="248">
        <v>0</v>
      </c>
      <c r="X98" s="357"/>
      <c r="Y98" s="248">
        <v>0</v>
      </c>
      <c r="Z98" s="357"/>
      <c r="AA98" s="357">
        <f>+W98+Y98</f>
        <v>0</v>
      </c>
      <c r="AC98" s="355">
        <f>ROUND(AA98/1000,0)</f>
        <v>0</v>
      </c>
      <c r="AE98" s="356">
        <v>0</v>
      </c>
      <c r="AG98" s="356">
        <f>ROUND(AE98/$BC$3,0)</f>
        <v>0</v>
      </c>
      <c r="AI98" s="353">
        <f>IF(AK98=0,0,AK98/AE98)</f>
        <v>0</v>
      </c>
      <c r="AK98" s="248"/>
      <c r="AL98" s="164"/>
      <c r="AM98" s="164">
        <v>0</v>
      </c>
      <c r="AO98" s="323">
        <f>+AK98+AM98</f>
        <v>0</v>
      </c>
      <c r="AQ98" s="355">
        <f>ROUND(AK98/1000,0)</f>
        <v>0</v>
      </c>
      <c r="AS98" s="321">
        <f>+AE98+Q98+C98</f>
        <v>8676424</v>
      </c>
      <c r="AU98" s="321">
        <f>+AG98+S98+E98</f>
        <v>279885</v>
      </c>
      <c r="AW98" s="353">
        <f>IF(AY98=0,0,AY98/AS98)</f>
        <v>1.1000015674660435E-3</v>
      </c>
      <c r="AX98" s="353"/>
      <c r="AY98" s="359">
        <f>+AK98+W98+I98</f>
        <v>9544.08</v>
      </c>
      <c r="AZ98" s="359"/>
      <c r="BA98" s="359">
        <f>+AM98+Y98+K98</f>
        <v>0</v>
      </c>
      <c r="BB98" s="359"/>
      <c r="BC98" s="359">
        <f>+AO98+AA98+M98</f>
        <v>9544.08</v>
      </c>
      <c r="BD98" s="174"/>
      <c r="BE98" s="360">
        <f>ROUND(BC98/1000,0)</f>
        <v>10</v>
      </c>
    </row>
    <row r="99" spans="1:57">
      <c r="A99" s="340" t="s">
        <v>163</v>
      </c>
      <c r="C99" s="257">
        <v>465000</v>
      </c>
      <c r="E99" s="321">
        <f>ROUND(C99/$BC$1,0)</f>
        <v>15000</v>
      </c>
      <c r="G99" s="353">
        <f t="shared" si="37"/>
        <v>1.1000000000000001E-3</v>
      </c>
      <c r="I99" s="248">
        <f>-K99+511.5</f>
        <v>511.5</v>
      </c>
      <c r="J99" s="354"/>
      <c r="K99" s="248"/>
      <c r="L99" s="354"/>
      <c r="M99" s="164">
        <f>+I99+K99</f>
        <v>511.5</v>
      </c>
      <c r="O99" s="355">
        <f>ROUND(M99/1000,0)</f>
        <v>1</v>
      </c>
      <c r="Q99" s="321"/>
      <c r="S99" s="356">
        <f>ROUND(Q99/$BC$2,0)</f>
        <v>0</v>
      </c>
      <c r="U99" s="353">
        <f t="shared" si="38"/>
        <v>0</v>
      </c>
      <c r="W99" s="248">
        <v>0</v>
      </c>
      <c r="X99" s="357"/>
      <c r="Y99" s="248">
        <v>0</v>
      </c>
      <c r="Z99" s="357"/>
      <c r="AA99" s="357">
        <f>+W99+Y99</f>
        <v>0</v>
      </c>
      <c r="AC99" s="355">
        <f>ROUND(AA99/1000,0)</f>
        <v>0</v>
      </c>
      <c r="AE99" s="356">
        <v>0</v>
      </c>
      <c r="AG99" s="356">
        <f>ROUND(AE99/$BC$3,0)</f>
        <v>0</v>
      </c>
      <c r="AI99" s="353">
        <f>IF(AK99=0,0,AK99/AE99)</f>
        <v>0</v>
      </c>
      <c r="AK99" s="248"/>
      <c r="AL99" s="164"/>
      <c r="AM99" s="164">
        <v>0</v>
      </c>
      <c r="AO99" s="323">
        <f>+AK99+AM99</f>
        <v>0</v>
      </c>
      <c r="AQ99" s="355">
        <f>ROUND(AK99/1000,0)</f>
        <v>0</v>
      </c>
      <c r="AS99" s="321">
        <f>+AE99+Q99+C99</f>
        <v>465000</v>
      </c>
      <c r="AU99" s="321">
        <f>+AG99+S99+E99</f>
        <v>15000</v>
      </c>
      <c r="AW99" s="353">
        <f>IF(AY99=0,0,AY99/AS99)</f>
        <v>1.1000000000000001E-3</v>
      </c>
      <c r="AX99" s="353"/>
      <c r="AY99" s="359">
        <f>+AK99+W99+I99</f>
        <v>511.5</v>
      </c>
      <c r="AZ99" s="359"/>
      <c r="BA99" s="359">
        <f>+AM99+Y99+K99</f>
        <v>0</v>
      </c>
      <c r="BB99" s="359"/>
      <c r="BC99" s="359">
        <f>+AO99+AA99+M99</f>
        <v>511.5</v>
      </c>
      <c r="BD99" s="174"/>
      <c r="BE99" s="360">
        <f>ROUND(BC99/1000,0)</f>
        <v>1</v>
      </c>
    </row>
    <row r="100" spans="1:57">
      <c r="A100" s="340" t="s">
        <v>164</v>
      </c>
      <c r="C100" s="257"/>
      <c r="E100" s="321">
        <f>ROUND(C100/$BC$1,0)</f>
        <v>0</v>
      </c>
      <c r="G100" s="353">
        <f t="shared" si="37"/>
        <v>0</v>
      </c>
      <c r="I100" s="248">
        <f>-K100</f>
        <v>0</v>
      </c>
      <c r="J100" s="354"/>
      <c r="K100" s="248"/>
      <c r="L100" s="354"/>
      <c r="M100" s="164">
        <f>+I100+K100</f>
        <v>0</v>
      </c>
      <c r="O100" s="355">
        <f>ROUND(M100/1000,0)</f>
        <v>0</v>
      </c>
      <c r="Q100" s="321"/>
      <c r="S100" s="356">
        <f>ROUND(Q100/$BC$2,0)</f>
        <v>0</v>
      </c>
      <c r="U100" s="353">
        <f t="shared" si="38"/>
        <v>0</v>
      </c>
      <c r="W100" s="248">
        <v>0</v>
      </c>
      <c r="X100" s="357"/>
      <c r="Y100" s="248"/>
      <c r="Z100" s="357"/>
      <c r="AA100" s="357"/>
      <c r="AC100" s="355"/>
      <c r="AE100" s="356"/>
      <c r="AG100" s="356"/>
      <c r="AI100" s="353"/>
      <c r="AK100" s="248"/>
      <c r="AL100" s="164"/>
      <c r="AM100" s="164"/>
      <c r="AO100" s="323"/>
      <c r="AQ100" s="355"/>
      <c r="AS100" s="321"/>
      <c r="AU100" s="321"/>
      <c r="AW100" s="353"/>
      <c r="AX100" s="353"/>
      <c r="AY100" s="359">
        <f>+AK100+W100+I100</f>
        <v>0</v>
      </c>
      <c r="AZ100" s="359"/>
      <c r="BA100" s="359">
        <f>+AM100+Y100+K100</f>
        <v>0</v>
      </c>
      <c r="BB100" s="359"/>
      <c r="BC100" s="359">
        <f>+AO100+AA100+M100</f>
        <v>0</v>
      </c>
      <c r="BD100" s="174"/>
      <c r="BE100" s="360">
        <f>ROUND(BC100/1000,0)</f>
        <v>0</v>
      </c>
    </row>
    <row r="101" spans="1:57">
      <c r="A101" s="340" t="s">
        <v>165</v>
      </c>
      <c r="B101" s="163" t="s">
        <v>21</v>
      </c>
      <c r="C101" s="257">
        <v>58851</v>
      </c>
      <c r="E101" s="321">
        <f>ROUND(C101/$BC$1,0)</f>
        <v>1898</v>
      </c>
      <c r="G101" s="353">
        <f t="shared" si="37"/>
        <v>0.10310003228492294</v>
      </c>
      <c r="I101" s="248">
        <f>-K101+6067.54</f>
        <v>6067.54</v>
      </c>
      <c r="J101" s="354"/>
      <c r="K101" s="248"/>
      <c r="L101" s="354"/>
      <c r="M101" s="164">
        <f>+I101+K101</f>
        <v>6067.54</v>
      </c>
      <c r="O101" s="355">
        <f>ROUND(M101/1000,0)</f>
        <v>6</v>
      </c>
      <c r="Q101" s="321"/>
      <c r="S101" s="356">
        <f>ROUND(Q101/$BC$2,0)</f>
        <v>0</v>
      </c>
      <c r="U101" s="353">
        <f t="shared" si="38"/>
        <v>0</v>
      </c>
      <c r="W101" s="248">
        <v>0</v>
      </c>
      <c r="X101" s="357"/>
      <c r="Y101" s="248"/>
      <c r="Z101" s="357"/>
      <c r="AA101" s="357">
        <f>+W101+Y101</f>
        <v>0</v>
      </c>
      <c r="AC101" s="355">
        <f>ROUND(AA101/1000,0)</f>
        <v>0</v>
      </c>
      <c r="AE101" s="356">
        <v>0</v>
      </c>
      <c r="AG101" s="356">
        <f>ROUND(AE101/$BC$3,0)</f>
        <v>0</v>
      </c>
      <c r="AI101" s="353">
        <f>IF(AK101=0,0,AK101/AE101)</f>
        <v>0</v>
      </c>
      <c r="AK101" s="248"/>
      <c r="AL101" s="164"/>
      <c r="AM101" s="164">
        <v>0</v>
      </c>
      <c r="AO101" s="323">
        <f>+AK101+AM101</f>
        <v>0</v>
      </c>
      <c r="AQ101" s="355">
        <f>ROUND(AK101/1000,0)</f>
        <v>0</v>
      </c>
      <c r="AS101" s="321">
        <f>+AE101+Q101+C101</f>
        <v>58851</v>
      </c>
      <c r="AU101" s="321">
        <f>+AG101+S101+E101</f>
        <v>1898</v>
      </c>
      <c r="AW101" s="353">
        <f>IF(AY101=0,0,AY101/AS101)</f>
        <v>0.10310003228492294</v>
      </c>
      <c r="AX101" s="353"/>
      <c r="AY101" s="359">
        <f>+AK101+W101+I101</f>
        <v>6067.54</v>
      </c>
      <c r="AZ101" s="359"/>
      <c r="BA101" s="359">
        <f>+AM101+Y101+K101</f>
        <v>0</v>
      </c>
      <c r="BB101" s="359"/>
      <c r="BC101" s="359">
        <f>+AO101+AA101+M101</f>
        <v>6067.54</v>
      </c>
      <c r="BD101" s="174"/>
      <c r="BE101" s="360">
        <f>ROUND(BC101/1000,0)</f>
        <v>6</v>
      </c>
    </row>
    <row r="102" spans="1:57">
      <c r="A102" s="362" t="s">
        <v>166</v>
      </c>
      <c r="B102" s="363"/>
      <c r="C102" s="364">
        <f>SUM(C98:C101)</f>
        <v>9200275</v>
      </c>
      <c r="D102" s="363"/>
      <c r="E102" s="365">
        <f>SUM(E98:E101)</f>
        <v>296783</v>
      </c>
      <c r="F102" s="363"/>
      <c r="G102" s="366">
        <f t="shared" si="37"/>
        <v>4.6973249169182441E-2</v>
      </c>
      <c r="H102" s="363"/>
      <c r="I102" s="367">
        <f>SUM(I97:I101)</f>
        <v>432166.81</v>
      </c>
      <c r="J102" s="370"/>
      <c r="K102" s="367">
        <f>SUM(K97:K101)</f>
        <v>0</v>
      </c>
      <c r="L102" s="370"/>
      <c r="M102" s="367">
        <f>SUM(M97:M101)</f>
        <v>432166.81</v>
      </c>
      <c r="N102" s="363"/>
      <c r="O102" s="365">
        <f>SUM(O97:O101)</f>
        <v>433</v>
      </c>
      <c r="P102" s="363"/>
      <c r="Q102" s="371">
        <f>SUM(Q98:Q101)</f>
        <v>0</v>
      </c>
      <c r="R102" s="363"/>
      <c r="S102" s="371">
        <f>SUM(S98:S101)</f>
        <v>0</v>
      </c>
      <c r="T102" s="363"/>
      <c r="U102" s="366">
        <f t="shared" si="38"/>
        <v>0</v>
      </c>
      <c r="V102" s="363"/>
      <c r="W102" s="367">
        <f>SUM(W97:W101)</f>
        <v>0</v>
      </c>
      <c r="X102" s="370"/>
      <c r="Y102" s="419">
        <f>SUM(Y97:Y101)</f>
        <v>0</v>
      </c>
      <c r="Z102" s="370"/>
      <c r="AA102" s="419">
        <f>SUM(AA97:AA101)</f>
        <v>0</v>
      </c>
      <c r="AB102" s="363"/>
      <c r="AC102" s="365">
        <f>SUM(AC97:AC101)</f>
        <v>0</v>
      </c>
      <c r="AD102" s="363"/>
      <c r="AE102" s="371">
        <f>SUM(AE98:AE101)</f>
        <v>0</v>
      </c>
      <c r="AF102" s="363"/>
      <c r="AG102" s="371">
        <f>SUM(AG98:AG101)</f>
        <v>0</v>
      </c>
      <c r="AH102" s="363"/>
      <c r="AI102" s="366">
        <f>IF(AK102=0,0,AK102/AE102)</f>
        <v>0</v>
      </c>
      <c r="AJ102" s="363"/>
      <c r="AK102" s="419">
        <f>SUM(AK97:AK101)</f>
        <v>0</v>
      </c>
      <c r="AL102" s="363"/>
      <c r="AM102" s="419">
        <f>SUM(AM97:AM101)</f>
        <v>0</v>
      </c>
      <c r="AN102" s="363"/>
      <c r="AO102" s="419">
        <f>SUM(AO97:AO101)</f>
        <v>0</v>
      </c>
      <c r="AP102" s="363"/>
      <c r="AQ102" s="365">
        <f>SUM(AQ97:AQ101)</f>
        <v>0</v>
      </c>
      <c r="AR102" s="363"/>
      <c r="AS102" s="371">
        <f>SUM(AS98:AS101)</f>
        <v>9200275</v>
      </c>
      <c r="AT102" s="363"/>
      <c r="AU102" s="371">
        <f>SUM(AU98:AU101)</f>
        <v>296783</v>
      </c>
      <c r="AV102" s="363"/>
      <c r="AW102" s="366">
        <f>IF(AY102=0,0,AY102/AS102)</f>
        <v>4.6973249169182441E-2</v>
      </c>
      <c r="AX102" s="373"/>
      <c r="AY102" s="419">
        <f>SUM(AY97:AY101)</f>
        <v>432166.81</v>
      </c>
      <c r="AZ102" s="370"/>
      <c r="BA102" s="419">
        <f>SUM(BA97:BA101)</f>
        <v>0</v>
      </c>
      <c r="BB102" s="370"/>
      <c r="BC102" s="419">
        <f>SUM(BC97:BC101)</f>
        <v>432166.81</v>
      </c>
      <c r="BD102" s="382"/>
      <c r="BE102" s="374">
        <f>SUM(BE97:BE101)</f>
        <v>433</v>
      </c>
    </row>
    <row r="103" spans="1:57">
      <c r="A103" s="362"/>
      <c r="B103" s="363"/>
      <c r="C103" s="375"/>
      <c r="D103" s="363"/>
      <c r="E103" s="376"/>
      <c r="F103" s="363"/>
      <c r="G103" s="377"/>
      <c r="H103" s="363"/>
      <c r="I103" s="378"/>
      <c r="J103" s="370"/>
      <c r="K103" s="378"/>
      <c r="L103" s="370"/>
      <c r="M103" s="378">
        <f>+M101+M109</f>
        <v>66665.22</v>
      </c>
      <c r="N103" s="363"/>
      <c r="O103" s="376"/>
      <c r="P103" s="363"/>
      <c r="Q103" s="379"/>
      <c r="R103" s="363"/>
      <c r="S103" s="379"/>
      <c r="T103" s="363"/>
      <c r="U103" s="377"/>
      <c r="V103" s="363"/>
      <c r="W103" s="378"/>
      <c r="X103" s="370"/>
      <c r="Y103" s="370"/>
      <c r="Z103" s="370"/>
      <c r="AA103" s="370"/>
      <c r="AB103" s="363"/>
      <c r="AC103" s="376"/>
      <c r="AD103" s="363"/>
      <c r="AE103" s="379"/>
      <c r="AF103" s="363"/>
      <c r="AG103" s="379"/>
      <c r="AH103" s="363"/>
      <c r="AI103" s="377"/>
      <c r="AJ103" s="363"/>
      <c r="AK103" s="370"/>
      <c r="AL103" s="363"/>
      <c r="AM103" s="370"/>
      <c r="AN103" s="363"/>
      <c r="AO103" s="370"/>
      <c r="AP103" s="363"/>
      <c r="AQ103" s="376"/>
      <c r="AR103" s="363"/>
      <c r="AS103" s="379"/>
      <c r="AT103" s="363"/>
      <c r="AU103" s="379"/>
      <c r="AV103" s="363"/>
      <c r="AW103" s="377"/>
      <c r="AX103" s="380"/>
      <c r="AY103" s="370"/>
      <c r="AZ103" s="370"/>
      <c r="BA103" s="370"/>
      <c r="BB103" s="370"/>
      <c r="BC103" s="370"/>
      <c r="BD103" s="382"/>
      <c r="BE103" s="381"/>
    </row>
    <row r="104" spans="1:57">
      <c r="A104" s="352" t="s">
        <v>167</v>
      </c>
      <c r="B104" s="363"/>
      <c r="C104" s="375"/>
      <c r="D104" s="363"/>
      <c r="E104" s="376"/>
      <c r="F104" s="363"/>
      <c r="G104" s="377"/>
      <c r="H104" s="363"/>
      <c r="I104" s="378"/>
      <c r="J104" s="370"/>
      <c r="K104" s="378"/>
      <c r="L104" s="370"/>
      <c r="M104" s="378"/>
      <c r="N104" s="363"/>
      <c r="O104" s="376"/>
      <c r="P104" s="363"/>
      <c r="Q104" s="379"/>
      <c r="R104" s="363"/>
      <c r="S104" s="379"/>
      <c r="T104" s="363"/>
      <c r="U104" s="377"/>
      <c r="V104" s="363"/>
      <c r="W104" s="378"/>
      <c r="X104" s="370"/>
      <c r="Y104" s="370"/>
      <c r="Z104" s="370"/>
      <c r="AA104" s="370"/>
      <c r="AB104" s="363"/>
      <c r="AC104" s="376"/>
      <c r="AD104" s="363"/>
      <c r="AE104" s="379"/>
      <c r="AF104" s="363"/>
      <c r="AG104" s="379"/>
      <c r="AH104" s="363"/>
      <c r="AI104" s="377"/>
      <c r="AJ104" s="363"/>
      <c r="AK104" s="370"/>
      <c r="AL104" s="363"/>
      <c r="AM104" s="370"/>
      <c r="AN104" s="363"/>
      <c r="AO104" s="370"/>
      <c r="AP104" s="363"/>
      <c r="AQ104" s="376"/>
      <c r="AR104" s="363"/>
      <c r="AS104" s="379"/>
      <c r="AT104" s="363"/>
      <c r="AU104" s="379"/>
      <c r="AV104" s="363"/>
      <c r="AW104" s="377"/>
      <c r="AX104" s="380"/>
      <c r="AY104" s="370"/>
      <c r="AZ104" s="370"/>
      <c r="BA104" s="370"/>
      <c r="BB104" s="370"/>
      <c r="BC104" s="370"/>
      <c r="BD104" s="382"/>
      <c r="BE104" s="381"/>
    </row>
    <row r="105" spans="1:57">
      <c r="A105" s="361" t="s">
        <v>73</v>
      </c>
      <c r="B105" s="163" t="s">
        <v>21</v>
      </c>
      <c r="C105" s="257">
        <v>9494983</v>
      </c>
      <c r="E105" s="321">
        <f>ROUND(C105/$BC$1,0)</f>
        <v>306290</v>
      </c>
      <c r="G105" s="353">
        <f t="shared" ref="G105:G110" si="39">IF(I105=0,0,I105/C105)</f>
        <v>3.4532875940904789E-2</v>
      </c>
      <c r="I105" s="248">
        <f>-K105+401126.57-73237.5</f>
        <v>327889.07</v>
      </c>
      <c r="J105" s="354"/>
      <c r="K105" s="248"/>
      <c r="L105" s="354"/>
      <c r="M105" s="164">
        <f>+I105+K105</f>
        <v>327889.07</v>
      </c>
      <c r="O105" s="355">
        <f>ROUND(M105/1000,0)</f>
        <v>328</v>
      </c>
      <c r="Q105" s="321"/>
      <c r="S105" s="356">
        <f>ROUND(Q105/$BC$2,0)</f>
        <v>0</v>
      </c>
      <c r="U105" s="353">
        <f t="shared" ref="U105:U110" si="40">IF(W105=0,0,W105/Q105)</f>
        <v>0</v>
      </c>
      <c r="W105" s="248">
        <v>0</v>
      </c>
      <c r="X105" s="357"/>
      <c r="Y105" s="248"/>
      <c r="Z105" s="357"/>
      <c r="AA105" s="357">
        <f>+W105+Y105</f>
        <v>0</v>
      </c>
      <c r="AC105" s="355">
        <f>ROUND(AA105/1000,0)</f>
        <v>0</v>
      </c>
      <c r="AE105" s="356">
        <v>0</v>
      </c>
      <c r="AG105" s="356">
        <f>ROUND(AE105/$BC$3,0)</f>
        <v>0</v>
      </c>
      <c r="AI105" s="353">
        <f>IF(AK105=0,0,AK105/AE105)</f>
        <v>0</v>
      </c>
      <c r="AK105" s="248"/>
      <c r="AL105" s="164"/>
      <c r="AM105" s="164">
        <v>0</v>
      </c>
      <c r="AO105" s="323">
        <f>+AK105+AM105</f>
        <v>0</v>
      </c>
      <c r="AQ105" s="355">
        <f>ROUND(AK105/1000,0)</f>
        <v>0</v>
      </c>
      <c r="AS105" s="321">
        <f>+AE105+Q105+C105</f>
        <v>9494983</v>
      </c>
      <c r="AU105" s="321">
        <f>+AG105+S105+E105</f>
        <v>306290</v>
      </c>
      <c r="AW105" s="353">
        <f>IF(AY105=0,0,AY105/AS105)</f>
        <v>3.4532875940904789E-2</v>
      </c>
      <c r="AX105" s="353"/>
      <c r="AY105" s="359">
        <f>+AK105+W105+I105</f>
        <v>327889.07</v>
      </c>
      <c r="AZ105" s="359"/>
      <c r="BA105" s="359">
        <f>+AM105+Y105+K105</f>
        <v>0</v>
      </c>
      <c r="BB105" s="359"/>
      <c r="BC105" s="359">
        <f>+AO105+AA105+M105</f>
        <v>327889.07</v>
      </c>
      <c r="BD105" s="174"/>
      <c r="BE105" s="360">
        <f>ROUND(BC105/1000,0)</f>
        <v>328</v>
      </c>
    </row>
    <row r="106" spans="1:57">
      <c r="A106" s="340" t="s">
        <v>99</v>
      </c>
      <c r="B106" s="163" t="s">
        <v>21</v>
      </c>
      <c r="C106" s="257">
        <v>6275753</v>
      </c>
      <c r="E106" s="321">
        <f>ROUND(C106/$BC$1,0)</f>
        <v>202444</v>
      </c>
      <c r="G106" s="353">
        <f t="shared" si="39"/>
        <v>1.1000002708838287E-3</v>
      </c>
      <c r="I106" s="248">
        <f>-K106+20082.41</f>
        <v>6903.33</v>
      </c>
      <c r="J106" s="354"/>
      <c r="K106" s="248">
        <v>13179.08</v>
      </c>
      <c r="L106" s="354"/>
      <c r="M106" s="164">
        <f>+I106+K106</f>
        <v>20082.41</v>
      </c>
      <c r="O106" s="355">
        <f>ROUND(M106/1000,0)</f>
        <v>20</v>
      </c>
      <c r="Q106" s="321"/>
      <c r="S106" s="356">
        <f>ROUND(Q106/$BC$2,0)</f>
        <v>0</v>
      </c>
      <c r="U106" s="353">
        <f t="shared" si="40"/>
        <v>0</v>
      </c>
      <c r="W106" s="248">
        <v>0</v>
      </c>
      <c r="X106" s="357"/>
      <c r="Y106" s="248"/>
      <c r="Z106" s="357"/>
      <c r="AA106" s="357">
        <f>+W106+Y106</f>
        <v>0</v>
      </c>
      <c r="AC106" s="355">
        <f>ROUND(AA106/1000,0)</f>
        <v>0</v>
      </c>
      <c r="AE106" s="356">
        <v>0</v>
      </c>
      <c r="AG106" s="356">
        <f>ROUND(AE106/$BC$3,0)</f>
        <v>0</v>
      </c>
      <c r="AI106" s="353">
        <f>IF(AK106=0,0,AK106/AE106)</f>
        <v>0</v>
      </c>
      <c r="AK106" s="248"/>
      <c r="AL106" s="164"/>
      <c r="AM106" s="164">
        <v>0</v>
      </c>
      <c r="AO106" s="323">
        <f>+AK106+AM106</f>
        <v>0</v>
      </c>
      <c r="AQ106" s="355">
        <f>ROUND(AK106/1000,0)</f>
        <v>0</v>
      </c>
      <c r="AS106" s="321">
        <f>+AE106+Q106+C106</f>
        <v>6275753</v>
      </c>
      <c r="AU106" s="321">
        <f>+AG106+S106+E106</f>
        <v>202444</v>
      </c>
      <c r="AW106" s="353">
        <f>IF(AY106=0,0,AY106/AS106)</f>
        <v>1.1000002708838287E-3</v>
      </c>
      <c r="AX106" s="353"/>
      <c r="AY106" s="359">
        <f>+AK106+W106+I106</f>
        <v>6903.33</v>
      </c>
      <c r="AZ106" s="359"/>
      <c r="BA106" s="359">
        <f>+AM106+Y106+K106</f>
        <v>13179.08</v>
      </c>
      <c r="BB106" s="359"/>
      <c r="BC106" s="359">
        <f>+AO106+AA106+M106</f>
        <v>20082.41</v>
      </c>
      <c r="BD106" s="174"/>
      <c r="BE106" s="360">
        <f>ROUND(BC106/1000,0)</f>
        <v>20</v>
      </c>
    </row>
    <row r="107" spans="1:57">
      <c r="A107" s="340" t="s">
        <v>168</v>
      </c>
      <c r="C107" s="257"/>
      <c r="E107" s="321">
        <f>ROUND(C107/$BC$1,0)</f>
        <v>0</v>
      </c>
      <c r="G107" s="353">
        <f t="shared" si="39"/>
        <v>0</v>
      </c>
      <c r="I107" s="248">
        <f>-K107</f>
        <v>0</v>
      </c>
      <c r="J107" s="354"/>
      <c r="K107" s="248"/>
      <c r="L107" s="354"/>
      <c r="M107" s="164">
        <f>+I107+K107</f>
        <v>0</v>
      </c>
      <c r="O107" s="355">
        <f>ROUND(M107/1000,0)</f>
        <v>0</v>
      </c>
      <c r="Q107" s="321"/>
      <c r="S107" s="356">
        <f>ROUND(Q107/$BC$2,0)</f>
        <v>0</v>
      </c>
      <c r="U107" s="353">
        <f t="shared" si="40"/>
        <v>0</v>
      </c>
      <c r="W107" s="248">
        <v>0</v>
      </c>
      <c r="X107" s="357"/>
      <c r="Y107" s="248"/>
      <c r="Z107" s="357"/>
      <c r="AA107" s="357">
        <f>+W107+Y107</f>
        <v>0</v>
      </c>
      <c r="AC107" s="355">
        <f>ROUND(AA107/1000,0)</f>
        <v>0</v>
      </c>
      <c r="AE107" s="356">
        <v>0</v>
      </c>
      <c r="AG107" s="356">
        <f>ROUND(AE107/$BC$3,0)</f>
        <v>0</v>
      </c>
      <c r="AI107" s="353">
        <f>IF(AK107=0,0,AK107/AE107)</f>
        <v>0</v>
      </c>
      <c r="AK107" s="248"/>
      <c r="AL107" s="164"/>
      <c r="AM107" s="164">
        <v>0</v>
      </c>
      <c r="AO107" s="323">
        <f>+AK107+AM107</f>
        <v>0</v>
      </c>
      <c r="AQ107" s="355">
        <f>ROUND(AK107/1000,0)</f>
        <v>0</v>
      </c>
      <c r="AS107" s="321">
        <f>+AE107+Q107+C107</f>
        <v>0</v>
      </c>
      <c r="AU107" s="321">
        <f>+AG107+S107+E107</f>
        <v>0</v>
      </c>
      <c r="AW107" s="353">
        <f>IF(AY107=0,0,AY107/AS107)</f>
        <v>0</v>
      </c>
      <c r="AX107" s="353"/>
      <c r="AY107" s="359">
        <f>+AK107+W107+I107</f>
        <v>0</v>
      </c>
      <c r="AZ107" s="359"/>
      <c r="BA107" s="359">
        <f>+AM107+Y107+K107</f>
        <v>0</v>
      </c>
      <c r="BB107" s="359"/>
      <c r="BC107" s="359">
        <f>+AO107+AA107+M107</f>
        <v>0</v>
      </c>
      <c r="BD107" s="174"/>
      <c r="BE107" s="360">
        <f>ROUND(BC107/1000,0)</f>
        <v>0</v>
      </c>
    </row>
    <row r="108" spans="1:57">
      <c r="A108" s="340" t="s">
        <v>169</v>
      </c>
      <c r="C108" s="257"/>
      <c r="E108" s="321">
        <f>ROUND(C108/$BC$1,0)</f>
        <v>0</v>
      </c>
      <c r="G108" s="353">
        <f t="shared" si="39"/>
        <v>0</v>
      </c>
      <c r="I108" s="248">
        <f>-K108</f>
        <v>0</v>
      </c>
      <c r="J108" s="354"/>
      <c r="K108" s="248"/>
      <c r="L108" s="354"/>
      <c r="M108" s="164">
        <f>+I108+K108</f>
        <v>0</v>
      </c>
      <c r="O108" s="355">
        <f>ROUND(M108/1000,0)</f>
        <v>0</v>
      </c>
      <c r="Q108" s="321"/>
      <c r="S108" s="356">
        <f>ROUND(Q108/$BC$2,0)</f>
        <v>0</v>
      </c>
      <c r="U108" s="353">
        <f t="shared" si="40"/>
        <v>0</v>
      </c>
      <c r="W108" s="248">
        <v>0</v>
      </c>
      <c r="X108" s="357"/>
      <c r="Y108" s="248"/>
      <c r="Z108" s="357"/>
      <c r="AA108" s="357"/>
      <c r="AC108" s="355"/>
      <c r="AE108" s="356"/>
      <c r="AG108" s="356"/>
      <c r="AI108" s="353"/>
      <c r="AK108" s="248"/>
      <c r="AL108" s="164"/>
      <c r="AM108" s="164"/>
      <c r="AO108" s="323"/>
      <c r="AQ108" s="355"/>
      <c r="AS108" s="321"/>
      <c r="AU108" s="321"/>
      <c r="AW108" s="353"/>
      <c r="AX108" s="353"/>
      <c r="AY108" s="359">
        <f>+AK108+W108+I108</f>
        <v>0</v>
      </c>
      <c r="AZ108" s="359"/>
      <c r="BA108" s="359">
        <f>+AM108+Y108+K108</f>
        <v>0</v>
      </c>
      <c r="BB108" s="359"/>
      <c r="BC108" s="359">
        <f>+AO108+AA108+M108</f>
        <v>0</v>
      </c>
      <c r="BD108" s="174"/>
      <c r="BE108" s="360">
        <f>ROUND(BC108/1000,0)</f>
        <v>0</v>
      </c>
    </row>
    <row r="109" spans="1:57">
      <c r="A109" s="340" t="s">
        <v>98</v>
      </c>
      <c r="B109" s="163" t="s">
        <v>21</v>
      </c>
      <c r="C109" s="257">
        <f>2052671+248</f>
        <v>2052919</v>
      </c>
      <c r="E109" s="321">
        <f>ROUND(C109/$BC$1,0)</f>
        <v>66223</v>
      </c>
      <c r="G109" s="353">
        <f t="shared" si="39"/>
        <v>2.74178133672103E-2</v>
      </c>
      <c r="I109" s="248">
        <f>-K109+60597.68</f>
        <v>56286.55</v>
      </c>
      <c r="J109" s="354"/>
      <c r="K109" s="248">
        <v>4311.13</v>
      </c>
      <c r="L109" s="354"/>
      <c r="M109" s="164">
        <f>+I109+K109</f>
        <v>60597.68</v>
      </c>
      <c r="O109" s="355">
        <f>ROUND(M109/1000,0)</f>
        <v>61</v>
      </c>
      <c r="Q109" s="321"/>
      <c r="S109" s="356">
        <f>ROUND(Q109/$BC$2,0)</f>
        <v>0</v>
      </c>
      <c r="U109" s="353">
        <f t="shared" si="40"/>
        <v>0</v>
      </c>
      <c r="W109" s="248">
        <v>0</v>
      </c>
      <c r="X109" s="357"/>
      <c r="Y109" s="248">
        <v>0</v>
      </c>
      <c r="Z109" s="357"/>
      <c r="AA109" s="357">
        <f>+W109+Y109</f>
        <v>0</v>
      </c>
      <c r="AC109" s="355">
        <f>ROUND(AA109/1000,0)</f>
        <v>0</v>
      </c>
      <c r="AE109" s="356"/>
      <c r="AG109" s="356">
        <f>ROUND(AE109/$BC$3,0)</f>
        <v>0</v>
      </c>
      <c r="AI109" s="353">
        <f>IF(AK109=0,0,AK109/AE109)</f>
        <v>0</v>
      </c>
      <c r="AK109" s="248"/>
      <c r="AL109" s="164"/>
      <c r="AM109" s="164"/>
      <c r="AO109" s="323">
        <f>+AK109+AM109</f>
        <v>0</v>
      </c>
      <c r="AQ109" s="355">
        <f>ROUND(AK109/1000,0)</f>
        <v>0</v>
      </c>
      <c r="AS109" s="321">
        <f>+AE109+Q109+C109</f>
        <v>2052919</v>
      </c>
      <c r="AU109" s="321">
        <f>+AG109+S109+E109</f>
        <v>66223</v>
      </c>
      <c r="AW109" s="353">
        <f>IF(AY109=0,0,AY109/AS109)</f>
        <v>2.74178133672103E-2</v>
      </c>
      <c r="AX109" s="353"/>
      <c r="AY109" s="359">
        <f>+AK109+W109+I109</f>
        <v>56286.55</v>
      </c>
      <c r="AZ109" s="359"/>
      <c r="BA109" s="359">
        <f>+AM109+Y109+K109</f>
        <v>4311.13</v>
      </c>
      <c r="BB109" s="359"/>
      <c r="BC109" s="359">
        <f>+AO109+AA109+M109</f>
        <v>60597.68</v>
      </c>
      <c r="BD109" s="174"/>
      <c r="BE109" s="360">
        <f>ROUND(BC109/1000,0)</f>
        <v>61</v>
      </c>
    </row>
    <row r="110" spans="1:57">
      <c r="A110" s="362" t="s">
        <v>170</v>
      </c>
      <c r="B110" s="363"/>
      <c r="C110" s="364">
        <f>SUM(C106:C109)</f>
        <v>8328672</v>
      </c>
      <c r="D110" s="363"/>
      <c r="E110" s="365">
        <f>SUM(E106:E109)</f>
        <v>268667</v>
      </c>
      <c r="F110" s="363"/>
      <c r="G110" s="366">
        <f t="shared" si="39"/>
        <v>4.6955739162257801E-2</v>
      </c>
      <c r="H110" s="363"/>
      <c r="I110" s="367">
        <f>SUM(I105:I109)</f>
        <v>391078.95</v>
      </c>
      <c r="J110" s="370"/>
      <c r="K110" s="367">
        <f>SUM(K105:K109)</f>
        <v>17490.21</v>
      </c>
      <c r="L110" s="370"/>
      <c r="M110" s="367">
        <f>SUM(M105:M109)</f>
        <v>408569.16</v>
      </c>
      <c r="N110" s="363"/>
      <c r="O110" s="365">
        <f>SUM(O105:O109)</f>
        <v>409</v>
      </c>
      <c r="P110" s="363"/>
      <c r="Q110" s="371">
        <f>SUM(Q106:Q109)</f>
        <v>0</v>
      </c>
      <c r="R110" s="363"/>
      <c r="S110" s="371">
        <f>SUM(S106:S109)</f>
        <v>0</v>
      </c>
      <c r="T110" s="363"/>
      <c r="U110" s="366">
        <f t="shared" si="40"/>
        <v>0</v>
      </c>
      <c r="V110" s="363"/>
      <c r="W110" s="367">
        <f>SUM(W105:W109)</f>
        <v>0</v>
      </c>
      <c r="X110" s="370"/>
      <c r="Y110" s="419">
        <f>SUM(Y105:Y109)</f>
        <v>0</v>
      </c>
      <c r="Z110" s="370"/>
      <c r="AA110" s="419">
        <f>SUM(AA105:AA109)</f>
        <v>0</v>
      </c>
      <c r="AB110" s="363"/>
      <c r="AC110" s="365">
        <f>SUM(AC105:AC109)</f>
        <v>0</v>
      </c>
      <c r="AD110" s="363"/>
      <c r="AE110" s="371">
        <f>SUM(AE106:AE109)</f>
        <v>0</v>
      </c>
      <c r="AF110" s="363"/>
      <c r="AG110" s="371">
        <f>SUM(AG106:AG109)</f>
        <v>0</v>
      </c>
      <c r="AH110" s="363"/>
      <c r="AI110" s="366">
        <f>IF(AK110=0,0,AK110/AE110)</f>
        <v>0</v>
      </c>
      <c r="AJ110" s="363"/>
      <c r="AK110" s="419">
        <f>SUM(AK105:AK109)</f>
        <v>0</v>
      </c>
      <c r="AL110" s="363"/>
      <c r="AM110" s="419">
        <f>SUM(AM105:AM109)</f>
        <v>0</v>
      </c>
      <c r="AN110" s="363"/>
      <c r="AO110" s="419">
        <f>SUM(AO105:AO109)</f>
        <v>0</v>
      </c>
      <c r="AP110" s="363"/>
      <c r="AQ110" s="365">
        <f>SUM(AQ105:AQ109)</f>
        <v>0</v>
      </c>
      <c r="AR110" s="363"/>
      <c r="AS110" s="371">
        <f>SUM(AS106:AS109)</f>
        <v>8328672</v>
      </c>
      <c r="AT110" s="363"/>
      <c r="AU110" s="371">
        <f>SUM(AU106:AU109)</f>
        <v>268667</v>
      </c>
      <c r="AV110" s="363"/>
      <c r="AW110" s="366">
        <f>IF(AY110=0,0,AY110/AS110)</f>
        <v>4.6955739162257801E-2</v>
      </c>
      <c r="AX110" s="373"/>
      <c r="AY110" s="419">
        <f>SUM(AY105:AY109)</f>
        <v>391078.95</v>
      </c>
      <c r="AZ110" s="370"/>
      <c r="BA110" s="419">
        <f>SUM(BA105:BA109)</f>
        <v>17490.21</v>
      </c>
      <c r="BB110" s="370"/>
      <c r="BC110" s="419">
        <f>SUM(BC105:BC109)</f>
        <v>408569.16</v>
      </c>
      <c r="BD110" s="382"/>
      <c r="BE110" s="374">
        <f>SUM(BE105:BE109)</f>
        <v>409</v>
      </c>
    </row>
    <row r="111" spans="1:57">
      <c r="A111" s="362"/>
      <c r="B111" s="363"/>
      <c r="C111" s="375"/>
      <c r="D111" s="363"/>
      <c r="E111" s="376"/>
      <c r="F111" s="363"/>
      <c r="G111" s="377"/>
      <c r="H111" s="363"/>
      <c r="I111" s="378"/>
      <c r="J111" s="370"/>
      <c r="K111" s="378"/>
      <c r="L111" s="370"/>
      <c r="M111" s="378"/>
      <c r="N111" s="363"/>
      <c r="O111" s="376"/>
      <c r="P111" s="363"/>
      <c r="Q111" s="379"/>
      <c r="R111" s="363"/>
      <c r="S111" s="379"/>
      <c r="T111" s="363"/>
      <c r="U111" s="377"/>
      <c r="V111" s="363"/>
      <c r="W111" s="378"/>
      <c r="X111" s="370"/>
      <c r="Y111" s="370"/>
      <c r="Z111" s="370"/>
      <c r="AA111" s="370"/>
      <c r="AB111" s="363"/>
      <c r="AC111" s="376"/>
      <c r="AD111" s="363"/>
      <c r="AE111" s="379"/>
      <c r="AF111" s="363"/>
      <c r="AG111" s="379"/>
      <c r="AH111" s="363"/>
      <c r="AI111" s="377"/>
      <c r="AJ111" s="363"/>
      <c r="AK111" s="370"/>
      <c r="AL111" s="363"/>
      <c r="AM111" s="370"/>
      <c r="AN111" s="363"/>
      <c r="AO111" s="370"/>
      <c r="AP111" s="363"/>
      <c r="AQ111" s="376"/>
      <c r="AR111" s="363"/>
      <c r="AS111" s="379"/>
      <c r="AT111" s="363"/>
      <c r="AU111" s="379"/>
      <c r="AV111" s="363"/>
      <c r="AW111" s="377"/>
      <c r="AX111" s="380"/>
      <c r="AY111" s="370"/>
      <c r="AZ111" s="370"/>
      <c r="BA111" s="370"/>
      <c r="BB111" s="370"/>
      <c r="BC111" s="370"/>
      <c r="BD111" s="382"/>
      <c r="BE111" s="381"/>
    </row>
    <row r="112" spans="1:57">
      <c r="A112" s="352" t="s">
        <v>171</v>
      </c>
      <c r="C112" s="257"/>
      <c r="E112" s="321"/>
      <c r="G112" s="353"/>
      <c r="I112" s="248"/>
      <c r="J112" s="354"/>
      <c r="K112" s="248"/>
      <c r="L112" s="354"/>
      <c r="O112" s="355"/>
      <c r="Q112" s="321"/>
      <c r="S112" s="356"/>
      <c r="U112" s="353"/>
      <c r="W112" s="248"/>
      <c r="X112" s="357"/>
      <c r="Y112" s="357"/>
      <c r="Z112" s="357"/>
      <c r="AA112" s="357"/>
      <c r="AC112" s="355"/>
      <c r="AE112" s="356"/>
      <c r="AG112" s="356"/>
      <c r="AI112" s="353"/>
      <c r="AK112" s="354"/>
      <c r="AM112" s="323"/>
      <c r="AO112" s="323"/>
      <c r="AQ112" s="355"/>
      <c r="AS112" s="321"/>
      <c r="AU112" s="356"/>
      <c r="AW112" s="353"/>
      <c r="AX112" s="353"/>
      <c r="AY112" s="359"/>
      <c r="AZ112" s="359"/>
      <c r="BA112" s="359"/>
      <c r="BB112" s="359"/>
      <c r="BC112" s="359"/>
      <c r="BD112" s="174"/>
      <c r="BE112" s="360"/>
    </row>
    <row r="113" spans="1:57">
      <c r="A113" s="361" t="s">
        <v>73</v>
      </c>
      <c r="C113" s="257">
        <f>17835409-8444472-9390937+18159815-9494983-8664832</f>
        <v>0</v>
      </c>
      <c r="E113" s="321">
        <f>ROUND(C113/$BC$1,0)</f>
        <v>0</v>
      </c>
      <c r="G113" s="353">
        <f t="shared" ref="G113:G127" si="41">IF(I113=0,0,I113/C113)</f>
        <v>0</v>
      </c>
      <c r="I113" s="248">
        <f>-K113+743932.76-401126.57-416043.69+73237.5</f>
        <v>0</v>
      </c>
      <c r="J113" s="354"/>
      <c r="K113" s="248"/>
      <c r="L113" s="354"/>
      <c r="M113" s="164">
        <f>+I113+K113</f>
        <v>0</v>
      </c>
      <c r="O113" s="355">
        <f>ROUND(M113/1000,0)</f>
        <v>0</v>
      </c>
      <c r="Q113" s="321">
        <v>773</v>
      </c>
      <c r="S113" s="356">
        <f>ROUND(Q113/$BC$2,0)</f>
        <v>26</v>
      </c>
      <c r="U113" s="353">
        <f t="shared" ref="U113:U127" si="42">IF(W113=0,0,W113/Q113)</f>
        <v>0.13279430789133248</v>
      </c>
      <c r="W113" s="248">
        <f>-Y113+112.78</f>
        <v>102.65</v>
      </c>
      <c r="X113" s="357"/>
      <c r="Y113" s="248">
        <v>10.130000000000001</v>
      </c>
      <c r="Z113" s="357"/>
      <c r="AA113" s="357">
        <f>+W113+Y113</f>
        <v>112.78</v>
      </c>
      <c r="AC113" s="355">
        <f>ROUND(AA113/1000,0)</f>
        <v>0</v>
      </c>
      <c r="AE113" s="356">
        <v>0</v>
      </c>
      <c r="AG113" s="356">
        <f>ROUND(AE113/$BC$3,0)</f>
        <v>0</v>
      </c>
      <c r="AI113" s="353">
        <f t="shared" ref="AI113:AI127" si="43">IF(AK113=0,0,AK113/AE113)</f>
        <v>0</v>
      </c>
      <c r="AK113" s="248">
        <v>0</v>
      </c>
      <c r="AL113" s="164"/>
      <c r="AM113" s="164">
        <v>0</v>
      </c>
      <c r="AO113" s="323">
        <f>+AK113+AM113</f>
        <v>0</v>
      </c>
      <c r="AQ113" s="355">
        <f t="shared" ref="AQ113:AQ122" si="44">ROUND(AK113/1000,0)</f>
        <v>0</v>
      </c>
      <c r="AS113" s="321">
        <f>+AE113+Q113+C113</f>
        <v>773</v>
      </c>
      <c r="AU113" s="321">
        <f>+AG113+S113+E113</f>
        <v>26</v>
      </c>
      <c r="AW113" s="353">
        <f t="shared" ref="AW113:AW127" si="45">IF(AY113=0,0,AY113/AS113)</f>
        <v>0.13279430789133248</v>
      </c>
      <c r="AX113" s="353"/>
      <c r="AY113" s="359">
        <f>+AK113+W113+I113</f>
        <v>102.65</v>
      </c>
      <c r="AZ113" s="359"/>
      <c r="BA113" s="359">
        <f>+AM113+Y113+K113</f>
        <v>10.130000000000001</v>
      </c>
      <c r="BB113" s="359"/>
      <c r="BC113" s="359">
        <f>+AO113+AA113+M113</f>
        <v>112.78</v>
      </c>
      <c r="BD113" s="174"/>
      <c r="BE113" s="360">
        <f>ROUND(BC113/1000,0)</f>
        <v>0</v>
      </c>
    </row>
    <row r="114" spans="1:57">
      <c r="A114" s="361" t="s">
        <v>88</v>
      </c>
      <c r="C114" s="257">
        <f>14952177-6275753-8676424</f>
        <v>0</v>
      </c>
      <c r="E114" s="321">
        <f>ROUND(C114/$BC$1,0)</f>
        <v>0</v>
      </c>
      <c r="G114" s="353">
        <f t="shared" si="41"/>
        <v>0</v>
      </c>
      <c r="I114" s="248">
        <f>-K114+29626.49-20082.41-9544.08</f>
        <v>0</v>
      </c>
      <c r="J114" s="354"/>
      <c r="K114" s="248">
        <f>13179.08-13179.08</f>
        <v>0</v>
      </c>
      <c r="L114" s="354"/>
      <c r="M114" s="164">
        <f>+I114+K114</f>
        <v>0</v>
      </c>
      <c r="O114" s="355">
        <f>ROUND(M114/1000,0)</f>
        <v>0</v>
      </c>
      <c r="Q114" s="321"/>
      <c r="S114" s="356">
        <f>ROUND(Q114/$BC$2,0)</f>
        <v>0</v>
      </c>
      <c r="U114" s="353">
        <f t="shared" si="42"/>
        <v>0</v>
      </c>
      <c r="W114" s="248">
        <f>-Y114</f>
        <v>0</v>
      </c>
      <c r="X114" s="357"/>
      <c r="Y114" s="248"/>
      <c r="Z114" s="357"/>
      <c r="AA114" s="357">
        <f>+W114+Y114</f>
        <v>0</v>
      </c>
      <c r="AC114" s="355">
        <f>ROUND(AA114/1000,0)</f>
        <v>0</v>
      </c>
      <c r="AE114" s="356"/>
      <c r="AG114" s="356">
        <f>ROUND(AE114/$BC$3,0)</f>
        <v>0</v>
      </c>
      <c r="AI114" s="353">
        <f t="shared" si="43"/>
        <v>0</v>
      </c>
      <c r="AK114" s="248">
        <f>-AM114</f>
        <v>0</v>
      </c>
      <c r="AL114" s="164"/>
      <c r="AM114" s="164"/>
      <c r="AO114" s="323">
        <f>+AK114+AM114</f>
        <v>0</v>
      </c>
      <c r="AQ114" s="355">
        <f t="shared" si="44"/>
        <v>0</v>
      </c>
      <c r="AS114" s="321">
        <f>+AE114+Q114+C114</f>
        <v>0</v>
      </c>
      <c r="AU114" s="321">
        <f>+AG114+S114+E114</f>
        <v>0</v>
      </c>
      <c r="AW114" s="353">
        <f t="shared" si="45"/>
        <v>0</v>
      </c>
      <c r="AX114" s="353"/>
      <c r="AY114" s="359">
        <f>+AK114+W114+I114</f>
        <v>0</v>
      </c>
      <c r="AZ114" s="359"/>
      <c r="BA114" s="359">
        <f>+AM114+Y114+K114</f>
        <v>0</v>
      </c>
      <c r="BB114" s="359"/>
      <c r="BC114" s="359">
        <f>+AO114+AA114+M114</f>
        <v>0</v>
      </c>
      <c r="BD114" s="174"/>
      <c r="BE114" s="360">
        <f>ROUND(BC114/1000,0)</f>
        <v>0</v>
      </c>
    </row>
    <row r="115" spans="1:57">
      <c r="A115" s="361" t="s">
        <v>140</v>
      </c>
      <c r="C115" s="257">
        <f>465000-465000</f>
        <v>0</v>
      </c>
      <c r="E115" s="321">
        <f>ROUND(C115/$BC$1,0)</f>
        <v>0</v>
      </c>
      <c r="G115" s="353">
        <f t="shared" si="41"/>
        <v>0</v>
      </c>
      <c r="I115" s="248">
        <f>-K115+511.5-511.5</f>
        <v>0</v>
      </c>
      <c r="J115" s="354"/>
      <c r="K115" s="248">
        <f>972.14-972.14</f>
        <v>0</v>
      </c>
      <c r="L115" s="354"/>
      <c r="M115" s="164">
        <f>+I115+K115</f>
        <v>0</v>
      </c>
      <c r="O115" s="355">
        <f>ROUND(M115/1000,0)</f>
        <v>0</v>
      </c>
      <c r="Q115" s="321"/>
      <c r="S115" s="356">
        <f>ROUND(Q115/$BC$2,0)</f>
        <v>0</v>
      </c>
      <c r="U115" s="353">
        <f t="shared" si="42"/>
        <v>0</v>
      </c>
      <c r="W115" s="248">
        <v>0</v>
      </c>
      <c r="X115" s="357"/>
      <c r="Y115" s="248"/>
      <c r="Z115" s="357"/>
      <c r="AA115" s="357">
        <f>+W115+Y115</f>
        <v>0</v>
      </c>
      <c r="AC115" s="355">
        <f>ROUND(AA115/1000,0)</f>
        <v>0</v>
      </c>
      <c r="AE115" s="356">
        <v>0</v>
      </c>
      <c r="AG115" s="356">
        <f>ROUND(AE115/$BC$3,0)</f>
        <v>0</v>
      </c>
      <c r="AI115" s="353">
        <f t="shared" si="43"/>
        <v>0</v>
      </c>
      <c r="AK115" s="248"/>
      <c r="AL115" s="164"/>
      <c r="AM115" s="164">
        <v>0</v>
      </c>
      <c r="AO115" s="323">
        <f>+AK115+AM115</f>
        <v>0</v>
      </c>
      <c r="AQ115" s="355">
        <f t="shared" si="44"/>
        <v>0</v>
      </c>
      <c r="AS115" s="321">
        <f>+AE115+Q115+C115</f>
        <v>0</v>
      </c>
      <c r="AU115" s="321">
        <f>+AG115+S115+E115</f>
        <v>0</v>
      </c>
      <c r="AW115" s="353">
        <f t="shared" si="45"/>
        <v>0</v>
      </c>
      <c r="AX115" s="353"/>
      <c r="AY115" s="359">
        <f>+AK115+W115+I115</f>
        <v>0</v>
      </c>
      <c r="AZ115" s="359"/>
      <c r="BA115" s="359">
        <f>+AM115+Y115+K115</f>
        <v>0</v>
      </c>
      <c r="BB115" s="359"/>
      <c r="BC115" s="359">
        <f>+AO115+AA115+M115</f>
        <v>0</v>
      </c>
      <c r="BD115" s="174"/>
      <c r="BE115" s="360">
        <f>ROUND(BC115/1000,0)</f>
        <v>0</v>
      </c>
    </row>
    <row r="116" spans="1:57">
      <c r="A116" s="361" t="s">
        <v>141</v>
      </c>
      <c r="C116" s="257"/>
      <c r="E116" s="321">
        <f>ROUND(C116/$BC$1,0)</f>
        <v>0</v>
      </c>
      <c r="G116" s="353">
        <f>IF(I116=0,0,I116/C116)</f>
        <v>0</v>
      </c>
      <c r="I116" s="248">
        <f>-K116</f>
        <v>0</v>
      </c>
      <c r="J116" s="354"/>
      <c r="K116" s="248"/>
      <c r="L116" s="354"/>
      <c r="M116" s="164">
        <f>+I116+K116</f>
        <v>0</v>
      </c>
      <c r="O116" s="355">
        <f>ROUND(M116/1000,0)</f>
        <v>0</v>
      </c>
      <c r="Q116" s="321"/>
      <c r="S116" s="356">
        <f>ROUND(Q116/$BC$2,0)</f>
        <v>0</v>
      </c>
      <c r="U116" s="353">
        <f>IF(W116=0,0,W116/Q116)</f>
        <v>0</v>
      </c>
      <c r="W116" s="248">
        <v>0</v>
      </c>
      <c r="X116" s="357"/>
      <c r="Y116" s="248"/>
      <c r="Z116" s="357"/>
      <c r="AA116" s="357"/>
      <c r="AC116" s="355"/>
      <c r="AE116" s="356"/>
      <c r="AG116" s="356"/>
      <c r="AI116" s="353"/>
      <c r="AK116" s="248"/>
      <c r="AL116" s="164"/>
      <c r="AM116" s="164"/>
      <c r="AO116" s="323"/>
      <c r="AQ116" s="355"/>
      <c r="AS116" s="321"/>
      <c r="AU116" s="321"/>
      <c r="AW116" s="353"/>
      <c r="AX116" s="353"/>
      <c r="AY116" s="359">
        <f>+AK116+W116+I116</f>
        <v>0</v>
      </c>
      <c r="AZ116" s="359"/>
      <c r="BA116" s="359">
        <f>+AM116+Y116+K116</f>
        <v>0</v>
      </c>
      <c r="BB116" s="359"/>
      <c r="BC116" s="359">
        <f>+AO116+AA116+M116</f>
        <v>0</v>
      </c>
      <c r="BD116" s="174"/>
      <c r="BE116" s="360">
        <f>ROUND(BC116/1000,0)</f>
        <v>0</v>
      </c>
    </row>
    <row r="117" spans="1:57">
      <c r="A117" s="361" t="s">
        <v>91</v>
      </c>
      <c r="C117" s="257">
        <f>2226782-2226782+2111770-2052671-58851-248</f>
        <v>0</v>
      </c>
      <c r="E117" s="321">
        <f>ROUND(C117/$BC$1,0)</f>
        <v>0</v>
      </c>
      <c r="G117" s="353">
        <f t="shared" si="41"/>
        <v>0</v>
      </c>
      <c r="I117" s="248">
        <f>-K117+66665.22-60597.68+6067.54-7823.95-5-4306.13</f>
        <v>0</v>
      </c>
      <c r="J117" s="354"/>
      <c r="K117" s="248">
        <f>4311.13-4311.13</f>
        <v>0</v>
      </c>
      <c r="L117" s="354"/>
      <c r="M117" s="164">
        <f>+I117+K117</f>
        <v>0</v>
      </c>
      <c r="O117" s="355">
        <f>ROUND(M117/1000,0)</f>
        <v>0</v>
      </c>
      <c r="Q117" s="321"/>
      <c r="S117" s="356">
        <f>ROUND(Q117/$BC$2,0)</f>
        <v>0</v>
      </c>
      <c r="U117" s="353">
        <v>0</v>
      </c>
      <c r="W117" s="248">
        <v>0</v>
      </c>
      <c r="X117" s="357"/>
      <c r="Y117" s="248"/>
      <c r="Z117" s="357"/>
      <c r="AA117" s="357">
        <f>+W117+Y117</f>
        <v>0</v>
      </c>
      <c r="AC117" s="355">
        <f>ROUND(AA117/1000,0)</f>
        <v>0</v>
      </c>
      <c r="AE117" s="356">
        <v>0</v>
      </c>
      <c r="AG117" s="356">
        <f>ROUND(AE117/$BC$3,0)</f>
        <v>0</v>
      </c>
      <c r="AI117" s="353">
        <f t="shared" si="43"/>
        <v>0</v>
      </c>
      <c r="AK117" s="248"/>
      <c r="AL117" s="164"/>
      <c r="AM117" s="164">
        <v>0</v>
      </c>
      <c r="AO117" s="323">
        <f>+AK117+AM117</f>
        <v>0</v>
      </c>
      <c r="AQ117" s="355">
        <f t="shared" si="44"/>
        <v>0</v>
      </c>
      <c r="AS117" s="321">
        <f>+AE117+Q117+C117</f>
        <v>0</v>
      </c>
      <c r="AU117" s="321">
        <f>+AG117+S117+E117</f>
        <v>0</v>
      </c>
      <c r="AW117" s="353">
        <f t="shared" si="45"/>
        <v>0</v>
      </c>
      <c r="AX117" s="353"/>
      <c r="AY117" s="359">
        <f>+AK117+W117+I117</f>
        <v>0</v>
      </c>
      <c r="AZ117" s="359"/>
      <c r="BA117" s="359">
        <f>+AM117+Y117+K117</f>
        <v>0</v>
      </c>
      <c r="BB117" s="359"/>
      <c r="BC117" s="359">
        <f>+AO117+AA117+M117</f>
        <v>0</v>
      </c>
      <c r="BD117" s="174"/>
      <c r="BE117" s="360">
        <f>ROUND(BC117/1000,0)</f>
        <v>0</v>
      </c>
    </row>
    <row r="118" spans="1:57">
      <c r="A118" s="362" t="s">
        <v>78</v>
      </c>
      <c r="B118" s="363"/>
      <c r="C118" s="364">
        <f>SUM(C114:C117)</f>
        <v>0</v>
      </c>
      <c r="D118" s="363"/>
      <c r="E118" s="365">
        <f>SUM(E114:E117)</f>
        <v>0</v>
      </c>
      <c r="F118" s="363"/>
      <c r="G118" s="366">
        <f t="shared" si="41"/>
        <v>0</v>
      </c>
      <c r="H118" s="363"/>
      <c r="I118" s="367">
        <f>SUM(I113:I117)</f>
        <v>0</v>
      </c>
      <c r="J118" s="370"/>
      <c r="K118" s="367">
        <f>SUM(K113:K117)</f>
        <v>0</v>
      </c>
      <c r="L118" s="370"/>
      <c r="M118" s="367">
        <f>SUM(M113:M117)</f>
        <v>0</v>
      </c>
      <c r="N118" s="363"/>
      <c r="O118" s="365">
        <f>SUM(O113:O117)</f>
        <v>0</v>
      </c>
      <c r="P118" s="363"/>
      <c r="Q118" s="371">
        <f>SUM(Q114:Q117)</f>
        <v>0</v>
      </c>
      <c r="R118" s="363"/>
      <c r="S118" s="371">
        <f>SUM(S114:S117)</f>
        <v>0</v>
      </c>
      <c r="T118" s="363"/>
      <c r="U118" s="366" t="e">
        <f t="shared" si="42"/>
        <v>#DIV/0!</v>
      </c>
      <c r="V118" s="363"/>
      <c r="W118" s="367">
        <f>SUM(W113:W117)</f>
        <v>102.65</v>
      </c>
      <c r="X118" s="370"/>
      <c r="Y118" s="419">
        <f>SUM(Y113:Y117)</f>
        <v>10.130000000000001</v>
      </c>
      <c r="Z118" s="370"/>
      <c r="AA118" s="419">
        <f>SUM(AA113:AA117)</f>
        <v>112.78</v>
      </c>
      <c r="AB118" s="363"/>
      <c r="AC118" s="365">
        <f>SUM(AC113:AC117)</f>
        <v>0</v>
      </c>
      <c r="AD118" s="363"/>
      <c r="AE118" s="371">
        <f>SUM(AE114:AE117)</f>
        <v>0</v>
      </c>
      <c r="AF118" s="363"/>
      <c r="AG118" s="371">
        <f>SUM(AG114:AG117)</f>
        <v>0</v>
      </c>
      <c r="AH118" s="363"/>
      <c r="AI118" s="366">
        <f t="shared" si="43"/>
        <v>0</v>
      </c>
      <c r="AJ118" s="363"/>
      <c r="AK118" s="419">
        <f>SUM(AK113:AK117)</f>
        <v>0</v>
      </c>
      <c r="AL118" s="363"/>
      <c r="AM118" s="419">
        <f>SUM(AM113:AM117)</f>
        <v>0</v>
      </c>
      <c r="AN118" s="363"/>
      <c r="AO118" s="419">
        <f>SUM(AO113:AO117)</f>
        <v>0</v>
      </c>
      <c r="AP118" s="363"/>
      <c r="AQ118" s="365">
        <f>SUM(AQ113:AQ117)</f>
        <v>0</v>
      </c>
      <c r="AR118" s="363"/>
      <c r="AS118" s="371">
        <f>SUM(AS114:AS117)</f>
        <v>0</v>
      </c>
      <c r="AT118" s="363"/>
      <c r="AU118" s="371">
        <f>SUM(AU114:AU117)</f>
        <v>0</v>
      </c>
      <c r="AV118" s="363"/>
      <c r="AW118" s="366" t="e">
        <f t="shared" si="45"/>
        <v>#DIV/0!</v>
      </c>
      <c r="AX118" s="373"/>
      <c r="AY118" s="419">
        <f>SUM(AY113:AY117)</f>
        <v>102.65</v>
      </c>
      <c r="AZ118" s="370"/>
      <c r="BA118" s="419">
        <f>SUM(BA113:BA117)</f>
        <v>10.130000000000001</v>
      </c>
      <c r="BB118" s="370"/>
      <c r="BC118" s="419">
        <f>SUM(BC113:BC117)</f>
        <v>112.78</v>
      </c>
      <c r="BD118" s="382"/>
      <c r="BE118" s="374">
        <f>SUM(BE113:BE117)</f>
        <v>0</v>
      </c>
    </row>
    <row r="119" spans="1:57">
      <c r="A119" s="361"/>
      <c r="C119" s="257"/>
      <c r="E119" s="321"/>
      <c r="G119" s="353"/>
      <c r="I119" s="248"/>
      <c r="J119" s="354"/>
      <c r="K119" s="248"/>
      <c r="L119" s="354"/>
      <c r="O119" s="355"/>
      <c r="Q119" s="321"/>
      <c r="S119" s="356"/>
      <c r="U119" s="353"/>
      <c r="W119" s="248"/>
      <c r="X119" s="357"/>
      <c r="Y119" s="357"/>
      <c r="Z119" s="357"/>
      <c r="AA119" s="357"/>
      <c r="AC119" s="355"/>
      <c r="AE119" s="356"/>
      <c r="AG119" s="356"/>
      <c r="AI119" s="353"/>
      <c r="AK119" s="354"/>
      <c r="AM119" s="323"/>
      <c r="AO119" s="323"/>
      <c r="AQ119" s="355"/>
      <c r="AS119" s="321"/>
      <c r="AU119" s="356"/>
      <c r="AW119" s="353"/>
      <c r="AX119" s="353"/>
      <c r="AY119" s="359"/>
      <c r="AZ119" s="359"/>
      <c r="BA119" s="359"/>
      <c r="BB119" s="359"/>
      <c r="BC119" s="359"/>
      <c r="BD119" s="174"/>
      <c r="BE119" s="360"/>
    </row>
    <row r="120" spans="1:57">
      <c r="A120" s="361" t="s">
        <v>73</v>
      </c>
      <c r="C120" s="257"/>
      <c r="E120" s="321">
        <f>ROUND(C120/$BC$1,0)</f>
        <v>0</v>
      </c>
      <c r="G120" s="353">
        <f t="shared" si="41"/>
        <v>0</v>
      </c>
      <c r="I120" s="248">
        <f>-K120</f>
        <v>0</v>
      </c>
      <c r="J120" s="354"/>
      <c r="K120" s="248"/>
      <c r="L120" s="354"/>
      <c r="M120" s="164">
        <f>+I120+K120</f>
        <v>0</v>
      </c>
      <c r="O120" s="355">
        <f>ROUND(M120/1000,0)</f>
        <v>0</v>
      </c>
      <c r="Q120" s="321">
        <v>0</v>
      </c>
      <c r="S120" s="356">
        <f>ROUND(Q120/$BC$2,0)</f>
        <v>0</v>
      </c>
      <c r="U120" s="353">
        <f t="shared" si="42"/>
        <v>0</v>
      </c>
      <c r="W120" s="248">
        <v>0</v>
      </c>
      <c r="X120" s="357"/>
      <c r="Y120" s="248">
        <v>0</v>
      </c>
      <c r="Z120" s="357"/>
      <c r="AA120" s="357">
        <f>+W120+Y120</f>
        <v>0</v>
      </c>
      <c r="AC120" s="355">
        <f>ROUND(AA120/1000,0)</f>
        <v>0</v>
      </c>
      <c r="AE120" s="356">
        <v>0</v>
      </c>
      <c r="AG120" s="356">
        <f>ROUND(AE120/$BC$3,0)</f>
        <v>0</v>
      </c>
      <c r="AI120" s="353">
        <f t="shared" si="43"/>
        <v>0</v>
      </c>
      <c r="AK120" s="248"/>
      <c r="AL120" s="164"/>
      <c r="AM120" s="164">
        <v>0</v>
      </c>
      <c r="AO120" s="323">
        <f>+AK120+AM120</f>
        <v>0</v>
      </c>
      <c r="AQ120" s="355">
        <f t="shared" si="44"/>
        <v>0</v>
      </c>
      <c r="AS120" s="321">
        <f>+AE120+Q120+C120</f>
        <v>0</v>
      </c>
      <c r="AU120" s="321">
        <f>+AG120+S120+E120</f>
        <v>0</v>
      </c>
      <c r="AW120" s="353">
        <f t="shared" si="45"/>
        <v>0</v>
      </c>
      <c r="AX120" s="353"/>
      <c r="AY120" s="359">
        <f>+AK120+W120+I120</f>
        <v>0</v>
      </c>
      <c r="AZ120" s="359"/>
      <c r="BA120" s="359">
        <f>+AM120+Y120+K120</f>
        <v>0</v>
      </c>
      <c r="BB120" s="359"/>
      <c r="BC120" s="359">
        <f>+AO120+AA120+M120</f>
        <v>0</v>
      </c>
      <c r="BD120" s="174"/>
      <c r="BE120" s="360">
        <f>ROUND(BC120/1000,0)</f>
        <v>0</v>
      </c>
    </row>
    <row r="121" spans="1:57">
      <c r="A121" s="361" t="s">
        <v>139</v>
      </c>
      <c r="C121" s="257"/>
      <c r="E121" s="321">
        <f>ROUND(C121/$BC$1,0)</f>
        <v>0</v>
      </c>
      <c r="G121" s="353">
        <f t="shared" si="41"/>
        <v>0</v>
      </c>
      <c r="I121" s="248">
        <f>-K121</f>
        <v>0</v>
      </c>
      <c r="J121" s="354"/>
      <c r="K121" s="248"/>
      <c r="L121" s="354"/>
      <c r="M121" s="164">
        <f>+I121+K121</f>
        <v>0</v>
      </c>
      <c r="O121" s="355">
        <f>ROUND(M121/1000,0)</f>
        <v>0</v>
      </c>
      <c r="Q121" s="321">
        <v>0</v>
      </c>
      <c r="S121" s="356">
        <f>ROUND(Q121/$BC$2,0)</f>
        <v>0</v>
      </c>
      <c r="U121" s="353">
        <f t="shared" si="42"/>
        <v>0</v>
      </c>
      <c r="W121" s="248">
        <v>0</v>
      </c>
      <c r="X121" s="357"/>
      <c r="Y121" s="248">
        <v>0</v>
      </c>
      <c r="Z121" s="357"/>
      <c r="AA121" s="357">
        <f>+W121+Y121</f>
        <v>0</v>
      </c>
      <c r="AC121" s="355">
        <f>ROUND(AA121/1000,0)</f>
        <v>0</v>
      </c>
      <c r="AE121" s="356">
        <v>0</v>
      </c>
      <c r="AG121" s="356">
        <f>ROUND(AE121/$BC$3,0)</f>
        <v>0</v>
      </c>
      <c r="AI121" s="353">
        <f t="shared" si="43"/>
        <v>0</v>
      </c>
      <c r="AK121" s="248"/>
      <c r="AL121" s="164"/>
      <c r="AM121" s="164">
        <v>0</v>
      </c>
      <c r="AO121" s="323">
        <f>+AK121+AM121</f>
        <v>0</v>
      </c>
      <c r="AQ121" s="355">
        <f t="shared" si="44"/>
        <v>0</v>
      </c>
      <c r="AS121" s="321">
        <f>+AE121+Q121+C121</f>
        <v>0</v>
      </c>
      <c r="AU121" s="321">
        <f>+AG121+S121+E121</f>
        <v>0</v>
      </c>
      <c r="AW121" s="353">
        <f t="shared" si="45"/>
        <v>0</v>
      </c>
      <c r="AX121" s="353"/>
      <c r="AY121" s="359">
        <f>+AK121+W121+I121</f>
        <v>0</v>
      </c>
      <c r="AZ121" s="359"/>
      <c r="BA121" s="359">
        <f>+AM121+Y121+K121</f>
        <v>0</v>
      </c>
      <c r="BB121" s="359"/>
      <c r="BC121" s="359">
        <f>+AO121+AA121+M121</f>
        <v>0</v>
      </c>
      <c r="BD121" s="174"/>
      <c r="BE121" s="360">
        <f>ROUND(BC121/1000,0)</f>
        <v>0</v>
      </c>
    </row>
    <row r="122" spans="1:57">
      <c r="A122" s="361" t="s">
        <v>136</v>
      </c>
      <c r="C122" s="257"/>
      <c r="E122" s="321">
        <f>ROUND(C122/$BC$1,0)</f>
        <v>0</v>
      </c>
      <c r="G122" s="353">
        <f t="shared" si="41"/>
        <v>0</v>
      </c>
      <c r="I122" s="248">
        <f>-K122</f>
        <v>0</v>
      </c>
      <c r="J122" s="354"/>
      <c r="K122" s="248"/>
      <c r="L122" s="354"/>
      <c r="M122" s="164">
        <f>+I122+K122</f>
        <v>0</v>
      </c>
      <c r="O122" s="355">
        <f>ROUND(M122/1000,0)</f>
        <v>0</v>
      </c>
      <c r="Q122" s="321"/>
      <c r="S122" s="356">
        <f>ROUND(Q122/$BC$2,0)</f>
        <v>0</v>
      </c>
      <c r="U122" s="353">
        <f t="shared" si="42"/>
        <v>0</v>
      </c>
      <c r="W122" s="248">
        <v>0</v>
      </c>
      <c r="X122" s="357"/>
      <c r="Y122" s="248"/>
      <c r="Z122" s="357"/>
      <c r="AA122" s="357">
        <f>+W122+Y122</f>
        <v>0</v>
      </c>
      <c r="AC122" s="355">
        <f>ROUND(AA122/1000,0)</f>
        <v>0</v>
      </c>
      <c r="AE122" s="356">
        <v>0</v>
      </c>
      <c r="AG122" s="356">
        <f>ROUND(AE122/$BC$3,0)</f>
        <v>0</v>
      </c>
      <c r="AI122" s="353">
        <f t="shared" si="43"/>
        <v>0</v>
      </c>
      <c r="AK122" s="248"/>
      <c r="AL122" s="164"/>
      <c r="AM122" s="164">
        <v>0</v>
      </c>
      <c r="AO122" s="323">
        <f>+AK122+AM122</f>
        <v>0</v>
      </c>
      <c r="AQ122" s="355">
        <f t="shared" si="44"/>
        <v>0</v>
      </c>
      <c r="AS122" s="321">
        <f>+AE122+Q122+C122</f>
        <v>0</v>
      </c>
      <c r="AU122" s="321">
        <f>+AG122+S122+E122</f>
        <v>0</v>
      </c>
      <c r="AW122" s="353">
        <f t="shared" si="45"/>
        <v>0</v>
      </c>
      <c r="AX122" s="353"/>
      <c r="AY122" s="359">
        <f>+AK122+W122+I122</f>
        <v>0</v>
      </c>
      <c r="AZ122" s="359"/>
      <c r="BA122" s="359">
        <f>+AM122+Y122+K122</f>
        <v>0</v>
      </c>
      <c r="BB122" s="359"/>
      <c r="BC122" s="359">
        <f>+AO122+AA122+M122</f>
        <v>0</v>
      </c>
      <c r="BD122" s="174"/>
      <c r="BE122" s="360">
        <f>ROUND(BC122/1000,0)</f>
        <v>0</v>
      </c>
    </row>
    <row r="123" spans="1:57">
      <c r="A123" s="361" t="s">
        <v>138</v>
      </c>
      <c r="C123" s="257"/>
      <c r="E123" s="321">
        <f>ROUND(C123/$BC$1,0)</f>
        <v>0</v>
      </c>
      <c r="G123" s="353">
        <f>IF(I123=0,0,I123/C123)</f>
        <v>0</v>
      </c>
      <c r="I123" s="248">
        <f>-K123</f>
        <v>0</v>
      </c>
      <c r="J123" s="354"/>
      <c r="K123" s="248"/>
      <c r="L123" s="354"/>
      <c r="M123" s="164">
        <f>+I123+K123</f>
        <v>0</v>
      </c>
      <c r="O123" s="355">
        <f>ROUND(M123/1000,0)</f>
        <v>0</v>
      </c>
      <c r="Q123" s="321">
        <v>0</v>
      </c>
      <c r="S123" s="356">
        <f>ROUND(Q123/$BC$2,0)</f>
        <v>0</v>
      </c>
      <c r="U123" s="353">
        <f>IF(W123=0,0,W123/Q123)</f>
        <v>0</v>
      </c>
      <c r="W123" s="248">
        <v>0</v>
      </c>
      <c r="X123" s="357"/>
      <c r="Y123" s="248"/>
      <c r="Z123" s="357"/>
      <c r="AA123" s="357"/>
      <c r="AC123" s="355"/>
      <c r="AE123" s="356"/>
      <c r="AG123" s="356"/>
      <c r="AI123" s="353"/>
      <c r="AK123" s="248"/>
      <c r="AL123" s="164"/>
      <c r="AM123" s="164"/>
      <c r="AO123" s="323"/>
      <c r="AQ123" s="355"/>
      <c r="AS123" s="321"/>
      <c r="AU123" s="321"/>
      <c r="AW123" s="353"/>
      <c r="AX123" s="353"/>
      <c r="AY123" s="359">
        <f>+AK123+W123+I123</f>
        <v>0</v>
      </c>
      <c r="AZ123" s="359"/>
      <c r="BA123" s="359">
        <f>+AM123+Y123+K123</f>
        <v>0</v>
      </c>
      <c r="BB123" s="359"/>
      <c r="BC123" s="359">
        <f>+AO123+AA123+M123</f>
        <v>0</v>
      </c>
      <c r="BD123" s="174"/>
      <c r="BE123" s="360">
        <f>ROUND(BC123/1000,0)</f>
        <v>0</v>
      </c>
    </row>
    <row r="124" spans="1:57">
      <c r="A124" s="361" t="s">
        <v>172</v>
      </c>
      <c r="C124" s="257"/>
      <c r="E124" s="321">
        <f>ROUND(C124/$BC$1,0)</f>
        <v>0</v>
      </c>
      <c r="G124" s="353">
        <f t="shared" si="41"/>
        <v>0</v>
      </c>
      <c r="I124" s="248">
        <f>-K124</f>
        <v>0</v>
      </c>
      <c r="J124" s="354"/>
      <c r="K124" s="248"/>
      <c r="L124" s="354"/>
      <c r="M124" s="164">
        <f>+I124+K124</f>
        <v>0</v>
      </c>
      <c r="O124" s="355">
        <f>ROUND(M124/1000,0)</f>
        <v>0</v>
      </c>
      <c r="Q124" s="321">
        <v>0</v>
      </c>
      <c r="S124" s="356">
        <f>ROUND(Q124/$BC$2,0)</f>
        <v>0</v>
      </c>
      <c r="U124" s="353">
        <f t="shared" si="42"/>
        <v>0</v>
      </c>
      <c r="W124" s="248">
        <v>0</v>
      </c>
      <c r="X124" s="357"/>
      <c r="Y124" s="248">
        <v>0</v>
      </c>
      <c r="Z124" s="357"/>
      <c r="AA124" s="357">
        <f>+W124+Y124</f>
        <v>0</v>
      </c>
      <c r="AC124" s="355">
        <f>ROUND(AA124/1000,0)</f>
        <v>0</v>
      </c>
      <c r="AE124" s="356">
        <v>0</v>
      </c>
      <c r="AG124" s="356">
        <f>ROUND(AE124/$BC$3,0)</f>
        <v>0</v>
      </c>
      <c r="AI124" s="353">
        <f t="shared" si="43"/>
        <v>0</v>
      </c>
      <c r="AK124" s="248"/>
      <c r="AL124" s="164"/>
      <c r="AM124" s="164">
        <v>0</v>
      </c>
      <c r="AO124" s="323">
        <f>+AK124+AM124</f>
        <v>0</v>
      </c>
      <c r="AQ124" s="355">
        <f>ROUND(AK124/1000,0)</f>
        <v>0</v>
      </c>
      <c r="AS124" s="321">
        <f>+AE124+Q124+C124</f>
        <v>0</v>
      </c>
      <c r="AU124" s="321">
        <f>+AG124+S124+E124</f>
        <v>0</v>
      </c>
      <c r="AW124" s="353">
        <f t="shared" si="45"/>
        <v>0</v>
      </c>
      <c r="AX124" s="353"/>
      <c r="AY124" s="359">
        <f>+AK124+W124+I124</f>
        <v>0</v>
      </c>
      <c r="AZ124" s="359"/>
      <c r="BA124" s="359">
        <f>+AM124+Y124+K124</f>
        <v>0</v>
      </c>
      <c r="BB124" s="359"/>
      <c r="BC124" s="359">
        <f>+AO124+AA124+M124</f>
        <v>0</v>
      </c>
      <c r="BD124" s="174"/>
      <c r="BE124" s="360">
        <f>ROUND(BC124/1000,0)</f>
        <v>0</v>
      </c>
    </row>
    <row r="125" spans="1:57">
      <c r="A125" s="362" t="s">
        <v>78</v>
      </c>
      <c r="B125" s="363"/>
      <c r="C125" s="364">
        <f>SUM(C121:C124)</f>
        <v>0</v>
      </c>
      <c r="D125" s="363"/>
      <c r="E125" s="365">
        <f>SUM(E121:E124)</f>
        <v>0</v>
      </c>
      <c r="F125" s="363"/>
      <c r="G125" s="366">
        <f t="shared" si="41"/>
        <v>0</v>
      </c>
      <c r="H125" s="363"/>
      <c r="I125" s="367">
        <f>SUM(I120:I124)</f>
        <v>0</v>
      </c>
      <c r="J125" s="370"/>
      <c r="K125" s="367">
        <f>SUM(K120:K124)</f>
        <v>0</v>
      </c>
      <c r="L125" s="370"/>
      <c r="M125" s="367">
        <f>SUM(M120:M124)</f>
        <v>0</v>
      </c>
      <c r="N125" s="363"/>
      <c r="O125" s="365">
        <f>SUM(O120:O124)</f>
        <v>0</v>
      </c>
      <c r="P125" s="363"/>
      <c r="Q125" s="371">
        <f>SUM(Q121:Q124)</f>
        <v>0</v>
      </c>
      <c r="R125" s="363"/>
      <c r="S125" s="371">
        <f>SUM(S121:S124)</f>
        <v>0</v>
      </c>
      <c r="T125" s="363"/>
      <c r="U125" s="366">
        <f t="shared" si="42"/>
        <v>0</v>
      </c>
      <c r="V125" s="363"/>
      <c r="W125" s="367">
        <f>SUM(W120:W124)</f>
        <v>0</v>
      </c>
      <c r="X125" s="370"/>
      <c r="Y125" s="419">
        <f>SUM(Y120:Y124)</f>
        <v>0</v>
      </c>
      <c r="Z125" s="370"/>
      <c r="AA125" s="419">
        <f>SUM(AA120:AA124)</f>
        <v>0</v>
      </c>
      <c r="AB125" s="363"/>
      <c r="AC125" s="365">
        <f>SUM(AC120:AC124)</f>
        <v>0</v>
      </c>
      <c r="AD125" s="363"/>
      <c r="AE125" s="371">
        <f>SUM(AE121:AE124)</f>
        <v>0</v>
      </c>
      <c r="AF125" s="363"/>
      <c r="AG125" s="371">
        <f>SUM(AG121:AG124)</f>
        <v>0</v>
      </c>
      <c r="AH125" s="363"/>
      <c r="AI125" s="366">
        <f t="shared" si="43"/>
        <v>0</v>
      </c>
      <c r="AJ125" s="363"/>
      <c r="AK125" s="419">
        <f>SUM(AK120:AK124)</f>
        <v>0</v>
      </c>
      <c r="AL125" s="363"/>
      <c r="AM125" s="419">
        <f>SUM(AM120:AM124)</f>
        <v>0</v>
      </c>
      <c r="AN125" s="363"/>
      <c r="AO125" s="419">
        <f>SUM(AO120:AO124)</f>
        <v>0</v>
      </c>
      <c r="AP125" s="363"/>
      <c r="AQ125" s="365">
        <f>SUM(AQ120:AQ124)</f>
        <v>0</v>
      </c>
      <c r="AR125" s="363"/>
      <c r="AS125" s="371">
        <f>SUM(AS121:AS124)</f>
        <v>0</v>
      </c>
      <c r="AT125" s="363"/>
      <c r="AU125" s="371">
        <f>SUM(AU121:AU124)</f>
        <v>0</v>
      </c>
      <c r="AV125" s="363"/>
      <c r="AW125" s="366">
        <f t="shared" si="45"/>
        <v>0</v>
      </c>
      <c r="AX125" s="373"/>
      <c r="AY125" s="419">
        <f>SUM(AY120:AY124)</f>
        <v>0</v>
      </c>
      <c r="AZ125" s="370"/>
      <c r="BA125" s="419">
        <f>SUM(BA120:BA124)</f>
        <v>0</v>
      </c>
      <c r="BB125" s="370"/>
      <c r="BC125" s="419">
        <f>SUM(BC120:BC124)</f>
        <v>0</v>
      </c>
      <c r="BD125" s="382"/>
      <c r="BE125" s="374">
        <f>SUM(BE120:BE124)</f>
        <v>0</v>
      </c>
    </row>
    <row r="126" spans="1:57">
      <c r="A126" s="352"/>
      <c r="B126" s="363"/>
      <c r="C126" s="375"/>
      <c r="D126" s="363"/>
      <c r="E126" s="376"/>
      <c r="F126" s="363"/>
      <c r="G126" s="377"/>
      <c r="H126" s="363"/>
      <c r="I126" s="378"/>
      <c r="J126" s="370"/>
      <c r="K126" s="378"/>
      <c r="L126" s="370"/>
      <c r="M126" s="385"/>
      <c r="N126" s="363"/>
      <c r="O126" s="386"/>
      <c r="P126" s="363"/>
      <c r="Q126" s="387"/>
      <c r="R126" s="363"/>
      <c r="S126" s="388"/>
      <c r="T126" s="363"/>
      <c r="U126" s="377"/>
      <c r="V126" s="363"/>
      <c r="W126" s="389"/>
      <c r="X126" s="390"/>
      <c r="Y126" s="390"/>
      <c r="Z126" s="390"/>
      <c r="AA126" s="390"/>
      <c r="AB126" s="363"/>
      <c r="AC126" s="386"/>
      <c r="AD126" s="363"/>
      <c r="AE126" s="388"/>
      <c r="AF126" s="363"/>
      <c r="AG126" s="388"/>
      <c r="AH126" s="363"/>
      <c r="AI126" s="377"/>
      <c r="AJ126" s="363"/>
      <c r="AK126" s="391"/>
      <c r="AL126" s="363"/>
      <c r="AM126" s="392"/>
      <c r="AN126" s="363"/>
      <c r="AO126" s="392"/>
      <c r="AP126" s="363"/>
      <c r="AQ126" s="386"/>
      <c r="AR126" s="363"/>
      <c r="AS126" s="387"/>
      <c r="AT126" s="363"/>
      <c r="AU126" s="388"/>
      <c r="AV126" s="363"/>
      <c r="AW126" s="377"/>
      <c r="AX126" s="393"/>
      <c r="AY126" s="394"/>
      <c r="AZ126" s="394"/>
      <c r="BA126" s="394"/>
      <c r="BB126" s="394"/>
      <c r="BC126" s="394"/>
      <c r="BD126" s="382"/>
      <c r="BE126" s="396"/>
    </row>
    <row r="127" spans="1:57">
      <c r="A127" s="362" t="s">
        <v>173</v>
      </c>
      <c r="B127" s="363"/>
      <c r="C127" s="364">
        <f>+C125+C118</f>
        <v>0</v>
      </c>
      <c r="D127" s="363"/>
      <c r="E127" s="365">
        <f>+E125+E118</f>
        <v>0</v>
      </c>
      <c r="F127" s="363"/>
      <c r="G127" s="366">
        <f t="shared" si="41"/>
        <v>0</v>
      </c>
      <c r="H127" s="363"/>
      <c r="I127" s="367">
        <f>+I125+I118</f>
        <v>0</v>
      </c>
      <c r="J127" s="370"/>
      <c r="K127" s="367">
        <f>+K125+K118</f>
        <v>0</v>
      </c>
      <c r="L127" s="370"/>
      <c r="M127" s="367">
        <f>+M125+M118</f>
        <v>0</v>
      </c>
      <c r="N127" s="363"/>
      <c r="O127" s="365">
        <f>+O125+O118</f>
        <v>0</v>
      </c>
      <c r="P127" s="363"/>
      <c r="Q127" s="371">
        <f>+Q125+Q118</f>
        <v>0</v>
      </c>
      <c r="R127" s="363"/>
      <c r="S127" s="371">
        <f>+S125+S118</f>
        <v>0</v>
      </c>
      <c r="T127" s="363"/>
      <c r="U127" s="366" t="e">
        <f t="shared" si="42"/>
        <v>#DIV/0!</v>
      </c>
      <c r="V127" s="363"/>
      <c r="W127" s="367">
        <f>+W125+W118</f>
        <v>102.65</v>
      </c>
      <c r="X127" s="370"/>
      <c r="Y127" s="419">
        <f>+Y125+Y118</f>
        <v>10.130000000000001</v>
      </c>
      <c r="Z127" s="370"/>
      <c r="AA127" s="419">
        <f>+AA125+AA118</f>
        <v>112.78</v>
      </c>
      <c r="AB127" s="363"/>
      <c r="AC127" s="365">
        <f>+AC125+AC118</f>
        <v>0</v>
      </c>
      <c r="AD127" s="363"/>
      <c r="AE127" s="371">
        <f>+AE125+AE118</f>
        <v>0</v>
      </c>
      <c r="AF127" s="363"/>
      <c r="AG127" s="371">
        <f>+AG125+AG118</f>
        <v>0</v>
      </c>
      <c r="AH127" s="363"/>
      <c r="AI127" s="366">
        <f t="shared" si="43"/>
        <v>0</v>
      </c>
      <c r="AJ127" s="363"/>
      <c r="AK127" s="419">
        <f>+AK125+AK118</f>
        <v>0</v>
      </c>
      <c r="AL127" s="363"/>
      <c r="AM127" s="419">
        <f>+AM125+AM118</f>
        <v>0</v>
      </c>
      <c r="AN127" s="363"/>
      <c r="AO127" s="419">
        <f>+AO125+AO118</f>
        <v>0</v>
      </c>
      <c r="AP127" s="363"/>
      <c r="AQ127" s="365">
        <f>+AQ125+AQ118</f>
        <v>0</v>
      </c>
      <c r="AR127" s="363"/>
      <c r="AS127" s="371">
        <f>+AS125+AS118</f>
        <v>0</v>
      </c>
      <c r="AT127" s="363"/>
      <c r="AU127" s="371">
        <f>+AU125+AU118</f>
        <v>0</v>
      </c>
      <c r="AV127" s="363"/>
      <c r="AW127" s="366" t="e">
        <f t="shared" si="45"/>
        <v>#DIV/0!</v>
      </c>
      <c r="AX127" s="373"/>
      <c r="AY127" s="419">
        <f>+AY125+AY118</f>
        <v>102.65</v>
      </c>
      <c r="AZ127" s="370"/>
      <c r="BA127" s="419">
        <f>+BA125+BA118</f>
        <v>10.130000000000001</v>
      </c>
      <c r="BB127" s="370"/>
      <c r="BC127" s="419">
        <f>+BC125+BC118</f>
        <v>112.78</v>
      </c>
      <c r="BD127" s="370"/>
      <c r="BE127" s="374">
        <f>+BE125+BE118</f>
        <v>0</v>
      </c>
    </row>
    <row r="128" spans="1:57">
      <c r="A128" s="362"/>
      <c r="C128" s="257"/>
      <c r="E128" s="321"/>
      <c r="G128" s="353"/>
      <c r="I128" s="248"/>
      <c r="J128" s="354"/>
      <c r="K128" s="248"/>
      <c r="L128" s="354"/>
      <c r="O128" s="355"/>
      <c r="Q128" s="321"/>
      <c r="S128" s="356"/>
      <c r="U128" s="353"/>
      <c r="W128" s="248"/>
      <c r="X128" s="357"/>
      <c r="Y128" s="357"/>
      <c r="Z128" s="357"/>
      <c r="AA128" s="357"/>
      <c r="AC128" s="355"/>
      <c r="AE128" s="356"/>
      <c r="AG128" s="356"/>
      <c r="AI128" s="353"/>
      <c r="AK128" s="354"/>
      <c r="AM128" s="323"/>
      <c r="AO128" s="323"/>
      <c r="AQ128" s="355"/>
      <c r="AS128" s="321"/>
      <c r="AU128" s="356"/>
      <c r="AW128" s="353"/>
      <c r="AX128" s="353"/>
      <c r="AY128" s="359"/>
      <c r="AZ128" s="359"/>
      <c r="BA128" s="359"/>
      <c r="BB128" s="359"/>
      <c r="BC128" s="359"/>
      <c r="BD128" s="174"/>
      <c r="BE128" s="360"/>
    </row>
    <row r="129" spans="1:57">
      <c r="A129" s="352" t="s">
        <v>174</v>
      </c>
      <c r="C129" s="181"/>
      <c r="E129" s="321"/>
      <c r="G129" s="353"/>
      <c r="J129" s="354"/>
      <c r="K129" s="248"/>
      <c r="L129" s="354"/>
      <c r="O129" s="355"/>
      <c r="Q129" s="321"/>
      <c r="S129" s="356"/>
      <c r="U129" s="353"/>
      <c r="W129" s="248"/>
      <c r="X129" s="357"/>
      <c r="Y129" s="357"/>
      <c r="Z129" s="357"/>
      <c r="AA129" s="357"/>
      <c r="AC129" s="355"/>
      <c r="AE129" s="356"/>
      <c r="AG129" s="356"/>
      <c r="AI129" s="353"/>
      <c r="AK129" s="354"/>
      <c r="AM129" s="323"/>
      <c r="AO129" s="323"/>
      <c r="AQ129" s="355"/>
      <c r="AS129" s="321"/>
      <c r="AU129" s="356"/>
      <c r="AW129" s="353"/>
      <c r="AX129" s="353"/>
      <c r="AY129" s="359"/>
      <c r="AZ129" s="359"/>
      <c r="BA129" s="359"/>
      <c r="BB129" s="359"/>
      <c r="BC129" s="359"/>
      <c r="BD129" s="174"/>
      <c r="BE129" s="360"/>
    </row>
    <row r="130" spans="1:57">
      <c r="A130" s="361" t="s">
        <v>73</v>
      </c>
      <c r="C130" s="257">
        <f>9765000+4650000</f>
        <v>14415000</v>
      </c>
      <c r="E130" s="321">
        <f>ROUND(C130/$BC$1,0)</f>
        <v>465000</v>
      </c>
      <c r="G130" s="353">
        <f t="shared" ref="G130:G135" si="46">IF(I130=0,0,I130/C130)</f>
        <v>0.1074</v>
      </c>
      <c r="I130" s="248">
        <f>-K130+1548171</f>
        <v>1548171</v>
      </c>
      <c r="J130" s="354"/>
      <c r="K130" s="248"/>
      <c r="L130" s="354"/>
      <c r="M130" s="164">
        <f>+I130+K130</f>
        <v>1548171</v>
      </c>
      <c r="O130" s="355">
        <f>ROUND(M130/1000,0)</f>
        <v>1548</v>
      </c>
      <c r="Q130" s="321"/>
      <c r="S130" s="356">
        <f>ROUND(Q130/$BC$2,0)</f>
        <v>0</v>
      </c>
      <c r="U130" s="353">
        <f>IF(W130=0,0,W130/Q130)</f>
        <v>0</v>
      </c>
      <c r="W130" s="248">
        <v>0</v>
      </c>
      <c r="X130" s="357"/>
      <c r="Y130" s="248">
        <v>0</v>
      </c>
      <c r="Z130" s="357"/>
      <c r="AA130" s="357">
        <f>+W130+Y130</f>
        <v>0</v>
      </c>
      <c r="AC130" s="355">
        <f>ROUND(AA130/1000,0)</f>
        <v>0</v>
      </c>
      <c r="AE130" s="356">
        <v>0</v>
      </c>
      <c r="AG130" s="356">
        <f>ROUND(AE130/$BC$3,0)</f>
        <v>0</v>
      </c>
      <c r="AI130" s="353">
        <f>IF(AK130=0,0,AK130/AE130)</f>
        <v>0</v>
      </c>
      <c r="AK130" s="248"/>
      <c r="AL130" s="164"/>
      <c r="AM130" s="164">
        <v>0</v>
      </c>
      <c r="AO130" s="323">
        <f>+AK130+AM130</f>
        <v>0</v>
      </c>
      <c r="AQ130" s="355">
        <f>ROUND(AK130/1000,0)</f>
        <v>0</v>
      </c>
      <c r="AS130" s="321">
        <f>+AE130+Q130+C130</f>
        <v>14415000</v>
      </c>
      <c r="AU130" s="321">
        <f>+AG130+S130+E130</f>
        <v>465000</v>
      </c>
      <c r="AW130" s="353">
        <f>IF(AY130=0,0,AY130/AS130)</f>
        <v>0.1074</v>
      </c>
      <c r="AX130" s="353"/>
      <c r="AY130" s="359">
        <f>+AK130+W130+I130</f>
        <v>1548171</v>
      </c>
      <c r="AZ130" s="359"/>
      <c r="BA130" s="359">
        <f>+AM130+Y130+K130</f>
        <v>0</v>
      </c>
      <c r="BB130" s="359"/>
      <c r="BC130" s="359">
        <f>+AO130+AA130+M130</f>
        <v>1548171</v>
      </c>
      <c r="BD130" s="174"/>
      <c r="BE130" s="360">
        <f>ROUND(BC130/1000,0)</f>
        <v>1548</v>
      </c>
    </row>
    <row r="131" spans="1:57">
      <c r="A131" s="361" t="s">
        <v>88</v>
      </c>
      <c r="C131" s="257">
        <v>14517867</v>
      </c>
      <c r="E131" s="321">
        <f>ROUND(C131/$BC$1,0)</f>
        <v>468318</v>
      </c>
      <c r="G131" s="353">
        <f t="shared" si="46"/>
        <v>1.099999056335204E-3</v>
      </c>
      <c r="I131" s="248">
        <f>-K131+15969.64</f>
        <v>15969.64</v>
      </c>
      <c r="J131" s="354"/>
      <c r="K131" s="248"/>
      <c r="L131" s="354"/>
      <c r="M131" s="164">
        <f>+I131+K131</f>
        <v>15969.64</v>
      </c>
      <c r="O131" s="355">
        <f>ROUND(M131/1000,0)</f>
        <v>16</v>
      </c>
      <c r="Q131" s="321"/>
      <c r="S131" s="356">
        <f>ROUND(Q131/$BC$2,0)</f>
        <v>0</v>
      </c>
      <c r="U131" s="353">
        <f>IF(W131=0,0,W131/Q131)</f>
        <v>0</v>
      </c>
      <c r="W131" s="248">
        <v>0</v>
      </c>
      <c r="X131" s="357"/>
      <c r="Y131" s="248">
        <v>0</v>
      </c>
      <c r="Z131" s="357"/>
      <c r="AA131" s="357">
        <f>+W131+Y131</f>
        <v>0</v>
      </c>
      <c r="AC131" s="355">
        <f>ROUND(AA131/1000,0)</f>
        <v>0</v>
      </c>
      <c r="AE131" s="356">
        <v>0</v>
      </c>
      <c r="AG131" s="356">
        <f>ROUND(AE131/$BC$3,0)</f>
        <v>0</v>
      </c>
      <c r="AI131" s="353">
        <f>IF(AK131=0,0,AK131/AE131)</f>
        <v>0</v>
      </c>
      <c r="AK131" s="248"/>
      <c r="AL131" s="164"/>
      <c r="AM131" s="164">
        <v>0</v>
      </c>
      <c r="AO131" s="323">
        <f>+AK131+AM131</f>
        <v>0</v>
      </c>
      <c r="AQ131" s="355">
        <f>ROUND(AK131/1000,0)</f>
        <v>0</v>
      </c>
      <c r="AS131" s="321">
        <f>+AE131+Q131+C131</f>
        <v>14517867</v>
      </c>
      <c r="AU131" s="321">
        <f>+AG131+S131+E131</f>
        <v>468318</v>
      </c>
      <c r="AW131" s="353">
        <f>IF(AY131=0,0,AY131/AS131)</f>
        <v>1.099999056335204E-3</v>
      </c>
      <c r="AX131" s="353"/>
      <c r="AY131" s="359">
        <f>+AK131+W131+I131</f>
        <v>15969.64</v>
      </c>
      <c r="AZ131" s="359"/>
      <c r="BA131" s="359">
        <f>+AM131+Y131+K131</f>
        <v>0</v>
      </c>
      <c r="BB131" s="359"/>
      <c r="BC131" s="359">
        <f>+AO131+AA131+M131</f>
        <v>15969.64</v>
      </c>
      <c r="BD131" s="174"/>
      <c r="BE131" s="360">
        <f>ROUND(BC131/1000,0)</f>
        <v>16</v>
      </c>
    </row>
    <row r="132" spans="1:57">
      <c r="A132" s="361" t="s">
        <v>140</v>
      </c>
      <c r="B132" s="163" t="s">
        <v>21</v>
      </c>
      <c r="C132" s="257"/>
      <c r="E132" s="321">
        <f>ROUND(C132/$BC$1,0)</f>
        <v>0</v>
      </c>
      <c r="G132" s="353">
        <f t="shared" si="46"/>
        <v>0</v>
      </c>
      <c r="I132" s="248">
        <f>-K132</f>
        <v>0</v>
      </c>
      <c r="J132" s="354"/>
      <c r="K132" s="248"/>
      <c r="L132" s="354"/>
      <c r="M132" s="164">
        <f>+I132+K132</f>
        <v>0</v>
      </c>
      <c r="O132" s="355">
        <f>ROUND(M132/1000,0)</f>
        <v>0</v>
      </c>
      <c r="Q132" s="321"/>
      <c r="S132" s="356">
        <f>ROUND(Q132/$BC$2,0)</f>
        <v>0</v>
      </c>
      <c r="U132" s="353">
        <v>0</v>
      </c>
      <c r="W132" s="248">
        <v>0</v>
      </c>
      <c r="X132" s="357"/>
      <c r="Y132" s="248">
        <v>0</v>
      </c>
      <c r="Z132" s="357"/>
      <c r="AA132" s="357">
        <f>+W132+Y132</f>
        <v>0</v>
      </c>
      <c r="AC132" s="355">
        <f>ROUND(AA132/1000,0)</f>
        <v>0</v>
      </c>
      <c r="AE132" s="356">
        <v>0</v>
      </c>
      <c r="AG132" s="356">
        <f>ROUND(AE132/$BC$3,0)</f>
        <v>0</v>
      </c>
      <c r="AI132" s="353">
        <v>0</v>
      </c>
      <c r="AK132" s="248"/>
      <c r="AL132" s="164"/>
      <c r="AM132" s="164">
        <v>0</v>
      </c>
      <c r="AO132" s="323">
        <f>+AK132+AM132</f>
        <v>0</v>
      </c>
      <c r="AQ132" s="355">
        <f>ROUND(AK132/1000,0)</f>
        <v>0</v>
      </c>
      <c r="AS132" s="321">
        <f>+AE132+Q132+C132</f>
        <v>0</v>
      </c>
      <c r="AU132" s="321">
        <f>+AG132+S132+E132</f>
        <v>0</v>
      </c>
      <c r="AW132" s="353">
        <f>IF(AY132=0,0,AY132/AS132)</f>
        <v>0</v>
      </c>
      <c r="AX132" s="353"/>
      <c r="AY132" s="359">
        <f>+AK132+W132+I132</f>
        <v>0</v>
      </c>
      <c r="AZ132" s="359"/>
      <c r="BA132" s="359">
        <f>+AM132+Y132+K132</f>
        <v>0</v>
      </c>
      <c r="BB132" s="359"/>
      <c r="BC132" s="359">
        <f>+AO132+AA132+M132</f>
        <v>0</v>
      </c>
      <c r="BD132" s="174"/>
      <c r="BE132" s="360">
        <f>ROUND(BC132/1000,0)</f>
        <v>0</v>
      </c>
    </row>
    <row r="133" spans="1:57">
      <c r="A133" s="361" t="s">
        <v>141</v>
      </c>
      <c r="C133" s="257"/>
      <c r="E133" s="321">
        <f>ROUND(C133/$BC$1,0)</f>
        <v>0</v>
      </c>
      <c r="G133" s="353">
        <f t="shared" si="46"/>
        <v>0</v>
      </c>
      <c r="I133" s="248">
        <f>-K133</f>
        <v>0</v>
      </c>
      <c r="J133" s="354"/>
      <c r="K133" s="248"/>
      <c r="L133" s="354"/>
      <c r="M133" s="164">
        <f>+I133+K133</f>
        <v>0</v>
      </c>
      <c r="O133" s="355">
        <f>ROUND(M133/1000,0)</f>
        <v>0</v>
      </c>
      <c r="Q133" s="321"/>
      <c r="S133" s="356">
        <f>ROUND(Q133/$BC$2,0)</f>
        <v>0</v>
      </c>
      <c r="U133" s="353">
        <v>0</v>
      </c>
      <c r="W133" s="248">
        <v>0</v>
      </c>
      <c r="X133" s="357"/>
      <c r="Y133" s="248"/>
      <c r="Z133" s="357"/>
      <c r="AA133" s="357"/>
      <c r="AC133" s="355"/>
      <c r="AE133" s="356"/>
      <c r="AG133" s="356"/>
      <c r="AI133" s="353"/>
      <c r="AK133" s="248"/>
      <c r="AL133" s="164"/>
      <c r="AM133" s="164"/>
      <c r="AO133" s="323"/>
      <c r="AQ133" s="355"/>
      <c r="AS133" s="321"/>
      <c r="AU133" s="321"/>
      <c r="AW133" s="353"/>
      <c r="AX133" s="353"/>
      <c r="AY133" s="359">
        <f>+AK133+W133+I133</f>
        <v>0</v>
      </c>
      <c r="AZ133" s="359"/>
      <c r="BA133" s="359">
        <f>+AM133+Y133+K133</f>
        <v>0</v>
      </c>
      <c r="BB133" s="359"/>
      <c r="BC133" s="359">
        <f>+AO133+AA133+M133</f>
        <v>0</v>
      </c>
      <c r="BD133" s="174"/>
      <c r="BE133" s="360">
        <f>ROUND(BC133/1000,0)</f>
        <v>0</v>
      </c>
    </row>
    <row r="134" spans="1:57">
      <c r="A134" s="361" t="s">
        <v>91</v>
      </c>
      <c r="B134" s="163" t="s">
        <v>21</v>
      </c>
      <c r="C134" s="257"/>
      <c r="E134" s="321">
        <f>ROUND(C134/$BC$1,0)</f>
        <v>0</v>
      </c>
      <c r="G134" s="353">
        <f t="shared" si="46"/>
        <v>0</v>
      </c>
      <c r="I134" s="248">
        <f>-K134</f>
        <v>0</v>
      </c>
      <c r="J134" s="354"/>
      <c r="K134" s="248"/>
      <c r="L134" s="354"/>
      <c r="M134" s="164">
        <f>+I134+K134</f>
        <v>0</v>
      </c>
      <c r="O134" s="355">
        <f>ROUND(M134/1000,0)</f>
        <v>0</v>
      </c>
      <c r="Q134" s="321"/>
      <c r="S134" s="356">
        <f>ROUND(Q134/$BC$2,0)</f>
        <v>0</v>
      </c>
      <c r="U134" s="353">
        <f>IF(W134=0,0,W134/Q134)</f>
        <v>0</v>
      </c>
      <c r="W134" s="248">
        <v>0</v>
      </c>
      <c r="X134" s="357"/>
      <c r="Y134" s="248">
        <v>0</v>
      </c>
      <c r="Z134" s="357"/>
      <c r="AA134" s="357">
        <f>+W134+Y134</f>
        <v>0</v>
      </c>
      <c r="AC134" s="355">
        <f>ROUND(AA134/1000,0)</f>
        <v>0</v>
      </c>
      <c r="AE134" s="356">
        <v>0</v>
      </c>
      <c r="AG134" s="356">
        <f>ROUND(AE134/$BC$3,0)</f>
        <v>0</v>
      </c>
      <c r="AI134" s="353">
        <f>IF(AK134=0,0,AK134/AE134)</f>
        <v>0</v>
      </c>
      <c r="AK134" s="248"/>
      <c r="AL134" s="164"/>
      <c r="AM134" s="164">
        <v>0</v>
      </c>
      <c r="AO134" s="323">
        <f>+AK134+AM134</f>
        <v>0</v>
      </c>
      <c r="AQ134" s="355">
        <f>ROUND(AK134/1000,0)</f>
        <v>0</v>
      </c>
      <c r="AS134" s="321">
        <f>+AE134+Q134+C134</f>
        <v>0</v>
      </c>
      <c r="AU134" s="321">
        <f>+AG134+S134+E134</f>
        <v>0</v>
      </c>
      <c r="AW134" s="353">
        <f>IF(AY134=0,0,AY134/AS134)</f>
        <v>0</v>
      </c>
      <c r="AX134" s="353"/>
      <c r="AY134" s="359">
        <f>+AK134+W134+I134</f>
        <v>0</v>
      </c>
      <c r="AZ134" s="359"/>
      <c r="BA134" s="359">
        <f>+AM134+Y134+K134</f>
        <v>0</v>
      </c>
      <c r="BB134" s="359"/>
      <c r="BC134" s="359">
        <f>+AO134+AA134+M134</f>
        <v>0</v>
      </c>
      <c r="BD134" s="174"/>
      <c r="BE134" s="360">
        <f>ROUND(BC134/1000,0)</f>
        <v>0</v>
      </c>
    </row>
    <row r="135" spans="1:57">
      <c r="A135" s="362" t="s">
        <v>175</v>
      </c>
      <c r="B135" s="363"/>
      <c r="C135" s="364">
        <f>SUM(C131:C134)</f>
        <v>14517867</v>
      </c>
      <c r="D135" s="363"/>
      <c r="E135" s="365">
        <f>SUM(E131:E134)</f>
        <v>468318</v>
      </c>
      <c r="F135" s="363"/>
      <c r="G135" s="366">
        <f t="shared" si="46"/>
        <v>0.10773901152283596</v>
      </c>
      <c r="H135" s="363"/>
      <c r="I135" s="367">
        <f>SUM(I130:I134)</f>
        <v>1564140.64</v>
      </c>
      <c r="J135" s="370"/>
      <c r="K135" s="367">
        <f>SUM(K130:K134)</f>
        <v>0</v>
      </c>
      <c r="L135" s="370"/>
      <c r="M135" s="367">
        <f>SUM(M130:M134)</f>
        <v>1564140.64</v>
      </c>
      <c r="N135" s="363"/>
      <c r="O135" s="365">
        <f>SUM(O130:O134)</f>
        <v>1564</v>
      </c>
      <c r="P135" s="363"/>
      <c r="Q135" s="371">
        <f>SUM(Q130:Q134)</f>
        <v>0</v>
      </c>
      <c r="R135" s="363"/>
      <c r="S135" s="371">
        <f>SUM(S130:S134)</f>
        <v>0</v>
      </c>
      <c r="T135" s="363"/>
      <c r="U135" s="366">
        <f>IF(W135=0,0,W135/Q135)</f>
        <v>0</v>
      </c>
      <c r="V135" s="363"/>
      <c r="W135" s="367">
        <f>SUM(W130:W134)</f>
        <v>0</v>
      </c>
      <c r="X135" s="370"/>
      <c r="Y135" s="419">
        <f>SUM(Y130:Y134)</f>
        <v>0</v>
      </c>
      <c r="Z135" s="370"/>
      <c r="AA135" s="419">
        <f>SUM(AA130:AA134)</f>
        <v>0</v>
      </c>
      <c r="AB135" s="363"/>
      <c r="AC135" s="365">
        <f>SUM(AC130:AC134)</f>
        <v>0</v>
      </c>
      <c r="AD135" s="363"/>
      <c r="AE135" s="371">
        <f>SUM(AE131:AE134)</f>
        <v>0</v>
      </c>
      <c r="AF135" s="363"/>
      <c r="AG135" s="371">
        <f>SUM(AG131:AG134)</f>
        <v>0</v>
      </c>
      <c r="AH135" s="363"/>
      <c r="AI135" s="366">
        <f>IF(AK135=0,0,AK135/AE135)</f>
        <v>0</v>
      </c>
      <c r="AJ135" s="363"/>
      <c r="AK135" s="419">
        <f>SUM(AK130:AK134)</f>
        <v>0</v>
      </c>
      <c r="AL135" s="363"/>
      <c r="AM135" s="419">
        <f>SUM(AM130:AM134)</f>
        <v>0</v>
      </c>
      <c r="AN135" s="363"/>
      <c r="AO135" s="419">
        <f>SUM(AO130:AO134)</f>
        <v>0</v>
      </c>
      <c r="AP135" s="363"/>
      <c r="AQ135" s="365">
        <f>SUM(AQ130:AQ134)</f>
        <v>0</v>
      </c>
      <c r="AR135" s="363"/>
      <c r="AS135" s="371">
        <f>SUM(AS131:AS134)</f>
        <v>14517867</v>
      </c>
      <c r="AT135" s="363"/>
      <c r="AU135" s="371">
        <f>SUM(AU131:AU134)</f>
        <v>468318</v>
      </c>
      <c r="AV135" s="363"/>
      <c r="AW135" s="366">
        <f>IF(AY135=0,0,AY135/AS135)</f>
        <v>0.10773901152283596</v>
      </c>
      <c r="AX135" s="373"/>
      <c r="AY135" s="419">
        <f>SUM(AY130:AY134)</f>
        <v>1564140.64</v>
      </c>
      <c r="AZ135" s="370"/>
      <c r="BA135" s="419">
        <f>SUM(BA130:BA134)</f>
        <v>0</v>
      </c>
      <c r="BB135" s="370"/>
      <c r="BC135" s="419">
        <f>SUM(BC130:BC134)</f>
        <v>1564140.64</v>
      </c>
      <c r="BD135" s="382"/>
      <c r="BE135" s="374">
        <f>SUM(BE130:BE134)</f>
        <v>1564</v>
      </c>
    </row>
    <row r="136" spans="1:57">
      <c r="A136" s="361"/>
      <c r="C136" s="257"/>
      <c r="E136" s="321"/>
      <c r="G136" s="353"/>
      <c r="I136" s="248"/>
      <c r="J136" s="354"/>
      <c r="K136" s="248"/>
      <c r="L136" s="354"/>
      <c r="O136" s="355"/>
      <c r="Q136" s="321"/>
      <c r="S136" s="356"/>
      <c r="U136" s="353"/>
      <c r="W136" s="248"/>
      <c r="X136" s="357"/>
      <c r="Y136" s="357"/>
      <c r="Z136" s="357"/>
      <c r="AA136" s="357"/>
      <c r="AC136" s="355"/>
      <c r="AE136" s="356"/>
      <c r="AG136" s="356"/>
      <c r="AI136" s="353"/>
      <c r="AK136" s="354"/>
      <c r="AM136" s="323"/>
      <c r="AO136" s="323"/>
      <c r="AQ136" s="355"/>
      <c r="AS136" s="321"/>
      <c r="AU136" s="356"/>
      <c r="AW136" s="353"/>
      <c r="AX136" s="353"/>
      <c r="AY136" s="359"/>
      <c r="AZ136" s="359"/>
      <c r="BA136" s="359"/>
      <c r="BB136" s="359"/>
      <c r="BC136" s="359"/>
      <c r="BD136" s="174"/>
      <c r="BE136" s="360"/>
    </row>
    <row r="137" spans="1:57">
      <c r="A137" s="352" t="s">
        <v>105</v>
      </c>
      <c r="C137" s="257"/>
      <c r="E137" s="321"/>
      <c r="G137" s="353"/>
      <c r="I137" s="248"/>
      <c r="J137" s="354"/>
      <c r="K137" s="248"/>
      <c r="L137" s="354"/>
      <c r="O137" s="355"/>
      <c r="Q137" s="321"/>
      <c r="S137" s="356"/>
      <c r="U137" s="353"/>
      <c r="W137" s="248"/>
      <c r="X137" s="357"/>
      <c r="Y137" s="357"/>
      <c r="Z137" s="357"/>
      <c r="AA137" s="357"/>
      <c r="AC137" s="355"/>
      <c r="AE137" s="356"/>
      <c r="AG137" s="356"/>
      <c r="AI137" s="353"/>
      <c r="AK137" s="354"/>
      <c r="AM137" s="323"/>
      <c r="AO137" s="323"/>
      <c r="AQ137" s="355"/>
      <c r="AS137" s="321"/>
      <c r="AU137" s="356"/>
      <c r="AW137" s="353"/>
      <c r="AX137" s="353"/>
      <c r="AY137" s="359"/>
      <c r="AZ137" s="359"/>
      <c r="BA137" s="359"/>
      <c r="BB137" s="359"/>
      <c r="BC137" s="359"/>
      <c r="BD137" s="174"/>
      <c r="BE137" s="360"/>
    </row>
    <row r="138" spans="1:57">
      <c r="A138" s="361" t="s">
        <v>73</v>
      </c>
      <c r="C138" s="257"/>
      <c r="E138" s="321">
        <f>ROUND(C138/$BC$1,0)</f>
        <v>0</v>
      </c>
      <c r="G138" s="353">
        <f t="shared" ref="G138:G143" si="47">IF(I138=0,0,I138/C138)</f>
        <v>0</v>
      </c>
      <c r="I138" s="248">
        <f>-K138</f>
        <v>0</v>
      </c>
      <c r="J138" s="354"/>
      <c r="K138" s="248"/>
      <c r="L138" s="354"/>
      <c r="M138" s="164">
        <f>+I138+K138</f>
        <v>0</v>
      </c>
      <c r="O138" s="355">
        <f>ROUND(M138/1000,0)</f>
        <v>0</v>
      </c>
      <c r="Q138" s="321">
        <v>0</v>
      </c>
      <c r="S138" s="356">
        <f>ROUND(Q138/$BC$2,0)</f>
        <v>0</v>
      </c>
      <c r="U138" s="353">
        <f t="shared" ref="U138:U143" si="48">IF(W138=0,0,W138/Q138)</f>
        <v>0</v>
      </c>
      <c r="W138" s="248">
        <v>0</v>
      </c>
      <c r="X138" s="357"/>
      <c r="Y138" s="248">
        <v>0</v>
      </c>
      <c r="Z138" s="357"/>
      <c r="AA138" s="357">
        <f>+W138+Y138</f>
        <v>0</v>
      </c>
      <c r="AC138" s="355">
        <f>ROUND(AA138/1000,0)</f>
        <v>0</v>
      </c>
      <c r="AE138" s="356">
        <v>0</v>
      </c>
      <c r="AG138" s="356">
        <f>ROUND(AE138/$BC$3,0)</f>
        <v>0</v>
      </c>
      <c r="AI138" s="353">
        <f>IF(AK138=0,0,AK138/AE138)</f>
        <v>0</v>
      </c>
      <c r="AK138" s="248"/>
      <c r="AL138" s="164"/>
      <c r="AM138" s="164">
        <v>0</v>
      </c>
      <c r="AO138" s="323">
        <f>+AK138+AM138</f>
        <v>0</v>
      </c>
      <c r="AQ138" s="355">
        <f>ROUND(AK138/1000,0)</f>
        <v>0</v>
      </c>
      <c r="AS138" s="321">
        <f>+AE138+Q138+C138</f>
        <v>0</v>
      </c>
      <c r="AU138" s="321">
        <f>+AG138+S138+E138</f>
        <v>0</v>
      </c>
      <c r="AW138" s="353">
        <f>IF(AY138=0,0,AY138/AS138)</f>
        <v>0</v>
      </c>
      <c r="AX138" s="353"/>
      <c r="AY138" s="359">
        <f>+AK138+W138+I138</f>
        <v>0</v>
      </c>
      <c r="AZ138" s="359"/>
      <c r="BA138" s="359">
        <f>+AM138+Y138+K138</f>
        <v>0</v>
      </c>
      <c r="BB138" s="359"/>
      <c r="BC138" s="359">
        <f>+AO138+AA138+M138</f>
        <v>0</v>
      </c>
      <c r="BD138" s="174"/>
      <c r="BE138" s="360">
        <f>ROUND(BC138/1000,0)</f>
        <v>0</v>
      </c>
    </row>
    <row r="139" spans="1:57">
      <c r="A139" s="361" t="s">
        <v>106</v>
      </c>
      <c r="C139" s="257"/>
      <c r="E139" s="321">
        <f>ROUND(C139/$BC$1,0)</f>
        <v>0</v>
      </c>
      <c r="G139" s="353">
        <f t="shared" si="47"/>
        <v>0</v>
      </c>
      <c r="I139" s="248">
        <f>-K139</f>
        <v>0</v>
      </c>
      <c r="J139" s="354"/>
      <c r="K139" s="248"/>
      <c r="L139" s="354"/>
      <c r="M139" s="164">
        <f>+I139+K139</f>
        <v>0</v>
      </c>
      <c r="O139" s="355">
        <f>ROUND(M139/1000,0)</f>
        <v>0</v>
      </c>
      <c r="Q139" s="321">
        <v>0</v>
      </c>
      <c r="S139" s="356">
        <f>ROUND(Q139/$BC$2,0)</f>
        <v>0</v>
      </c>
      <c r="U139" s="353">
        <f t="shared" si="48"/>
        <v>0</v>
      </c>
      <c r="W139" s="248">
        <v>0</v>
      </c>
      <c r="X139" s="357"/>
      <c r="Y139" s="248">
        <v>0</v>
      </c>
      <c r="Z139" s="357"/>
      <c r="AA139" s="357">
        <f>+W139+Y139</f>
        <v>0</v>
      </c>
      <c r="AC139" s="355">
        <f>ROUND(AA139/1000,0)</f>
        <v>0</v>
      </c>
      <c r="AE139" s="356">
        <v>0</v>
      </c>
      <c r="AG139" s="356">
        <f>ROUND(AE139/$BC$3,0)</f>
        <v>0</v>
      </c>
      <c r="AI139" s="353">
        <f>IF(AK139=0,0,AK139/AE139)</f>
        <v>0</v>
      </c>
      <c r="AK139" s="248"/>
      <c r="AL139" s="164"/>
      <c r="AM139" s="164">
        <v>0</v>
      </c>
      <c r="AO139" s="323">
        <f>+AK139+AM139</f>
        <v>0</v>
      </c>
      <c r="AQ139" s="355">
        <f>ROUND(AK139/1000,0)</f>
        <v>0</v>
      </c>
      <c r="AS139" s="321">
        <f>+AE139+Q139+C139</f>
        <v>0</v>
      </c>
      <c r="AU139" s="321">
        <f>+AG139+S139+E139</f>
        <v>0</v>
      </c>
      <c r="AW139" s="353">
        <f>IF(AY139=0,0,AY139/AS139)</f>
        <v>0</v>
      </c>
      <c r="AX139" s="353"/>
      <c r="AY139" s="359">
        <f>+AK139+W139+I139</f>
        <v>0</v>
      </c>
      <c r="AZ139" s="359"/>
      <c r="BA139" s="359">
        <f>+AM139+Y139+K139</f>
        <v>0</v>
      </c>
      <c r="BB139" s="359"/>
      <c r="BC139" s="359">
        <f>+AO139+AA139+M139</f>
        <v>0</v>
      </c>
      <c r="BD139" s="174"/>
      <c r="BE139" s="360">
        <f>ROUND(BC139/1000,0)</f>
        <v>0</v>
      </c>
    </row>
    <row r="140" spans="1:57">
      <c r="A140" s="361" t="s">
        <v>107</v>
      </c>
      <c r="C140" s="257"/>
      <c r="E140" s="321">
        <f>ROUND(C140/$BC$1,0)</f>
        <v>0</v>
      </c>
      <c r="G140" s="353">
        <f t="shared" si="47"/>
        <v>0</v>
      </c>
      <c r="I140" s="248">
        <f>-K140</f>
        <v>0</v>
      </c>
      <c r="J140" s="354"/>
      <c r="K140" s="248"/>
      <c r="L140" s="354"/>
      <c r="M140" s="164">
        <f>+I140+K140</f>
        <v>0</v>
      </c>
      <c r="O140" s="355">
        <f>ROUND(M140/1000,0)</f>
        <v>0</v>
      </c>
      <c r="Q140" s="321">
        <v>0</v>
      </c>
      <c r="S140" s="356">
        <f>ROUND(Q140/$BC$2,0)</f>
        <v>0</v>
      </c>
      <c r="U140" s="353">
        <f t="shared" si="48"/>
        <v>0</v>
      </c>
      <c r="W140" s="248">
        <v>0</v>
      </c>
      <c r="X140" s="357"/>
      <c r="Y140" s="248">
        <v>0</v>
      </c>
      <c r="Z140" s="357"/>
      <c r="AA140" s="357">
        <f>+W140+Y140</f>
        <v>0</v>
      </c>
      <c r="AC140" s="355">
        <f>ROUND(AA140/1000,0)</f>
        <v>0</v>
      </c>
      <c r="AE140" s="356">
        <v>0</v>
      </c>
      <c r="AG140" s="356">
        <f>ROUND(AE140/$BC$3,0)</f>
        <v>0</v>
      </c>
      <c r="AI140" s="353">
        <f>IF(AK140=0,0,AK140/AE140)</f>
        <v>0</v>
      </c>
      <c r="AK140" s="248"/>
      <c r="AL140" s="164"/>
      <c r="AM140" s="164">
        <v>0</v>
      </c>
      <c r="AO140" s="323">
        <f>+AK140+AM140</f>
        <v>0</v>
      </c>
      <c r="AQ140" s="355">
        <f>ROUND(AK140/1000,0)</f>
        <v>0</v>
      </c>
      <c r="AS140" s="321">
        <f>+AE140+Q140+C140</f>
        <v>0</v>
      </c>
      <c r="AU140" s="321">
        <f>+AG140+S140+E140</f>
        <v>0</v>
      </c>
      <c r="AW140" s="353">
        <f>IF(AY140=0,0,AY140/AS140)</f>
        <v>0</v>
      </c>
      <c r="AX140" s="353"/>
      <c r="AY140" s="359">
        <f>+AK140+W140+I140</f>
        <v>0</v>
      </c>
      <c r="AZ140" s="359"/>
      <c r="BA140" s="359">
        <f>+AM140+Y140+K140</f>
        <v>0</v>
      </c>
      <c r="BB140" s="359"/>
      <c r="BC140" s="359">
        <f>+AO140+AA140+M140</f>
        <v>0</v>
      </c>
      <c r="BD140" s="174"/>
      <c r="BE140" s="360">
        <f>ROUND(BC140/1000,0)</f>
        <v>0</v>
      </c>
    </row>
    <row r="141" spans="1:57">
      <c r="A141" s="361" t="s">
        <v>176</v>
      </c>
      <c r="C141" s="257"/>
      <c r="E141" s="321">
        <f>ROUND(C141/$BC$1,0)</f>
        <v>0</v>
      </c>
      <c r="G141" s="353">
        <f t="shared" si="47"/>
        <v>0</v>
      </c>
      <c r="I141" s="248">
        <f>-K141</f>
        <v>0</v>
      </c>
      <c r="J141" s="354"/>
      <c r="K141" s="248"/>
      <c r="L141" s="354"/>
      <c r="M141" s="164">
        <f>+I141+K141</f>
        <v>0</v>
      </c>
      <c r="O141" s="355">
        <f>ROUND(M141/1000,0)</f>
        <v>0</v>
      </c>
      <c r="Q141" s="321">
        <v>0</v>
      </c>
      <c r="S141" s="356">
        <f>ROUND(Q141/$BC$2,0)</f>
        <v>0</v>
      </c>
      <c r="U141" s="353">
        <f t="shared" si="48"/>
        <v>0</v>
      </c>
      <c r="W141" s="248">
        <v>0</v>
      </c>
      <c r="X141" s="357"/>
      <c r="Y141" s="248"/>
      <c r="Z141" s="357"/>
      <c r="AA141" s="357">
        <f>+W141+Y141</f>
        <v>0</v>
      </c>
      <c r="AC141" s="355"/>
      <c r="AE141" s="356"/>
      <c r="AG141" s="356"/>
      <c r="AI141" s="353"/>
      <c r="AK141" s="248"/>
      <c r="AL141" s="164"/>
      <c r="AM141" s="164"/>
      <c r="AO141" s="323"/>
      <c r="AQ141" s="355"/>
      <c r="AS141" s="321"/>
      <c r="AU141" s="321"/>
      <c r="AW141" s="353"/>
      <c r="AX141" s="353"/>
      <c r="AY141" s="359">
        <f>+AK141+W141+I141</f>
        <v>0</v>
      </c>
      <c r="AZ141" s="359"/>
      <c r="BA141" s="359">
        <f>+AM141+Y141+K141</f>
        <v>0</v>
      </c>
      <c r="BB141" s="359"/>
      <c r="BC141" s="359">
        <f>+AO141+AA141+M141</f>
        <v>0</v>
      </c>
      <c r="BD141" s="174"/>
      <c r="BE141" s="360">
        <f>ROUND(BC141/1000,0)</f>
        <v>0</v>
      </c>
    </row>
    <row r="142" spans="1:57">
      <c r="A142" s="361" t="s">
        <v>108</v>
      </c>
      <c r="C142" s="257"/>
      <c r="E142" s="321">
        <f>ROUND(C142/$BC$1,0)</f>
        <v>0</v>
      </c>
      <c r="G142" s="353">
        <f t="shared" si="47"/>
        <v>0</v>
      </c>
      <c r="I142" s="248">
        <f>-K142</f>
        <v>0</v>
      </c>
      <c r="J142" s="354"/>
      <c r="K142" s="248"/>
      <c r="L142" s="354"/>
      <c r="M142" s="164">
        <f>+I142+K142</f>
        <v>0</v>
      </c>
      <c r="O142" s="355">
        <f>ROUND(M142/1000,0)</f>
        <v>0</v>
      </c>
      <c r="Q142" s="321">
        <v>0</v>
      </c>
      <c r="S142" s="356">
        <f>ROUND(Q142/$BC$2,0)</f>
        <v>0</v>
      </c>
      <c r="U142" s="353">
        <f t="shared" si="48"/>
        <v>0</v>
      </c>
      <c r="W142" s="248">
        <v>0</v>
      </c>
      <c r="X142" s="357"/>
      <c r="Y142" s="248">
        <v>0</v>
      </c>
      <c r="Z142" s="357"/>
      <c r="AA142" s="357">
        <f>+W142+Y142</f>
        <v>0</v>
      </c>
      <c r="AC142" s="355">
        <f>ROUND(AA142/1000,0)</f>
        <v>0</v>
      </c>
      <c r="AE142" s="356">
        <v>0</v>
      </c>
      <c r="AG142" s="356">
        <f>ROUND(AE142/$BC$3,0)</f>
        <v>0</v>
      </c>
      <c r="AI142" s="353">
        <f>IF(AK142=0,0,AK142/AE142)</f>
        <v>0</v>
      </c>
      <c r="AK142" s="248"/>
      <c r="AL142" s="164"/>
      <c r="AM142" s="164">
        <v>0</v>
      </c>
      <c r="AO142" s="323">
        <f>+AK142+AM142</f>
        <v>0</v>
      </c>
      <c r="AQ142" s="355">
        <f>ROUND(AK142/1000,0)</f>
        <v>0</v>
      </c>
      <c r="AS142" s="321">
        <f>+AE142+Q142+C142</f>
        <v>0</v>
      </c>
      <c r="AU142" s="321">
        <f>+AG142+S142+E142</f>
        <v>0</v>
      </c>
      <c r="AW142" s="353">
        <f>IF(AY142=0,0,AY142/AS142)</f>
        <v>0</v>
      </c>
      <c r="AX142" s="353"/>
      <c r="AY142" s="359">
        <f>+AK142+W142+I142</f>
        <v>0</v>
      </c>
      <c r="AZ142" s="359"/>
      <c r="BA142" s="359">
        <f>+AM142+Y142+K142</f>
        <v>0</v>
      </c>
      <c r="BB142" s="359"/>
      <c r="BC142" s="359">
        <f>+AO142+AA142+M142</f>
        <v>0</v>
      </c>
      <c r="BD142" s="174"/>
      <c r="BE142" s="360">
        <f>ROUND(BC142/1000,0)</f>
        <v>0</v>
      </c>
    </row>
    <row r="143" spans="1:57">
      <c r="A143" s="362" t="s">
        <v>109</v>
      </c>
      <c r="C143" s="364">
        <f>SUM(C139:C142)</f>
        <v>0</v>
      </c>
      <c r="D143" s="363"/>
      <c r="E143" s="365">
        <f>SUM(E139:E142)</f>
        <v>0</v>
      </c>
      <c r="F143" s="363"/>
      <c r="G143" s="366">
        <f t="shared" si="47"/>
        <v>0</v>
      </c>
      <c r="H143" s="363"/>
      <c r="I143" s="367">
        <f>SUM(I138:I142)</f>
        <v>0</v>
      </c>
      <c r="J143" s="370"/>
      <c r="K143" s="367">
        <f>SUM(K138:K142)</f>
        <v>0</v>
      </c>
      <c r="L143" s="370"/>
      <c r="M143" s="367">
        <f>SUM(M138:M142)</f>
        <v>0</v>
      </c>
      <c r="N143" s="363"/>
      <c r="O143" s="365">
        <f>SUM(O138:O142)</f>
        <v>0</v>
      </c>
      <c r="P143" s="363"/>
      <c r="Q143" s="371">
        <f>SUM(Q138:Q142)</f>
        <v>0</v>
      </c>
      <c r="R143" s="363"/>
      <c r="S143" s="371">
        <f>SUM(S138:S142)</f>
        <v>0</v>
      </c>
      <c r="T143" s="363"/>
      <c r="U143" s="366">
        <f t="shared" si="48"/>
        <v>0</v>
      </c>
      <c r="V143" s="363"/>
      <c r="W143" s="367">
        <f>SUM(W138:W142)</f>
        <v>0</v>
      </c>
      <c r="X143" s="370"/>
      <c r="Y143" s="419">
        <f>SUM(Y138:Y142)</f>
        <v>0</v>
      </c>
      <c r="Z143" s="370"/>
      <c r="AA143" s="419">
        <f>SUM(AA138:AA142)</f>
        <v>0</v>
      </c>
      <c r="AB143" s="363"/>
      <c r="AC143" s="365">
        <f>SUM(AC138:AC142)</f>
        <v>0</v>
      </c>
      <c r="AD143" s="363"/>
      <c r="AE143" s="371">
        <f>SUM(AE139:AE142)</f>
        <v>0</v>
      </c>
      <c r="AF143" s="363"/>
      <c r="AG143" s="371">
        <f>SUM(AG139:AG142)</f>
        <v>0</v>
      </c>
      <c r="AH143" s="363"/>
      <c r="AI143" s="366">
        <f>IF(AK143=0,0,AK143/AE143)</f>
        <v>0</v>
      </c>
      <c r="AJ143" s="363"/>
      <c r="AK143" s="419">
        <f>SUM(AK138:AK142)</f>
        <v>0</v>
      </c>
      <c r="AL143" s="363"/>
      <c r="AM143" s="419">
        <f>SUM(AM138:AM142)</f>
        <v>0</v>
      </c>
      <c r="AN143" s="363"/>
      <c r="AO143" s="419">
        <f>SUM(AO138:AO142)</f>
        <v>0</v>
      </c>
      <c r="AP143" s="363"/>
      <c r="AQ143" s="365">
        <f>SUM(AQ138:AQ142)</f>
        <v>0</v>
      </c>
      <c r="AR143" s="363"/>
      <c r="AS143" s="371">
        <f>SUM(AS139:AS142)</f>
        <v>0</v>
      </c>
      <c r="AT143" s="363"/>
      <c r="AU143" s="371">
        <f>SUM(AU139:AU142)</f>
        <v>0</v>
      </c>
      <c r="AV143" s="363"/>
      <c r="AW143" s="366">
        <f>IF(AY143=0,0,AY143/AS143)</f>
        <v>0</v>
      </c>
      <c r="AX143" s="373"/>
      <c r="AY143" s="419">
        <f>SUM(AY138:AY142)</f>
        <v>0</v>
      </c>
      <c r="AZ143" s="370"/>
      <c r="BA143" s="419">
        <f>SUM(BA138:BA142)</f>
        <v>0</v>
      </c>
      <c r="BB143" s="370"/>
      <c r="BC143" s="419">
        <f>SUM(BC138:BC142)</f>
        <v>0</v>
      </c>
      <c r="BD143" s="382"/>
      <c r="BE143" s="374">
        <f>SUM(BE138:BE142)</f>
        <v>0</v>
      </c>
    </row>
    <row r="144" spans="1:57">
      <c r="A144" s="361"/>
      <c r="C144" s="257"/>
      <c r="E144" s="321"/>
      <c r="G144" s="353"/>
      <c r="I144" s="248"/>
      <c r="J144" s="354"/>
      <c r="K144" s="248"/>
      <c r="L144" s="354"/>
      <c r="O144" s="355"/>
      <c r="Q144" s="321"/>
      <c r="S144" s="356"/>
      <c r="U144" s="353"/>
      <c r="W144" s="248"/>
      <c r="X144" s="357"/>
      <c r="Y144" s="357"/>
      <c r="Z144" s="357"/>
      <c r="AA144" s="357"/>
      <c r="AC144" s="355"/>
      <c r="AE144" s="356"/>
      <c r="AG144" s="356"/>
      <c r="AI144" s="353"/>
      <c r="AK144" s="354"/>
      <c r="AM144" s="323"/>
      <c r="AO144" s="323"/>
      <c r="AQ144" s="355"/>
      <c r="AS144" s="321"/>
      <c r="AU144" s="356"/>
      <c r="AW144" s="353"/>
      <c r="AX144" s="353"/>
      <c r="AY144" s="359"/>
      <c r="AZ144" s="359"/>
      <c r="BA144" s="359"/>
      <c r="BB144" s="359"/>
      <c r="BC144" s="359"/>
      <c r="BD144" s="174"/>
      <c r="BE144" s="360"/>
    </row>
    <row r="145" spans="1:59">
      <c r="A145" s="362"/>
      <c r="C145" s="257"/>
      <c r="E145" s="321"/>
      <c r="G145" s="353"/>
      <c r="I145" s="248"/>
      <c r="J145" s="354"/>
      <c r="K145" s="248"/>
      <c r="L145" s="354"/>
      <c r="O145" s="355"/>
      <c r="Q145" s="321"/>
      <c r="S145" s="356"/>
      <c r="U145" s="353"/>
      <c r="W145" s="248"/>
      <c r="X145" s="357"/>
      <c r="Y145" s="357"/>
      <c r="Z145" s="357"/>
      <c r="AA145" s="357"/>
      <c r="AC145" s="355"/>
      <c r="AE145" s="356"/>
      <c r="AG145" s="356"/>
      <c r="AI145" s="353"/>
      <c r="AK145" s="354"/>
      <c r="AM145" s="323"/>
      <c r="AO145" s="323"/>
      <c r="AQ145" s="355"/>
      <c r="AS145" s="321"/>
      <c r="AU145" s="356"/>
      <c r="AW145" s="353"/>
      <c r="AX145" s="353"/>
      <c r="AY145" s="359"/>
      <c r="AZ145" s="359"/>
      <c r="BA145" s="359"/>
      <c r="BB145" s="359"/>
      <c r="BC145" s="359"/>
      <c r="BD145" s="174"/>
      <c r="BE145" s="360"/>
    </row>
    <row r="146" spans="1:59">
      <c r="A146" s="340" t="s">
        <v>177</v>
      </c>
      <c r="C146" s="257"/>
      <c r="D146" s="250"/>
      <c r="E146" s="321"/>
      <c r="G146" s="353"/>
      <c r="I146" s="248">
        <v>-15578.07</v>
      </c>
      <c r="J146" s="354"/>
      <c r="K146" s="248"/>
      <c r="L146" s="354"/>
      <c r="M146" s="164">
        <f>+I146+K146</f>
        <v>-15578.07</v>
      </c>
      <c r="O146" s="355">
        <f>ROUND(I146/1000,0)</f>
        <v>-16</v>
      </c>
      <c r="Q146" s="321"/>
      <c r="R146" s="250"/>
      <c r="S146" s="356"/>
      <c r="U146" s="353"/>
      <c r="W146" s="248">
        <v>0</v>
      </c>
      <c r="X146" s="357"/>
      <c r="Y146" s="248">
        <v>0</v>
      </c>
      <c r="Z146" s="357"/>
      <c r="AA146" s="357">
        <f>+W146+Y146</f>
        <v>0</v>
      </c>
      <c r="AC146" s="355">
        <f>ROUND(AA146/1000,0)</f>
        <v>0</v>
      </c>
      <c r="AE146" s="356"/>
      <c r="AF146" s="250"/>
      <c r="AG146" s="356"/>
      <c r="AI146" s="353"/>
      <c r="AK146" s="354"/>
      <c r="AM146" s="323"/>
      <c r="AO146" s="323">
        <f>+AK146+AM146</f>
        <v>0</v>
      </c>
      <c r="AQ146" s="355">
        <f>ROUND(AK146/1000,0)</f>
        <v>0</v>
      </c>
      <c r="AS146" s="321">
        <f>+AE146+Q146+C146</f>
        <v>0</v>
      </c>
      <c r="AU146" s="321">
        <f>+AG146+S146+E146</f>
        <v>0</v>
      </c>
      <c r="AW146" s="353"/>
      <c r="AX146" s="353"/>
      <c r="AY146" s="359">
        <f>+AK146+W146+I146</f>
        <v>-15578.07</v>
      </c>
      <c r="AZ146" s="359"/>
      <c r="BA146" s="359">
        <f>+AM146+Y146+K146</f>
        <v>0</v>
      </c>
      <c r="BB146" s="359"/>
      <c r="BC146" s="359">
        <f>+AO146+AA146+M146</f>
        <v>-15578.07</v>
      </c>
      <c r="BD146" s="174"/>
      <c r="BE146" s="360">
        <f>ROUND(BC146/1000,0)</f>
        <v>-16</v>
      </c>
    </row>
    <row r="147" spans="1:59">
      <c r="A147" s="361" t="s">
        <v>111</v>
      </c>
      <c r="C147" s="257"/>
      <c r="E147" s="321"/>
      <c r="G147" s="353"/>
      <c r="I147" s="248">
        <v>-405000</v>
      </c>
      <c r="J147" s="354"/>
      <c r="K147" s="248">
        <v>0</v>
      </c>
      <c r="L147" s="354"/>
      <c r="M147" s="164">
        <f>+I147+K147</f>
        <v>-405000</v>
      </c>
      <c r="O147" s="355">
        <f>ROUND(I147/1000,0)</f>
        <v>-405</v>
      </c>
      <c r="Q147" s="321"/>
      <c r="S147" s="356"/>
      <c r="U147" s="353"/>
      <c r="W147" s="248">
        <v>7862.78</v>
      </c>
      <c r="X147" s="357"/>
      <c r="Y147" s="248">
        <v>0</v>
      </c>
      <c r="Z147" s="357"/>
      <c r="AA147" s="357">
        <f>+W147+Y147</f>
        <v>7862.78</v>
      </c>
      <c r="AC147" s="355">
        <f>ROUND(AA147/1000,0)</f>
        <v>8</v>
      </c>
      <c r="AE147" s="356"/>
      <c r="AG147" s="356"/>
      <c r="AI147" s="353"/>
      <c r="AK147" s="354">
        <v>-89.63</v>
      </c>
      <c r="AM147" s="323"/>
      <c r="AO147" s="323">
        <f>+AK147+AM147</f>
        <v>-89.63</v>
      </c>
      <c r="AQ147" s="355">
        <f>ROUND(AK147/1000,0)</f>
        <v>0</v>
      </c>
      <c r="AS147" s="321">
        <f>+AE147+Q147+C147</f>
        <v>0</v>
      </c>
      <c r="AU147" s="321">
        <f>+AG147+S147+E147</f>
        <v>0</v>
      </c>
      <c r="AW147" s="353"/>
      <c r="AX147" s="353"/>
      <c r="AY147" s="359">
        <f>+AK147+W147+I147</f>
        <v>-397226.85</v>
      </c>
      <c r="AZ147" s="359"/>
      <c r="BA147" s="359">
        <f>+AM147+Y147+K147</f>
        <v>0</v>
      </c>
      <c r="BB147" s="359"/>
      <c r="BC147" s="359">
        <f>+AO147+AA147+M147</f>
        <v>-397226.85</v>
      </c>
      <c r="BD147" s="174"/>
      <c r="BE147" s="360">
        <f>ROUND(BC147/1000,0)</f>
        <v>-397</v>
      </c>
    </row>
    <row r="148" spans="1:59">
      <c r="A148" s="361" t="s">
        <v>178</v>
      </c>
      <c r="C148" s="257"/>
      <c r="E148" s="321"/>
      <c r="G148" s="353"/>
      <c r="I148" s="248">
        <v>-12500</v>
      </c>
      <c r="J148" s="354"/>
      <c r="K148" s="248"/>
      <c r="L148" s="354"/>
      <c r="M148" s="164">
        <f>+I148+K148</f>
        <v>-12500</v>
      </c>
      <c r="O148" s="355">
        <f>ROUND(I148/1000,0)</f>
        <v>-13</v>
      </c>
      <c r="Q148" s="321"/>
      <c r="S148" s="356"/>
      <c r="U148" s="353"/>
      <c r="W148" s="248">
        <v>0</v>
      </c>
      <c r="X148" s="357"/>
      <c r="Y148" s="248">
        <v>0</v>
      </c>
      <c r="Z148" s="357"/>
      <c r="AA148" s="357">
        <f>+W148+Y148</f>
        <v>0</v>
      </c>
      <c r="AC148" s="355">
        <f>ROUND(AA148/1000,0)</f>
        <v>0</v>
      </c>
      <c r="AE148" s="356"/>
      <c r="AG148" s="356"/>
      <c r="AI148" s="353"/>
      <c r="AK148" s="354"/>
      <c r="AM148" s="323"/>
      <c r="AO148" s="323">
        <f>+AK148+AM148</f>
        <v>0</v>
      </c>
      <c r="AQ148" s="355">
        <f>ROUND(AK148/1000,0)</f>
        <v>0</v>
      </c>
      <c r="AS148" s="321">
        <f>+AE148+Q148+C148</f>
        <v>0</v>
      </c>
      <c r="AU148" s="321">
        <f>+AG148+S148+E148</f>
        <v>0</v>
      </c>
      <c r="AW148" s="353"/>
      <c r="AX148" s="353"/>
      <c r="AY148" s="359">
        <f>+AK148+W148+I148</f>
        <v>-12500</v>
      </c>
      <c r="AZ148" s="359"/>
      <c r="BA148" s="359">
        <f>+AM148+Y148+K148</f>
        <v>0</v>
      </c>
      <c r="BB148" s="359"/>
      <c r="BC148" s="359">
        <f>+AO148+AA148+M148</f>
        <v>-12500</v>
      </c>
      <c r="BD148" s="174"/>
      <c r="BE148" s="360">
        <f>ROUND(BC148/1000,0)</f>
        <v>-13</v>
      </c>
    </row>
    <row r="149" spans="1:59">
      <c r="A149" s="422"/>
      <c r="C149" s="341"/>
      <c r="E149" s="342"/>
      <c r="G149" s="423"/>
      <c r="I149" s="248"/>
      <c r="J149" s="424"/>
      <c r="K149" s="425"/>
      <c r="L149" s="424"/>
      <c r="M149" s="425"/>
      <c r="O149" s="426"/>
      <c r="Q149" s="342"/>
      <c r="S149" s="423"/>
      <c r="U149" s="423"/>
      <c r="W149" s="425"/>
      <c r="X149" s="427"/>
      <c r="Y149" s="427"/>
      <c r="Z149" s="427"/>
      <c r="AA149" s="427"/>
      <c r="AC149" s="423"/>
      <c r="AE149" s="423"/>
      <c r="AG149" s="423"/>
      <c r="AI149" s="423"/>
      <c r="AK149" s="428"/>
      <c r="AM149" s="428"/>
      <c r="AO149" s="428"/>
      <c r="AQ149" s="423"/>
      <c r="AS149" s="423"/>
      <c r="AU149" s="423"/>
      <c r="AW149" s="423"/>
      <c r="AX149" s="423"/>
      <c r="AY149" s="429" t="s">
        <v>48</v>
      </c>
      <c r="AZ149" s="423"/>
      <c r="BA149" s="423"/>
      <c r="BB149" s="423"/>
      <c r="BC149" s="423"/>
      <c r="BD149" s="174"/>
      <c r="BE149" s="430"/>
    </row>
    <row r="150" spans="1:59">
      <c r="A150" s="340" t="s">
        <v>179</v>
      </c>
      <c r="C150" s="431">
        <f>+C48+C94+C110+C125</f>
        <v>52290577</v>
      </c>
      <c r="D150" s="250"/>
      <c r="E150" s="431">
        <f>+E48+E94+E110+E125</f>
        <v>1686792</v>
      </c>
      <c r="F150" s="250"/>
      <c r="G150" s="432">
        <f>IF(I150=0,0,I150/C150)</f>
        <v>0.23115498649020452</v>
      </c>
      <c r="I150" s="433">
        <f>+I148+I147+I146+I143+I135+I127+I110+I102+I94+I48</f>
        <v>12087227.619999999</v>
      </c>
      <c r="J150" s="354"/>
      <c r="K150" s="433">
        <f>+K148+K147+K146+K143+K135+K127+K110+K102+K94+K48</f>
        <v>391470.08000000002</v>
      </c>
      <c r="L150" s="354"/>
      <c r="M150" s="433">
        <f>+M148+M147+M146+M143+M135+M127+M110+M102+M94+M48</f>
        <v>12478697.699999999</v>
      </c>
      <c r="O150" s="434">
        <f>+O148+O147+O146+O143+O135+O127+O110+O102+O94+O48</f>
        <v>12479</v>
      </c>
      <c r="Q150" s="431">
        <f>+Q48+Q94+Q110+Q125</f>
        <v>5181</v>
      </c>
      <c r="R150" s="250"/>
      <c r="S150" s="431">
        <f>+S48+S94+S110+S125</f>
        <v>173</v>
      </c>
      <c r="T150" s="250"/>
      <c r="U150" s="432">
        <f>IF(W150=0,0,W150/Q150)</f>
        <v>1.7860413047674193</v>
      </c>
      <c r="W150" s="433">
        <f>+W148+W147+W146+W143+W135+W127+W110+W102+W94+W48</f>
        <v>9253.48</v>
      </c>
      <c r="X150" s="354"/>
      <c r="Y150" s="433">
        <f>+Y148+Y147+Y146+Y143+Y135+Y127+Y110+Y102+Y94+Y48</f>
        <v>77.669999999999987</v>
      </c>
      <c r="Z150" s="354"/>
      <c r="AA150" s="433">
        <f>+AA148+AA147+AA146+AA143+AA135+AA127+AA110+AA102+AA94+AA48</f>
        <v>9331.1499999999978</v>
      </c>
      <c r="AC150" s="434">
        <f>+AC148+AC147+AC146+AC143+AC135+AC127+AC110+AC102+AC94+AC48</f>
        <v>8</v>
      </c>
      <c r="AE150" s="431">
        <f>+AE48+AE94+AE110+AE125</f>
        <v>0</v>
      </c>
      <c r="AF150" s="250"/>
      <c r="AG150" s="431">
        <f>+AG48+AG94+AG110+AG125</f>
        <v>0</v>
      </c>
      <c r="AH150" s="250"/>
      <c r="AI150" s="432" t="e">
        <f>IF(AK150=0,0,AK150/AE150)</f>
        <v>#DIV/0!</v>
      </c>
      <c r="AK150" s="433">
        <f>+AK148+AK147+AK146+AK143+AK135+AK127+AK110+AK102+AK94+AK48</f>
        <v>-89.63</v>
      </c>
      <c r="AL150" s="354"/>
      <c r="AM150" s="433">
        <f>+AM148+AM147+AM146+AM143+AM135+AM127+AM110+AM102+AM94+AM48</f>
        <v>0</v>
      </c>
      <c r="AN150" s="354"/>
      <c r="AO150" s="433">
        <f>+AO148+AO147+AO146+AO143+AO135+AO127+AO110+AO102+AO94+AO48</f>
        <v>-89.63</v>
      </c>
      <c r="AQ150" s="434">
        <f>+AQ148+AQ147+AQ146+AQ143+AQ135+AQ127+AQ110+AQ102+AQ94+AQ48</f>
        <v>0</v>
      </c>
      <c r="AR150" s="250" t="s">
        <v>48</v>
      </c>
      <c r="AS150" s="431">
        <f>+AS48+AS94+AS110+AS125</f>
        <v>52295758</v>
      </c>
      <c r="AT150" s="250"/>
      <c r="AU150" s="431">
        <f>+AU48+AU94+AU110+AU125</f>
        <v>1686965</v>
      </c>
      <c r="AV150" s="250"/>
      <c r="AW150" s="432">
        <f>IF(AY150=0,0,AY150/AS150)</f>
        <v>0.23130731693381323</v>
      </c>
      <c r="AY150" s="433">
        <f>+AY148+AY147+AY146+AY143+AY135+AY127+AY110+AY102+AY94+AY48</f>
        <v>12096391.469999999</v>
      </c>
      <c r="AZ150" s="354"/>
      <c r="BA150" s="433">
        <f>+BA148+BA147+BA146+BA143+BA135+BA127+BA110+BA102+BA94+BA48</f>
        <v>391547.75</v>
      </c>
      <c r="BB150" s="354"/>
      <c r="BC150" s="433">
        <f>+BC148+BC147+BC146+BC143+BC135+BC127+BC110+BC102+BC94+BC48</f>
        <v>12487939.220000001</v>
      </c>
      <c r="BE150" s="434">
        <f>+BE148+BE147+BE146+BE143+BE135+BE127+BE110+BE102+BE94+BE48</f>
        <v>12488</v>
      </c>
    </row>
    <row r="151" spans="1:59">
      <c r="A151" s="422"/>
      <c r="C151" s="341"/>
      <c r="E151" s="342"/>
      <c r="G151" s="423"/>
      <c r="I151" s="435"/>
      <c r="J151" s="424"/>
      <c r="K151" s="435"/>
      <c r="L151" s="424"/>
      <c r="M151" s="425"/>
      <c r="O151" s="426"/>
      <c r="Q151" s="436"/>
      <c r="S151" s="423"/>
      <c r="U151" s="423"/>
      <c r="W151" s="435"/>
      <c r="X151" s="427"/>
      <c r="Y151" s="427"/>
      <c r="Z151" s="427"/>
      <c r="AA151" s="427"/>
      <c r="AC151" s="423"/>
      <c r="AE151" s="429"/>
      <c r="AG151" s="423"/>
      <c r="AI151" s="423"/>
      <c r="AK151" s="437"/>
      <c r="AM151" s="438"/>
      <c r="AO151" s="438"/>
      <c r="AQ151" s="423"/>
      <c r="AS151" s="423"/>
      <c r="AU151" s="423"/>
      <c r="AW151" s="423"/>
      <c r="AX151" s="423"/>
      <c r="AY151" s="423"/>
      <c r="AZ151" s="423"/>
      <c r="BA151" s="425"/>
      <c r="BB151" s="423"/>
      <c r="BC151" s="435">
        <f>12892939.11-BC150</f>
        <v>404999.88999999873</v>
      </c>
      <c r="BD151" s="174"/>
      <c r="BE151" s="430"/>
    </row>
    <row r="152" spans="1:59">
      <c r="A152" s="422"/>
      <c r="C152" s="257"/>
      <c r="E152" s="184"/>
      <c r="I152" s="190"/>
      <c r="J152" s="322"/>
      <c r="L152" s="322"/>
      <c r="O152" s="439"/>
      <c r="Q152" s="184"/>
      <c r="W152" s="323"/>
      <c r="Y152" s="323"/>
      <c r="Z152" s="323"/>
      <c r="AA152" s="323"/>
      <c r="AE152" s="440"/>
      <c r="AK152" s="192"/>
      <c r="AM152" s="323"/>
      <c r="AO152" s="323"/>
      <c r="AS152" s="165"/>
      <c r="AY152" s="441"/>
      <c r="BA152" s="442"/>
      <c r="BC152" s="442"/>
      <c r="BD152" s="174"/>
    </row>
    <row r="153" spans="1:59">
      <c r="A153" s="340" t="s">
        <v>196</v>
      </c>
      <c r="C153" s="257"/>
      <c r="E153" s="184"/>
      <c r="I153" s="190">
        <f>-SLS_COS!AX34+109545.19</f>
        <v>2445214.65</v>
      </c>
      <c r="J153" s="322"/>
      <c r="L153" s="322"/>
      <c r="M153" s="164">
        <f>+I153+K153</f>
        <v>2445214.65</v>
      </c>
      <c r="O153" s="355">
        <f t="shared" ref="O153:O170" si="49">ROUND(I153/1000,0)</f>
        <v>2445</v>
      </c>
      <c r="Q153" s="184"/>
      <c r="X153" s="323"/>
      <c r="Y153" s="323"/>
      <c r="Z153" s="323"/>
      <c r="AA153" s="323"/>
      <c r="AK153" s="192"/>
      <c r="AM153" s="323"/>
      <c r="AO153" s="323"/>
      <c r="AQ153" s="356"/>
      <c r="AS153" s="440"/>
      <c r="AW153" s="442">
        <f>+AY150</f>
        <v>12096391.469999999</v>
      </c>
      <c r="AY153" s="359">
        <f t="shared" ref="AY153:AY170" si="50">+AK153+W153+I153</f>
        <v>2445214.65</v>
      </c>
      <c r="BA153" s="359">
        <f t="shared" ref="BA153:BA170" si="51">+AM153+Y153+K153</f>
        <v>0</v>
      </c>
      <c r="BC153" s="359">
        <f t="shared" ref="BC153:BC170" si="52">+AO153+AA153+M153</f>
        <v>2445214.65</v>
      </c>
      <c r="BD153" s="174"/>
      <c r="BE153" s="360">
        <f t="shared" ref="BE153:BE170" si="53">ROUND(BC153/1000,0)</f>
        <v>2445</v>
      </c>
      <c r="BF153" s="163">
        <v>12651309.050000001</v>
      </c>
      <c r="BG153" s="174"/>
    </row>
    <row r="154" spans="1:59">
      <c r="A154" s="340" t="s">
        <v>180</v>
      </c>
      <c r="C154" s="257"/>
      <c r="E154" s="248"/>
      <c r="G154" s="250" t="s">
        <v>48</v>
      </c>
      <c r="H154" s="250" t="s">
        <v>48</v>
      </c>
      <c r="I154" s="248">
        <f>954.29+18048.34+31484.99+88521</f>
        <v>139008.62</v>
      </c>
      <c r="J154" s="354" t="s">
        <v>21</v>
      </c>
      <c r="K154" s="248"/>
      <c r="L154" s="354"/>
      <c r="M154" s="164">
        <f t="shared" ref="M154:M170" si="54">+I154+K154</f>
        <v>139008.62</v>
      </c>
      <c r="O154" s="355">
        <f t="shared" si="49"/>
        <v>139</v>
      </c>
      <c r="Q154" s="184"/>
      <c r="U154" s="250" t="s">
        <v>48</v>
      </c>
      <c r="W154" s="248"/>
      <c r="X154" s="357"/>
      <c r="Y154" s="357"/>
      <c r="Z154" s="357"/>
      <c r="AA154" s="357"/>
      <c r="AC154" s="355"/>
      <c r="AI154" s="250" t="s">
        <v>48</v>
      </c>
      <c r="AK154" s="192"/>
      <c r="AM154" s="323"/>
      <c r="AO154" s="323"/>
      <c r="AQ154" s="355"/>
      <c r="AU154" s="442"/>
      <c r="AW154" s="250" t="s">
        <v>48</v>
      </c>
      <c r="AY154" s="359">
        <f t="shared" si="50"/>
        <v>139008.62</v>
      </c>
      <c r="AZ154" s="359"/>
      <c r="BA154" s="359">
        <f t="shared" si="51"/>
        <v>0</v>
      </c>
      <c r="BB154" s="359"/>
      <c r="BC154" s="359">
        <f t="shared" si="52"/>
        <v>139008.62</v>
      </c>
      <c r="BD154" s="174" t="s">
        <v>21</v>
      </c>
      <c r="BE154" s="360">
        <f t="shared" si="53"/>
        <v>139</v>
      </c>
      <c r="BF154" s="441">
        <f>-353850.48+363658.84</f>
        <v>9808.3600000000442</v>
      </c>
      <c r="BG154" s="443"/>
    </row>
    <row r="155" spans="1:59">
      <c r="A155" s="340" t="s">
        <v>41</v>
      </c>
      <c r="C155" s="257"/>
      <c r="E155" s="444"/>
      <c r="G155" s="250" t="s">
        <v>48</v>
      </c>
      <c r="H155" s="250" t="s">
        <v>48</v>
      </c>
      <c r="I155" s="444">
        <f>-SLS_COS!AX29-4038784.78</f>
        <v>-3917821.34</v>
      </c>
      <c r="J155" s="354" t="s">
        <v>21</v>
      </c>
      <c r="K155" s="248"/>
      <c r="L155" s="357"/>
      <c r="M155" s="164">
        <f t="shared" si="54"/>
        <v>-3917821.34</v>
      </c>
      <c r="O155" s="355">
        <f t="shared" si="49"/>
        <v>-3918</v>
      </c>
      <c r="Q155" s="184"/>
      <c r="W155" s="248"/>
      <c r="X155" s="357"/>
      <c r="Y155" s="357"/>
      <c r="Z155" s="357"/>
      <c r="AA155" s="357"/>
      <c r="AC155" s="355"/>
      <c r="AE155" s="356"/>
      <c r="AG155" s="445"/>
      <c r="AK155" s="357"/>
      <c r="AM155" s="323"/>
      <c r="AO155" s="323"/>
      <c r="AQ155" s="355"/>
      <c r="AW155" s="442">
        <f>-AW153</f>
        <v>-12096391.469999999</v>
      </c>
      <c r="AY155" s="359">
        <f t="shared" si="50"/>
        <v>-3917821.34</v>
      </c>
      <c r="AZ155" s="359"/>
      <c r="BA155" s="359">
        <f t="shared" si="51"/>
        <v>0</v>
      </c>
      <c r="BB155" s="359"/>
      <c r="BC155" s="359">
        <f t="shared" si="52"/>
        <v>-3917821.34</v>
      </c>
      <c r="BD155" s="174"/>
      <c r="BE155" s="360">
        <f t="shared" si="53"/>
        <v>-3918</v>
      </c>
      <c r="BF155" s="441">
        <v>-3532.27</v>
      </c>
      <c r="BG155" s="443"/>
    </row>
    <row r="156" spans="1:59">
      <c r="A156" s="340" t="s">
        <v>181</v>
      </c>
      <c r="C156" s="257"/>
      <c r="E156" s="248"/>
      <c r="G156" s="250" t="s">
        <v>48</v>
      </c>
      <c r="H156" s="250"/>
      <c r="I156" s="248">
        <v>181520.2</v>
      </c>
      <c r="J156" s="354" t="s">
        <v>21</v>
      </c>
      <c r="K156" s="248"/>
      <c r="L156" s="354"/>
      <c r="M156" s="164">
        <f t="shared" si="54"/>
        <v>181520.2</v>
      </c>
      <c r="N156" s="250"/>
      <c r="O156" s="355">
        <f t="shared" si="49"/>
        <v>182</v>
      </c>
      <c r="Q156" s="184"/>
      <c r="U156" s="254"/>
      <c r="W156" s="248"/>
      <c r="X156" s="357"/>
      <c r="Y156" s="357"/>
      <c r="Z156" s="357"/>
      <c r="AA156" s="357"/>
      <c r="AC156" s="355"/>
      <c r="AE156" s="356"/>
      <c r="AI156" s="254"/>
      <c r="AK156" s="192"/>
      <c r="AM156" s="323"/>
      <c r="AO156" s="323"/>
      <c r="AQ156" s="355"/>
      <c r="AW156" s="254"/>
      <c r="AY156" s="359">
        <f t="shared" si="50"/>
        <v>181520.2</v>
      </c>
      <c r="AZ156" s="359"/>
      <c r="BA156" s="359">
        <f t="shared" si="51"/>
        <v>0</v>
      </c>
      <c r="BB156" s="359"/>
      <c r="BC156" s="359">
        <f t="shared" si="52"/>
        <v>181520.2</v>
      </c>
      <c r="BD156" s="174" t="s">
        <v>21</v>
      </c>
      <c r="BE156" s="360">
        <f t="shared" si="53"/>
        <v>182</v>
      </c>
      <c r="BF156" s="163">
        <v>-16668.73</v>
      </c>
      <c r="BG156" s="443"/>
    </row>
    <row r="157" spans="1:59">
      <c r="A157" s="340" t="s">
        <v>182</v>
      </c>
      <c r="C157" s="257"/>
      <c r="E157" s="248"/>
      <c r="G157" s="254"/>
      <c r="H157" s="250"/>
      <c r="I157" s="248">
        <v>109003.67</v>
      </c>
      <c r="J157" s="354" t="s">
        <v>21</v>
      </c>
      <c r="K157" s="248"/>
      <c r="L157" s="354"/>
      <c r="M157" s="164">
        <f t="shared" si="54"/>
        <v>109003.67</v>
      </c>
      <c r="N157" s="250"/>
      <c r="O157" s="355">
        <f t="shared" si="49"/>
        <v>109</v>
      </c>
      <c r="Q157" s="184"/>
      <c r="U157" s="254"/>
      <c r="W157" s="248"/>
      <c r="X157" s="357"/>
      <c r="Y157" s="357"/>
      <c r="Z157" s="357"/>
      <c r="AA157" s="357"/>
      <c r="AC157" s="355"/>
      <c r="AE157" s="356"/>
      <c r="AI157" s="254"/>
      <c r="AK157" s="192"/>
      <c r="AM157" s="323"/>
      <c r="AO157" s="323"/>
      <c r="AQ157" s="355"/>
      <c r="AW157" s="254"/>
      <c r="AY157" s="359">
        <f t="shared" si="50"/>
        <v>109003.67</v>
      </c>
      <c r="AZ157" s="359"/>
      <c r="BA157" s="359">
        <f t="shared" si="51"/>
        <v>0</v>
      </c>
      <c r="BB157" s="359"/>
      <c r="BC157" s="359">
        <f t="shared" si="52"/>
        <v>109003.67</v>
      </c>
      <c r="BD157" s="174" t="s">
        <v>21</v>
      </c>
      <c r="BE157" s="360">
        <f t="shared" si="53"/>
        <v>109</v>
      </c>
      <c r="BF157" s="441">
        <v>-12500</v>
      </c>
      <c r="BG157" s="443"/>
    </row>
    <row r="158" spans="1:59">
      <c r="A158" s="340" t="s">
        <v>183</v>
      </c>
      <c r="C158" s="257"/>
      <c r="E158" s="248"/>
      <c r="G158" s="250" t="s">
        <v>48</v>
      </c>
      <c r="H158" s="250"/>
      <c r="I158" s="248">
        <v>44741.17</v>
      </c>
      <c r="J158" s="354" t="s">
        <v>21</v>
      </c>
      <c r="K158" s="248"/>
      <c r="L158" s="354"/>
      <c r="M158" s="164">
        <f t="shared" si="54"/>
        <v>44741.17</v>
      </c>
      <c r="O158" s="355">
        <f t="shared" si="49"/>
        <v>45</v>
      </c>
      <c r="Q158" s="184"/>
      <c r="U158" s="254"/>
      <c r="W158" s="248"/>
      <c r="X158" s="357"/>
      <c r="Y158" s="357"/>
      <c r="Z158" s="357"/>
      <c r="AA158" s="357"/>
      <c r="AC158" s="355"/>
      <c r="AE158" s="356"/>
      <c r="AI158" s="254"/>
      <c r="AK158" s="192"/>
      <c r="AM158" s="323"/>
      <c r="AO158" s="323"/>
      <c r="AQ158" s="355"/>
      <c r="AW158" s="254"/>
      <c r="AY158" s="359">
        <f t="shared" si="50"/>
        <v>44741.17</v>
      </c>
      <c r="AZ158" s="359"/>
      <c r="BA158" s="359">
        <f t="shared" si="51"/>
        <v>0</v>
      </c>
      <c r="BB158" s="359"/>
      <c r="BC158" s="359">
        <f t="shared" si="52"/>
        <v>44741.17</v>
      </c>
      <c r="BD158" s="174" t="s">
        <v>21</v>
      </c>
      <c r="BE158" s="360">
        <f t="shared" si="53"/>
        <v>45</v>
      </c>
      <c r="BF158" s="163">
        <f>SUM(BF153:BF157)</f>
        <v>12628416.41</v>
      </c>
      <c r="BG158" s="443"/>
    </row>
    <row r="159" spans="1:59">
      <c r="A159" s="340" t="s">
        <v>184</v>
      </c>
      <c r="C159" s="257"/>
      <c r="E159" s="444"/>
      <c r="G159" s="250" t="s">
        <v>48</v>
      </c>
      <c r="H159" s="250"/>
      <c r="I159" s="444">
        <f>-SLS_COS!AX26-SLS_COS!AX28-SLS_COS!AX33</f>
        <v>2302230.12</v>
      </c>
      <c r="J159" s="354" t="s">
        <v>21</v>
      </c>
      <c r="K159" s="444"/>
      <c r="L159" s="357"/>
      <c r="M159" s="164">
        <f t="shared" si="54"/>
        <v>2302230.12</v>
      </c>
      <c r="O159" s="355">
        <f t="shared" si="49"/>
        <v>2302</v>
      </c>
      <c r="Q159" s="446"/>
      <c r="S159" s="356"/>
      <c r="U159" s="255"/>
      <c r="V159" s="355"/>
      <c r="W159" s="248"/>
      <c r="X159" s="357"/>
      <c r="Y159" s="357"/>
      <c r="Z159" s="357"/>
      <c r="AA159" s="357"/>
      <c r="AC159" s="355"/>
      <c r="AE159" s="356"/>
      <c r="AG159" s="356"/>
      <c r="AI159" s="255"/>
      <c r="AK159" s="333"/>
      <c r="AM159" s="323"/>
      <c r="AO159" s="323"/>
      <c r="AQ159" s="355"/>
      <c r="AS159" s="356"/>
      <c r="AU159" s="445" t="s">
        <v>48</v>
      </c>
      <c r="AW159" s="255"/>
      <c r="AY159" s="359">
        <f t="shared" si="50"/>
        <v>2302230.12</v>
      </c>
      <c r="AZ159" s="359"/>
      <c r="BA159" s="359">
        <f t="shared" si="51"/>
        <v>0</v>
      </c>
      <c r="BB159" s="359"/>
      <c r="BC159" s="359">
        <f t="shared" si="52"/>
        <v>2302230.12</v>
      </c>
      <c r="BD159" s="174"/>
      <c r="BE159" s="360">
        <f t="shared" si="53"/>
        <v>2302</v>
      </c>
      <c r="BF159" s="163">
        <f>-1277355-499410+1212750+473400</f>
        <v>-90615</v>
      </c>
      <c r="BG159" s="447"/>
    </row>
    <row r="160" spans="1:59">
      <c r="A160" s="340" t="s">
        <v>185</v>
      </c>
      <c r="C160" s="257"/>
      <c r="E160" s="444"/>
      <c r="G160" s="255"/>
      <c r="H160" s="250"/>
      <c r="I160" s="444">
        <f>-[1]SLS_COS!AX26</f>
        <v>0</v>
      </c>
      <c r="J160" s="354"/>
      <c r="K160" s="248"/>
      <c r="L160" s="357"/>
      <c r="M160" s="164">
        <f t="shared" si="54"/>
        <v>0</v>
      </c>
      <c r="O160" s="355">
        <f t="shared" si="49"/>
        <v>0</v>
      </c>
      <c r="Q160" s="446"/>
      <c r="S160" s="356"/>
      <c r="U160" s="255"/>
      <c r="V160" s="355"/>
      <c r="W160" s="248"/>
      <c r="X160" s="357"/>
      <c r="Y160" s="357"/>
      <c r="Z160" s="357"/>
      <c r="AA160" s="357"/>
      <c r="AC160" s="355"/>
      <c r="AE160" s="356"/>
      <c r="AG160" s="356"/>
      <c r="AI160" s="255"/>
      <c r="AK160" s="333"/>
      <c r="AM160" s="323"/>
      <c r="AO160" s="323"/>
      <c r="AQ160" s="355"/>
      <c r="AS160" s="356"/>
      <c r="AU160" s="445"/>
      <c r="AW160" s="255"/>
      <c r="AY160" s="359">
        <f t="shared" si="50"/>
        <v>0</v>
      </c>
      <c r="AZ160" s="359"/>
      <c r="BA160" s="359">
        <f t="shared" si="51"/>
        <v>0</v>
      </c>
      <c r="BB160" s="359"/>
      <c r="BC160" s="359">
        <f t="shared" si="52"/>
        <v>0</v>
      </c>
      <c r="BD160" s="174"/>
      <c r="BE160" s="360">
        <f t="shared" si="53"/>
        <v>0</v>
      </c>
      <c r="BF160" s="172">
        <f>+BF158+BF159</f>
        <v>12537801.41</v>
      </c>
      <c r="BG160" s="443"/>
    </row>
    <row r="161" spans="1:59">
      <c r="A161" s="340" t="s">
        <v>35</v>
      </c>
      <c r="C161" s="257"/>
      <c r="E161" s="444"/>
      <c r="G161" s="250" t="s">
        <v>48</v>
      </c>
      <c r="H161" s="250"/>
      <c r="I161" s="444">
        <f>-SLS_COS!AX25-SLS_COS!AX21</f>
        <v>-4235136.97</v>
      </c>
      <c r="J161" s="354" t="s">
        <v>21</v>
      </c>
      <c r="K161" s="444"/>
      <c r="L161" s="357"/>
      <c r="M161" s="164">
        <f t="shared" si="54"/>
        <v>-4235136.97</v>
      </c>
      <c r="O161" s="355">
        <f t="shared" si="49"/>
        <v>-4235</v>
      </c>
      <c r="Q161" s="446"/>
      <c r="S161" s="356"/>
      <c r="U161" s="255"/>
      <c r="V161" s="355"/>
      <c r="W161" s="248"/>
      <c r="X161" s="357"/>
      <c r="Y161" s="357"/>
      <c r="Z161" s="357"/>
      <c r="AA161" s="357"/>
      <c r="AC161" s="355"/>
      <c r="AE161" s="356"/>
      <c r="AG161" s="356"/>
      <c r="AI161" s="255"/>
      <c r="AK161" s="333"/>
      <c r="AM161" s="323"/>
      <c r="AO161" s="323"/>
      <c r="AQ161" s="355"/>
      <c r="AS161" s="356"/>
      <c r="AU161" s="445"/>
      <c r="AW161" s="255"/>
      <c r="AY161" s="359">
        <f t="shared" si="50"/>
        <v>-4235136.97</v>
      </c>
      <c r="AZ161" s="359"/>
      <c r="BA161" s="359">
        <f t="shared" si="51"/>
        <v>0</v>
      </c>
      <c r="BB161" s="359"/>
      <c r="BC161" s="359">
        <f t="shared" si="52"/>
        <v>-4235136.97</v>
      </c>
      <c r="BD161" s="174"/>
      <c r="BE161" s="360">
        <f t="shared" si="53"/>
        <v>-4235</v>
      </c>
      <c r="BF161" s="448">
        <v>12535274.85</v>
      </c>
      <c r="BG161" s="174"/>
    </row>
    <row r="162" spans="1:59">
      <c r="A162" s="340" t="s">
        <v>186</v>
      </c>
      <c r="C162" s="257"/>
      <c r="E162" s="248"/>
      <c r="G162" s="250" t="s">
        <v>48</v>
      </c>
      <c r="H162" s="250"/>
      <c r="I162" s="248">
        <f>+I146</f>
        <v>-15578.07</v>
      </c>
      <c r="J162" s="354" t="s">
        <v>21</v>
      </c>
      <c r="K162" s="248"/>
      <c r="L162" s="357"/>
      <c r="M162" s="164">
        <f t="shared" si="54"/>
        <v>-15578.07</v>
      </c>
      <c r="O162" s="355">
        <f t="shared" si="49"/>
        <v>-16</v>
      </c>
      <c r="Q162" s="446"/>
      <c r="S162" s="356"/>
      <c r="U162" s="255"/>
      <c r="V162" s="355"/>
      <c r="W162" s="248"/>
      <c r="X162" s="357"/>
      <c r="Y162" s="357"/>
      <c r="Z162" s="357"/>
      <c r="AA162" s="357"/>
      <c r="AC162" s="355"/>
      <c r="AE162" s="356"/>
      <c r="AG162" s="356"/>
      <c r="AI162" s="255"/>
      <c r="AK162" s="333"/>
      <c r="AM162" s="323"/>
      <c r="AO162" s="323"/>
      <c r="AQ162" s="355"/>
      <c r="AS162" s="356"/>
      <c r="AU162" s="445"/>
      <c r="AW162" s="255"/>
      <c r="AY162" s="359">
        <f t="shared" si="50"/>
        <v>-15578.07</v>
      </c>
      <c r="AZ162" s="359"/>
      <c r="BA162" s="359">
        <f t="shared" si="51"/>
        <v>0</v>
      </c>
      <c r="BB162" s="359"/>
      <c r="BC162" s="359">
        <f t="shared" si="52"/>
        <v>-15578.07</v>
      </c>
      <c r="BD162" s="174"/>
      <c r="BE162" s="360">
        <f t="shared" si="53"/>
        <v>-16</v>
      </c>
      <c r="BF162" s="448">
        <f>+BF161-BF160</f>
        <v>-2526.5600000005215</v>
      </c>
      <c r="BG162" s="447"/>
    </row>
    <row r="163" spans="1:59">
      <c r="A163" s="361" t="s">
        <v>187</v>
      </c>
      <c r="C163" s="257"/>
      <c r="E163" s="248"/>
      <c r="G163" s="250" t="s">
        <v>48</v>
      </c>
      <c r="H163" s="250"/>
      <c r="I163" s="248">
        <f>6945.66+37793.48+63345.87</f>
        <v>108085.01000000001</v>
      </c>
      <c r="J163" s="354" t="s">
        <v>21</v>
      </c>
      <c r="K163" s="248"/>
      <c r="L163" s="354"/>
      <c r="M163" s="164">
        <f t="shared" si="54"/>
        <v>108085.01000000001</v>
      </c>
      <c r="O163" s="355">
        <f t="shared" si="49"/>
        <v>108</v>
      </c>
      <c r="Q163" s="446"/>
      <c r="S163" s="356"/>
      <c r="V163" s="355"/>
      <c r="W163" s="248"/>
      <c r="X163" s="357"/>
      <c r="Y163" s="357"/>
      <c r="Z163" s="357"/>
      <c r="AA163" s="357"/>
      <c r="AC163" s="355"/>
      <c r="AE163" s="356"/>
      <c r="AG163" s="356"/>
      <c r="AK163" s="449"/>
      <c r="AM163" s="323"/>
      <c r="AO163" s="323"/>
      <c r="AQ163" s="355"/>
      <c r="AS163" s="356"/>
      <c r="AU163" s="445"/>
      <c r="AY163" s="359">
        <f t="shared" si="50"/>
        <v>108085.01000000001</v>
      </c>
      <c r="AZ163" s="359"/>
      <c r="BA163" s="359">
        <f t="shared" si="51"/>
        <v>0</v>
      </c>
      <c r="BB163" s="359"/>
      <c r="BC163" s="359">
        <f t="shared" si="52"/>
        <v>108085.01000000001</v>
      </c>
      <c r="BD163" s="174"/>
      <c r="BE163" s="360">
        <f t="shared" si="53"/>
        <v>108</v>
      </c>
      <c r="BG163" s="174"/>
    </row>
    <row r="164" spans="1:59">
      <c r="A164" s="361" t="s">
        <v>188</v>
      </c>
      <c r="C164" s="257"/>
      <c r="E164" s="248"/>
      <c r="G164" s="250" t="s">
        <v>48</v>
      </c>
      <c r="H164" s="250"/>
      <c r="I164" s="248">
        <f>42011.34+30212.77</f>
        <v>72224.11</v>
      </c>
      <c r="J164" s="354" t="s">
        <v>21</v>
      </c>
      <c r="K164" s="248"/>
      <c r="L164" s="354"/>
      <c r="M164" s="164">
        <f t="shared" si="54"/>
        <v>72224.11</v>
      </c>
      <c r="O164" s="355">
        <f t="shared" si="49"/>
        <v>72</v>
      </c>
      <c r="Q164" s="446"/>
      <c r="S164" s="356"/>
      <c r="V164" s="355"/>
      <c r="W164" s="248"/>
      <c r="X164" s="357"/>
      <c r="Y164" s="357"/>
      <c r="Z164" s="357"/>
      <c r="AA164" s="357"/>
      <c r="AC164" s="355"/>
      <c r="AE164" s="356"/>
      <c r="AG164" s="356"/>
      <c r="AK164" s="449"/>
      <c r="AM164" s="323"/>
      <c r="AO164" s="323"/>
      <c r="AQ164" s="355"/>
      <c r="AS164" s="356"/>
      <c r="AU164" s="445"/>
      <c r="AY164" s="359">
        <f t="shared" si="50"/>
        <v>72224.11</v>
      </c>
      <c r="AZ164" s="359"/>
      <c r="BA164" s="359">
        <f t="shared" si="51"/>
        <v>0</v>
      </c>
      <c r="BB164" s="359"/>
      <c r="BC164" s="359">
        <f t="shared" si="52"/>
        <v>72224.11</v>
      </c>
      <c r="BD164" s="174"/>
      <c r="BE164" s="360">
        <f t="shared" si="53"/>
        <v>72</v>
      </c>
      <c r="BF164" s="448"/>
      <c r="BG164" s="174"/>
    </row>
    <row r="165" spans="1:59">
      <c r="A165" s="361" t="s">
        <v>189</v>
      </c>
      <c r="C165" s="257"/>
      <c r="E165" s="248"/>
      <c r="G165" s="250" t="s">
        <v>48</v>
      </c>
      <c r="H165" s="250"/>
      <c r="I165" s="248">
        <v>7472.9</v>
      </c>
      <c r="J165" s="354" t="s">
        <v>21</v>
      </c>
      <c r="K165" s="248"/>
      <c r="L165" s="354"/>
      <c r="M165" s="164">
        <f t="shared" si="54"/>
        <v>7472.9</v>
      </c>
      <c r="O165" s="355">
        <f t="shared" si="49"/>
        <v>7</v>
      </c>
      <c r="Q165" s="446"/>
      <c r="S165" s="356"/>
      <c r="V165" s="355"/>
      <c r="W165" s="248"/>
      <c r="X165" s="357"/>
      <c r="Y165" s="357"/>
      <c r="Z165" s="357"/>
      <c r="AA165" s="357"/>
      <c r="AC165" s="355"/>
      <c r="AE165" s="356"/>
      <c r="AG165" s="356"/>
      <c r="AK165" s="449"/>
      <c r="AM165" s="323"/>
      <c r="AO165" s="323"/>
      <c r="AQ165" s="355"/>
      <c r="AS165" s="356"/>
      <c r="AU165" s="445"/>
      <c r="AY165" s="359">
        <f t="shared" si="50"/>
        <v>7472.9</v>
      </c>
      <c r="AZ165" s="359"/>
      <c r="BA165" s="359">
        <f t="shared" si="51"/>
        <v>0</v>
      </c>
      <c r="BB165" s="359"/>
      <c r="BC165" s="359">
        <f t="shared" si="52"/>
        <v>7472.9</v>
      </c>
      <c r="BD165" s="174" t="s">
        <v>21</v>
      </c>
      <c r="BE165" s="360">
        <f t="shared" si="53"/>
        <v>7</v>
      </c>
      <c r="BF165" s="441"/>
      <c r="BG165" s="174"/>
    </row>
    <row r="166" spans="1:59">
      <c r="A166" s="361" t="s">
        <v>190</v>
      </c>
      <c r="C166" s="257"/>
      <c r="E166" s="248"/>
      <c r="G166" s="250" t="s">
        <v>48</v>
      </c>
      <c r="H166" s="250"/>
      <c r="I166" s="248">
        <v>10479.26</v>
      </c>
      <c r="J166" s="354" t="s">
        <v>21</v>
      </c>
      <c r="K166" s="248"/>
      <c r="L166" s="354"/>
      <c r="M166" s="164">
        <f t="shared" si="54"/>
        <v>10479.26</v>
      </c>
      <c r="O166" s="355">
        <f t="shared" si="49"/>
        <v>10</v>
      </c>
      <c r="Q166" s="446"/>
      <c r="S166" s="356"/>
      <c r="V166" s="355"/>
      <c r="W166" s="248"/>
      <c r="X166" s="357"/>
      <c r="Y166" s="357"/>
      <c r="Z166" s="357"/>
      <c r="AA166" s="357"/>
      <c r="AC166" s="355"/>
      <c r="AE166" s="356"/>
      <c r="AG166" s="356"/>
      <c r="AK166" s="449"/>
      <c r="AM166" s="323"/>
      <c r="AO166" s="323"/>
      <c r="AQ166" s="355"/>
      <c r="AS166" s="356"/>
      <c r="AU166" s="445"/>
      <c r="AY166" s="359">
        <f t="shared" si="50"/>
        <v>10479.26</v>
      </c>
      <c r="AZ166" s="359"/>
      <c r="BA166" s="359">
        <f t="shared" si="51"/>
        <v>0</v>
      </c>
      <c r="BB166" s="359"/>
      <c r="BC166" s="359">
        <f t="shared" si="52"/>
        <v>10479.26</v>
      </c>
      <c r="BD166" s="174" t="s">
        <v>21</v>
      </c>
      <c r="BE166" s="360">
        <f t="shared" si="53"/>
        <v>10</v>
      </c>
      <c r="BF166" s="441"/>
      <c r="BG166" s="174"/>
    </row>
    <row r="167" spans="1:59">
      <c r="A167" s="340" t="s">
        <v>191</v>
      </c>
      <c r="C167" s="257"/>
      <c r="E167" s="248"/>
      <c r="G167" s="250" t="s">
        <v>48</v>
      </c>
      <c r="H167" s="250"/>
      <c r="I167" s="248">
        <v>4044</v>
      </c>
      <c r="J167" s="354" t="s">
        <v>21</v>
      </c>
      <c r="K167" s="248"/>
      <c r="L167" s="354"/>
      <c r="M167" s="164">
        <f t="shared" si="54"/>
        <v>4044</v>
      </c>
      <c r="O167" s="355">
        <f t="shared" si="49"/>
        <v>4</v>
      </c>
      <c r="Q167" s="446"/>
      <c r="S167" s="356"/>
      <c r="V167" s="355"/>
      <c r="W167" s="248"/>
      <c r="X167" s="357"/>
      <c r="Y167" s="357"/>
      <c r="Z167" s="357"/>
      <c r="AA167" s="357"/>
      <c r="AC167" s="355"/>
      <c r="AE167" s="356"/>
      <c r="AG167" s="356"/>
      <c r="AK167" s="449"/>
      <c r="AM167" s="323"/>
      <c r="AO167" s="323"/>
      <c r="AQ167" s="355"/>
      <c r="AS167" s="356"/>
      <c r="AU167" s="445"/>
      <c r="AY167" s="359">
        <f t="shared" si="50"/>
        <v>4044</v>
      </c>
      <c r="AZ167" s="359"/>
      <c r="BA167" s="359">
        <f t="shared" si="51"/>
        <v>0</v>
      </c>
      <c r="BB167" s="359"/>
      <c r="BC167" s="359">
        <f t="shared" si="52"/>
        <v>4044</v>
      </c>
      <c r="BD167" s="174" t="s">
        <v>21</v>
      </c>
      <c r="BE167" s="360">
        <f t="shared" si="53"/>
        <v>4</v>
      </c>
      <c r="BF167" s="441"/>
      <c r="BG167" s="443"/>
    </row>
    <row r="168" spans="1:59">
      <c r="A168" s="361" t="s">
        <v>192</v>
      </c>
      <c r="C168" s="257"/>
      <c r="E168" s="248"/>
      <c r="H168" s="250"/>
      <c r="I168" s="248"/>
      <c r="J168" s="354"/>
      <c r="K168" s="248"/>
      <c r="L168" s="354"/>
      <c r="M168" s="164">
        <f t="shared" si="54"/>
        <v>0</v>
      </c>
      <c r="O168" s="355">
        <f t="shared" si="49"/>
        <v>0</v>
      </c>
      <c r="Q168" s="446"/>
      <c r="S168" s="356"/>
      <c r="V168" s="355"/>
      <c r="W168" s="248"/>
      <c r="X168" s="357"/>
      <c r="Y168" s="357"/>
      <c r="Z168" s="357"/>
      <c r="AA168" s="357"/>
      <c r="AC168" s="355"/>
      <c r="AE168" s="356"/>
      <c r="AG168" s="356"/>
      <c r="AK168" s="449"/>
      <c r="AM168" s="323"/>
      <c r="AO168" s="323"/>
      <c r="AQ168" s="355"/>
      <c r="AS168" s="356"/>
      <c r="AU168" s="445"/>
      <c r="AY168" s="359">
        <f t="shared" si="50"/>
        <v>0</v>
      </c>
      <c r="AZ168" s="359"/>
      <c r="BA168" s="359">
        <f t="shared" si="51"/>
        <v>0</v>
      </c>
      <c r="BB168" s="359"/>
      <c r="BC168" s="359">
        <f t="shared" si="52"/>
        <v>0</v>
      </c>
      <c r="BD168" s="174"/>
      <c r="BE168" s="360">
        <f t="shared" si="53"/>
        <v>0</v>
      </c>
      <c r="BF168" s="441"/>
      <c r="BG168" s="174"/>
    </row>
    <row r="169" spans="1:59">
      <c r="A169" s="340" t="s">
        <v>193</v>
      </c>
      <c r="C169" s="257"/>
      <c r="E169" s="248"/>
      <c r="G169" s="250" t="s">
        <v>48</v>
      </c>
      <c r="H169" s="250"/>
      <c r="I169" s="248">
        <f>9685.68</f>
        <v>9685.68</v>
      </c>
      <c r="J169" s="354" t="s">
        <v>21</v>
      </c>
      <c r="K169" s="248"/>
      <c r="L169" s="354"/>
      <c r="M169" s="164">
        <f t="shared" si="54"/>
        <v>9685.68</v>
      </c>
      <c r="O169" s="355">
        <f t="shared" si="49"/>
        <v>10</v>
      </c>
      <c r="Q169" s="446"/>
      <c r="S169" s="356"/>
      <c r="V169" s="355"/>
      <c r="W169" s="248"/>
      <c r="X169" s="357"/>
      <c r="Y169" s="357"/>
      <c r="Z169" s="357"/>
      <c r="AA169" s="357"/>
      <c r="AC169" s="355"/>
      <c r="AE169" s="356"/>
      <c r="AG169" s="356"/>
      <c r="AK169" s="449"/>
      <c r="AM169" s="323"/>
      <c r="AO169" s="323"/>
      <c r="AQ169" s="355"/>
      <c r="AS169" s="356"/>
      <c r="AU169" s="445"/>
      <c r="AY169" s="359">
        <f t="shared" si="50"/>
        <v>9685.68</v>
      </c>
      <c r="AZ169" s="359"/>
      <c r="BA169" s="359">
        <f t="shared" si="51"/>
        <v>0</v>
      </c>
      <c r="BB169" s="359"/>
      <c r="BC169" s="359">
        <f t="shared" si="52"/>
        <v>9685.68</v>
      </c>
      <c r="BD169" s="174" t="s">
        <v>21</v>
      </c>
      <c r="BE169" s="360">
        <f t="shared" si="53"/>
        <v>10</v>
      </c>
      <c r="BF169" s="448"/>
      <c r="BG169" s="174"/>
    </row>
    <row r="170" spans="1:59">
      <c r="A170" s="422" t="s">
        <v>198</v>
      </c>
      <c r="C170" s="450"/>
      <c r="E170" s="248"/>
      <c r="F170" s="250"/>
      <c r="G170" s="250" t="s">
        <v>48</v>
      </c>
      <c r="I170" s="248">
        <f>3178.77-111997.62</f>
        <v>-108818.84999999999</v>
      </c>
      <c r="J170" s="354"/>
      <c r="K170" s="248"/>
      <c r="L170" s="424"/>
      <c r="M170" s="164">
        <f t="shared" si="54"/>
        <v>-108818.84999999999</v>
      </c>
      <c r="O170" s="355">
        <f t="shared" si="49"/>
        <v>-109</v>
      </c>
      <c r="Q170" s="342"/>
      <c r="S170" s="423"/>
      <c r="U170" s="423"/>
      <c r="W170" s="425"/>
      <c r="X170" s="427"/>
      <c r="Y170" s="427"/>
      <c r="Z170" s="427"/>
      <c r="AA170" s="427"/>
      <c r="AC170" s="423"/>
      <c r="AE170" s="423"/>
      <c r="AG170" s="423"/>
      <c r="AI170" s="423"/>
      <c r="AK170" s="428"/>
      <c r="AM170" s="428"/>
      <c r="AO170" s="428"/>
      <c r="AQ170" s="423"/>
      <c r="AS170" s="423"/>
      <c r="AU170" s="423"/>
      <c r="AW170" s="423"/>
      <c r="AX170" s="423"/>
      <c r="AY170" s="359">
        <f t="shared" si="50"/>
        <v>-108818.84999999999</v>
      </c>
      <c r="AZ170" s="423"/>
      <c r="BA170" s="359">
        <f t="shared" si="51"/>
        <v>0</v>
      </c>
      <c r="BB170" s="423"/>
      <c r="BC170" s="359">
        <f t="shared" si="52"/>
        <v>-108818.84999999999</v>
      </c>
      <c r="BD170" s="174"/>
      <c r="BE170" s="360">
        <f t="shared" si="53"/>
        <v>-109</v>
      </c>
      <c r="BF170" s="448">
        <f>+BC154+BC156+BC157+BC158+BC163+BC164+BC165+BC166+BC168+BC169</f>
        <v>682220.62</v>
      </c>
      <c r="BG170" s="174"/>
    </row>
    <row r="171" spans="1:59">
      <c r="A171" s="340" t="s">
        <v>194</v>
      </c>
      <c r="C171" s="431">
        <f>SUM(C154:C170)</f>
        <v>0</v>
      </c>
      <c r="E171" s="451">
        <f>SUM(E154:E170)</f>
        <v>0</v>
      </c>
      <c r="F171" s="356"/>
      <c r="G171" s="176"/>
      <c r="I171" s="452">
        <f>SUM(I153:I170)</f>
        <v>-2843645.84</v>
      </c>
      <c r="J171" s="354"/>
      <c r="K171" s="433">
        <f>SUM(K154:K170)</f>
        <v>0</v>
      </c>
      <c r="L171" s="354"/>
      <c r="M171" s="452">
        <f>SUM(M153:M170)</f>
        <v>-2843645.84</v>
      </c>
      <c r="O171" s="452">
        <f>SUM(O153:O170)</f>
        <v>-2845</v>
      </c>
      <c r="Q171" s="451">
        <f>SUM(Q154:Q170)</f>
        <v>0</v>
      </c>
      <c r="S171" s="176">
        <f>SUM(S154:S170)</f>
        <v>0</v>
      </c>
      <c r="U171" s="176">
        <f>SUM(U154:U170)</f>
        <v>0</v>
      </c>
      <c r="W171" s="433">
        <f>SUM(W154:W170)</f>
        <v>0</v>
      </c>
      <c r="X171" s="357"/>
      <c r="Y171" s="453">
        <f>SUM(Y154:Y170)</f>
        <v>0</v>
      </c>
      <c r="Z171" s="357"/>
      <c r="AA171" s="453">
        <f>SUM(AA154:AA170)</f>
        <v>0</v>
      </c>
      <c r="AC171" s="454">
        <f>SUM(AC154:AC170)</f>
        <v>0</v>
      </c>
      <c r="AE171" s="455">
        <f>SUM(AE154:AE170)</f>
        <v>0</v>
      </c>
      <c r="AG171" s="176">
        <f>SUM(AG154:AG170)</f>
        <v>0</v>
      </c>
      <c r="AI171" s="176">
        <f>SUM(AI154:AI170)</f>
        <v>0</v>
      </c>
      <c r="AK171" s="456">
        <f>SUM(AK154:AK170)</f>
        <v>0</v>
      </c>
      <c r="AM171" s="456">
        <f>SUM(AM154:AM170)</f>
        <v>0</v>
      </c>
      <c r="AO171" s="456">
        <f>SUM(AO154:AO170)</f>
        <v>0</v>
      </c>
      <c r="AQ171" s="454">
        <f>SUM(AQ154:AQ170)</f>
        <v>0</v>
      </c>
      <c r="AS171" s="455">
        <f>SUM(AS154:AS170)</f>
        <v>0</v>
      </c>
      <c r="AU171" s="455">
        <f>SUM(AU154:AU170)</f>
        <v>0</v>
      </c>
      <c r="AW171" s="176">
        <f>SUM(AW154:AW170)</f>
        <v>-12096391.469999999</v>
      </c>
      <c r="AY171" s="452">
        <f>SUM(AY153:AY170)</f>
        <v>-2843645.84</v>
      </c>
      <c r="AZ171" s="359"/>
      <c r="BA171" s="452">
        <f>SUM(BA153:BA170)</f>
        <v>0</v>
      </c>
      <c r="BB171" s="359"/>
      <c r="BC171" s="452">
        <f>SUM(BC153:BC170)</f>
        <v>-2843645.84</v>
      </c>
      <c r="BD171" s="174"/>
      <c r="BE171" s="434">
        <f>SUM(BE153:BE170)</f>
        <v>-2845</v>
      </c>
      <c r="BG171" s="174"/>
    </row>
    <row r="172" spans="1:59">
      <c r="A172" s="422"/>
      <c r="C172" s="341"/>
      <c r="E172" s="342"/>
      <c r="F172" s="250"/>
      <c r="G172" s="423"/>
      <c r="I172" s="425"/>
      <c r="J172" s="424"/>
      <c r="K172" s="425"/>
      <c r="L172" s="424"/>
      <c r="M172" s="425"/>
      <c r="O172" s="426"/>
      <c r="Q172" s="342"/>
      <c r="S172" s="423"/>
      <c r="U172" s="423"/>
      <c r="W172" s="425"/>
      <c r="X172" s="427"/>
      <c r="Y172" s="427"/>
      <c r="Z172" s="427"/>
      <c r="AA172" s="427"/>
      <c r="AC172" s="423"/>
      <c r="AE172" s="423"/>
      <c r="AG172" s="423"/>
      <c r="AI172" s="423"/>
      <c r="AK172" s="428"/>
      <c r="AM172" s="428"/>
      <c r="AO172" s="428"/>
      <c r="AQ172" s="423"/>
      <c r="AS172" s="423"/>
      <c r="AU172" s="423"/>
      <c r="AW172" s="423"/>
      <c r="AX172" s="423"/>
      <c r="AY172" s="423"/>
      <c r="AZ172" s="423"/>
      <c r="BA172" s="423"/>
      <c r="BB172" s="423"/>
      <c r="BC172" s="457"/>
      <c r="BD172" s="174"/>
      <c r="BE172" s="430"/>
      <c r="BG172" s="174"/>
    </row>
    <row r="173" spans="1:59" ht="13.8" thickBot="1">
      <c r="A173" s="340" t="s">
        <v>195</v>
      </c>
      <c r="C173" s="458">
        <f>C150+C171</f>
        <v>52290577</v>
      </c>
      <c r="E173" s="459">
        <f>E150+E171</f>
        <v>1686792</v>
      </c>
      <c r="G173" s="179">
        <f>+I173/C173</f>
        <v>0.2855365979227959</v>
      </c>
      <c r="I173" s="460">
        <f>I150-I171</f>
        <v>14930873.459999999</v>
      </c>
      <c r="J173" s="354"/>
      <c r="K173" s="460">
        <f>K150-K171</f>
        <v>391470.08000000002</v>
      </c>
      <c r="L173" s="354"/>
      <c r="M173" s="460">
        <f>M150-M171</f>
        <v>15322343.539999999</v>
      </c>
      <c r="O173" s="461">
        <f>O150-O171</f>
        <v>15324</v>
      </c>
      <c r="Q173" s="462">
        <f>Q150+Q171</f>
        <v>5181</v>
      </c>
      <c r="S173" s="462">
        <f>S150+S171</f>
        <v>173</v>
      </c>
      <c r="U173" s="179">
        <f>+W173/Q173</f>
        <v>1.7860413047674193</v>
      </c>
      <c r="W173" s="460">
        <f>+W150-W171</f>
        <v>9253.48</v>
      </c>
      <c r="X173" s="354"/>
      <c r="Y173" s="463">
        <f>Y150-Y171</f>
        <v>77.669999999999987</v>
      </c>
      <c r="Z173" s="354"/>
      <c r="AA173" s="463">
        <f>AA150-AA171</f>
        <v>9331.1499999999978</v>
      </c>
      <c r="AC173" s="461">
        <f>AC150-AC171</f>
        <v>8</v>
      </c>
      <c r="AE173" s="462">
        <f>AE150+AE171</f>
        <v>0</v>
      </c>
      <c r="AG173" s="462">
        <f>AG150+AG171</f>
        <v>0</v>
      </c>
      <c r="AI173" s="179" t="e">
        <f>IF(AK173=0,0,AK173/AE173)</f>
        <v>#DIV/0!</v>
      </c>
      <c r="AK173" s="463">
        <f>AK150-AK171</f>
        <v>-89.63</v>
      </c>
      <c r="AM173" s="463">
        <f>AM150-AM171</f>
        <v>0</v>
      </c>
      <c r="AO173" s="463">
        <f>AO150-AO171</f>
        <v>-89.63</v>
      </c>
      <c r="AQ173" s="461">
        <f>AQ150-AQ171</f>
        <v>0</v>
      </c>
      <c r="AS173" s="462">
        <f>AS150+AS171</f>
        <v>52295758</v>
      </c>
      <c r="AU173" s="462">
        <f>AU150+AU171</f>
        <v>1686965</v>
      </c>
      <c r="AW173" s="179">
        <f>+AY173/AS173</f>
        <v>0.28568354071854163</v>
      </c>
      <c r="AY173" s="463">
        <f>AY150-AY171</f>
        <v>14940037.309999999</v>
      </c>
      <c r="AZ173" s="354"/>
      <c r="BA173" s="463">
        <f>BA150-BA171</f>
        <v>391547.75</v>
      </c>
      <c r="BB173" s="354"/>
      <c r="BC173" s="463">
        <f>BC150-BC171</f>
        <v>15331585.060000001</v>
      </c>
      <c r="BD173" s="174"/>
      <c r="BE173" s="464">
        <f>BE150-BE171</f>
        <v>15333</v>
      </c>
      <c r="BG173" s="174"/>
    </row>
    <row r="174" spans="1:59" ht="13.8" thickTop="1">
      <c r="A174" s="422"/>
      <c r="C174" s="450"/>
      <c r="E174" s="347"/>
      <c r="G174" s="343"/>
      <c r="I174" s="465"/>
      <c r="J174" s="345"/>
      <c r="K174" s="344"/>
      <c r="L174" s="345"/>
      <c r="M174" s="344"/>
      <c r="O174" s="343"/>
      <c r="Q174" s="347"/>
      <c r="S174" s="343"/>
      <c r="U174" s="343"/>
      <c r="W174" s="344"/>
      <c r="X174" s="346"/>
      <c r="Y174" s="346"/>
      <c r="Z174" s="346"/>
      <c r="AA174" s="346"/>
      <c r="AC174" s="343"/>
      <c r="AE174" s="343"/>
      <c r="AG174" s="343"/>
      <c r="AI174" s="343"/>
      <c r="AK174" s="348"/>
      <c r="AM174" s="348"/>
      <c r="AO174" s="348"/>
      <c r="AQ174" s="343"/>
      <c r="AS174" s="343"/>
      <c r="AU174" s="343"/>
      <c r="AW174" s="343"/>
      <c r="AX174" s="343"/>
      <c r="AY174" s="343"/>
      <c r="AZ174" s="343"/>
      <c r="BA174" s="343"/>
      <c r="BB174" s="343"/>
      <c r="BC174" s="466"/>
      <c r="BD174" s="174"/>
      <c r="BE174" s="349"/>
      <c r="BG174" s="174"/>
    </row>
    <row r="175" spans="1:59">
      <c r="A175" s="422"/>
      <c r="C175" s="257"/>
      <c r="E175" s="184"/>
      <c r="I175" s="190"/>
      <c r="J175" s="322"/>
      <c r="L175" s="322"/>
      <c r="Q175" s="184"/>
      <c r="X175" s="323"/>
      <c r="Y175" s="323"/>
      <c r="Z175" s="323"/>
      <c r="AA175" s="323"/>
      <c r="AK175" s="192"/>
      <c r="AM175" s="323"/>
      <c r="AO175" s="323"/>
      <c r="AY175" s="354"/>
      <c r="AZ175" s="354"/>
      <c r="BA175" s="354"/>
      <c r="BB175" s="354"/>
      <c r="BC175" s="354"/>
      <c r="BD175" s="174"/>
      <c r="BF175" s="467"/>
      <c r="BG175" s="174"/>
    </row>
    <row r="176" spans="1:59">
      <c r="A176" s="422" t="s">
        <v>120</v>
      </c>
      <c r="C176" s="181"/>
      <c r="E176" s="184"/>
      <c r="I176" s="468"/>
      <c r="J176" s="468"/>
      <c r="K176" s="468"/>
      <c r="L176" s="322"/>
      <c r="Q176" s="184"/>
      <c r="X176" s="323"/>
      <c r="Y176" s="323"/>
      <c r="Z176" s="323"/>
      <c r="AA176" s="323"/>
      <c r="AK176" s="192"/>
      <c r="AM176" s="323"/>
      <c r="AO176" s="323"/>
      <c r="BC176" s="322"/>
      <c r="BD176" s="174"/>
      <c r="BF176" s="174"/>
      <c r="BG176" s="467"/>
    </row>
    <row r="177" spans="9:59">
      <c r="BC177" s="172"/>
      <c r="BG177" s="447"/>
    </row>
    <row r="178" spans="9:59">
      <c r="BC178" s="322"/>
      <c r="BG178" s="447"/>
    </row>
    <row r="179" spans="9:59">
      <c r="I179" s="190"/>
      <c r="BC179" s="322"/>
      <c r="BG179" s="447"/>
    </row>
    <row r="180" spans="9:59">
      <c r="BC180" s="322"/>
    </row>
    <row r="181" spans="9:59">
      <c r="BG181" s="448"/>
    </row>
    <row r="182" spans="9:59">
      <c r="BF182" s="172"/>
    </row>
  </sheetData>
  <phoneticPr fontId="0" type="noConversion"/>
  <pageMargins left="0" right="0" top="0" bottom="0" header="0.5" footer="0.5"/>
  <pageSetup paperSize="5" scale="38" fitToHeight="5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93"/>
  <sheetViews>
    <sheetView workbookViewId="0">
      <pane xSplit="3612" topLeftCell="AW1" activePane="topRight"/>
      <selection sqref="A1:A65536"/>
      <selection pane="topRight" activeCell="AZ1" sqref="AZ1"/>
    </sheetView>
  </sheetViews>
  <sheetFormatPr defaultColWidth="9.109375" defaultRowHeight="13.2"/>
  <cols>
    <col min="1" max="1" width="9.109375" style="163"/>
    <col min="2" max="2" width="21.5546875" style="163" bestFit="1" customWidth="1"/>
    <col min="3" max="3" width="11" style="163" customWidth="1"/>
    <col min="4" max="4" width="10.33203125" style="181" customWidth="1"/>
    <col min="5" max="5" width="2.6640625" style="165" customWidth="1"/>
    <col min="6" max="6" width="8.44140625" style="184" customWidth="1"/>
    <col min="7" max="7" width="2.6640625" style="163" customWidth="1"/>
    <col min="8" max="8" width="9.6640625" style="197" customWidth="1"/>
    <col min="9" max="9" width="2.6640625" style="163" customWidth="1"/>
    <col min="10" max="10" width="14.88671875" style="190" customWidth="1"/>
    <col min="11" max="11" width="2.6640625" style="164" customWidth="1"/>
    <col min="12" max="12" width="8.44140625" style="204" customWidth="1"/>
    <col min="13" max="13" width="4.6640625" style="173" customWidth="1"/>
    <col min="14" max="14" width="12.33203125" style="181" customWidth="1"/>
    <col min="15" max="15" width="2.6640625" style="163" customWidth="1"/>
    <col min="16" max="16" width="8.6640625" style="184" customWidth="1"/>
    <col min="17" max="17" width="2.6640625" style="163" customWidth="1"/>
    <col min="18" max="18" width="12.44140625" style="200" customWidth="1"/>
    <col min="19" max="19" width="2.6640625" style="163" customWidth="1"/>
    <col min="20" max="20" width="14.88671875" style="190" customWidth="1"/>
    <col min="21" max="21" width="2.6640625" style="163" customWidth="1"/>
    <col min="22" max="22" width="8.33203125" style="204" customWidth="1"/>
    <col min="23" max="23" width="4.6640625" style="163" customWidth="1"/>
    <col min="24" max="24" width="12.33203125" style="181" customWidth="1"/>
    <col min="25" max="25" width="2.6640625" style="163" customWidth="1"/>
    <col min="26" max="26" width="8.33203125" style="184" customWidth="1"/>
    <col min="27" max="27" width="2.6640625" style="163" customWidth="1"/>
    <col min="28" max="28" width="10" style="197" customWidth="1"/>
    <col min="29" max="29" width="2.6640625" style="163" customWidth="1"/>
    <col min="30" max="30" width="14.88671875" style="190" customWidth="1"/>
    <col min="31" max="31" width="2.6640625" style="163" customWidth="1"/>
    <col min="32" max="32" width="8.6640625" style="204" customWidth="1"/>
    <col min="33" max="33" width="2.6640625" style="174" customWidth="1"/>
    <col min="34" max="34" width="10.6640625" style="181" customWidth="1"/>
    <col min="35" max="35" width="2.6640625" style="163" customWidth="1"/>
    <col min="36" max="36" width="9.109375" style="184"/>
    <col min="37" max="37" width="2.6640625" style="163" customWidth="1"/>
    <col min="38" max="38" width="9.109375" style="197"/>
    <col min="39" max="39" width="2.6640625" style="163" customWidth="1"/>
    <col min="40" max="40" width="15.6640625" style="192" customWidth="1"/>
    <col min="41" max="41" width="2.6640625" style="163" customWidth="1"/>
    <col min="42" max="42" width="9.109375" style="208"/>
    <col min="43" max="43" width="4.6640625" style="163" customWidth="1"/>
    <col min="44" max="44" width="11.33203125" style="184" customWidth="1"/>
    <col min="45" max="45" width="2.6640625" style="163" customWidth="1"/>
    <col min="46" max="46" width="8.33203125" style="184" customWidth="1"/>
    <col min="47" max="47" width="2.6640625" style="163" customWidth="1"/>
    <col min="48" max="48" width="9.109375" style="163"/>
    <col min="49" max="49" width="2.6640625" style="163" customWidth="1"/>
    <col min="50" max="50" width="15.88671875" style="163" customWidth="1"/>
    <col min="51" max="51" width="2.6640625" style="163" customWidth="1"/>
    <col min="52" max="52" width="8.6640625" style="208" customWidth="1"/>
    <col min="53" max="53" width="19.88671875" style="163" customWidth="1"/>
    <col min="54" max="54" width="30.33203125" style="163" customWidth="1"/>
    <col min="55" max="16384" width="9.109375" style="163"/>
  </cols>
  <sheetData>
    <row r="1" spans="1:54">
      <c r="A1" s="163" t="s">
        <v>2</v>
      </c>
      <c r="AH1" s="184"/>
      <c r="AR1" s="259" t="s">
        <v>3</v>
      </c>
      <c r="AS1" s="260"/>
      <c r="AT1" s="261" t="s">
        <v>4</v>
      </c>
      <c r="AU1" s="260"/>
      <c r="AV1" s="174" t="s">
        <v>204</v>
      </c>
      <c r="AW1" s="262"/>
      <c r="AX1" s="263">
        <v>31</v>
      </c>
    </row>
    <row r="2" spans="1:54">
      <c r="A2" s="163" t="s">
        <v>5</v>
      </c>
      <c r="AH2" s="184"/>
      <c r="AR2" s="264"/>
      <c r="AS2" s="174"/>
      <c r="AT2" s="185" t="s">
        <v>6</v>
      </c>
      <c r="AU2" s="174"/>
      <c r="AV2" s="174" t="s">
        <v>201</v>
      </c>
      <c r="AW2" s="265"/>
      <c r="AX2" s="266">
        <v>30</v>
      </c>
    </row>
    <row r="3" spans="1:54">
      <c r="A3" s="267" t="s">
        <v>202</v>
      </c>
      <c r="AH3" s="184"/>
      <c r="AR3" s="268"/>
      <c r="AS3" s="178"/>
      <c r="AT3" s="269"/>
      <c r="AU3" s="178"/>
      <c r="AV3" s="178" t="s">
        <v>7</v>
      </c>
      <c r="AW3" s="270">
        <v>12</v>
      </c>
      <c r="AX3" s="271">
        <f>+AZ3/AW3</f>
        <v>30.416666666666668</v>
      </c>
      <c r="AZ3" s="165">
        <f>31+28+31+30+31+30+31+31+30+31+30+31</f>
        <v>365</v>
      </c>
    </row>
    <row r="6" spans="1:54">
      <c r="D6" s="272" t="str">
        <f>+A3</f>
        <v>December, 2001</v>
      </c>
      <c r="E6" s="273"/>
      <c r="F6" s="274"/>
      <c r="G6" s="275"/>
      <c r="H6" s="276"/>
      <c r="I6" s="275"/>
      <c r="J6" s="277"/>
      <c r="K6" s="278"/>
      <c r="L6" s="279"/>
      <c r="M6" s="280"/>
      <c r="N6" s="272" t="s">
        <v>200</v>
      </c>
      <c r="O6" s="275"/>
      <c r="P6" s="274"/>
      <c r="Q6" s="275"/>
      <c r="R6" s="281"/>
      <c r="S6" s="275"/>
      <c r="T6" s="277"/>
      <c r="U6" s="275"/>
      <c r="V6" s="279"/>
      <c r="W6" s="282"/>
      <c r="X6" s="272" t="s">
        <v>203</v>
      </c>
      <c r="Y6" s="275"/>
      <c r="Z6" s="274"/>
      <c r="AA6" s="275"/>
      <c r="AB6" s="276"/>
      <c r="AC6" s="275"/>
      <c r="AD6" s="277"/>
      <c r="AE6" s="275"/>
      <c r="AF6" s="279"/>
      <c r="AG6" s="283"/>
      <c r="AH6" s="284" t="s">
        <v>8</v>
      </c>
      <c r="AI6" s="275"/>
      <c r="AJ6" s="274"/>
      <c r="AK6" s="275"/>
      <c r="AL6" s="276"/>
      <c r="AM6" s="275"/>
      <c r="AN6" s="277"/>
      <c r="AO6" s="275"/>
      <c r="AP6" s="285"/>
      <c r="AR6" s="284" t="s">
        <v>9</v>
      </c>
      <c r="AS6" s="275"/>
      <c r="AT6" s="274"/>
      <c r="AU6" s="275"/>
      <c r="AV6" s="275"/>
      <c r="AW6" s="275"/>
      <c r="AX6" s="278"/>
      <c r="AY6" s="275"/>
      <c r="AZ6" s="285"/>
      <c r="BA6" s="275" t="s">
        <v>10</v>
      </c>
      <c r="BB6" s="275"/>
    </row>
    <row r="7" spans="1:54">
      <c r="AN7" s="190"/>
      <c r="AP7" s="208" t="s">
        <v>11</v>
      </c>
      <c r="AR7" s="181"/>
      <c r="AX7" s="164"/>
    </row>
    <row r="8" spans="1:54" s="286" customFormat="1">
      <c r="D8" s="287"/>
      <c r="E8" s="288"/>
      <c r="F8" s="289" t="s">
        <v>12</v>
      </c>
      <c r="G8" s="290"/>
      <c r="H8" s="291"/>
      <c r="J8" s="292"/>
      <c r="K8" s="293"/>
      <c r="L8" s="294" t="s">
        <v>13</v>
      </c>
      <c r="M8" s="295"/>
      <c r="N8" s="287"/>
      <c r="P8" s="289" t="s">
        <v>12</v>
      </c>
      <c r="Q8" s="290"/>
      <c r="R8" s="296"/>
      <c r="T8" s="292"/>
      <c r="V8" s="294" t="s">
        <v>13</v>
      </c>
      <c r="X8" s="287"/>
      <c r="Z8" s="289" t="s">
        <v>12</v>
      </c>
      <c r="AA8" s="290"/>
      <c r="AB8" s="291"/>
      <c r="AD8" s="292"/>
      <c r="AF8" s="294" t="s">
        <v>13</v>
      </c>
      <c r="AG8" s="297"/>
      <c r="AH8" s="287"/>
      <c r="AJ8" s="289" t="s">
        <v>12</v>
      </c>
      <c r="AK8" s="290"/>
      <c r="AL8" s="291"/>
      <c r="AN8" s="292"/>
      <c r="AP8" s="298" t="s">
        <v>13</v>
      </c>
      <c r="AR8" s="287"/>
      <c r="AT8" s="289" t="s">
        <v>12</v>
      </c>
      <c r="AU8" s="290"/>
      <c r="AX8" s="292"/>
      <c r="AZ8" s="298" t="s">
        <v>13</v>
      </c>
    </row>
    <row r="9" spans="1:54" s="286" customFormat="1">
      <c r="D9" s="299" t="s">
        <v>0</v>
      </c>
      <c r="E9" s="288"/>
      <c r="F9" s="300" t="s">
        <v>14</v>
      </c>
      <c r="H9" s="301" t="s">
        <v>15</v>
      </c>
      <c r="J9" s="302" t="s">
        <v>16</v>
      </c>
      <c r="K9" s="293"/>
      <c r="L9" s="303" t="s">
        <v>16</v>
      </c>
      <c r="M9" s="295"/>
      <c r="N9" s="299" t="s">
        <v>0</v>
      </c>
      <c r="P9" s="300" t="s">
        <v>14</v>
      </c>
      <c r="R9" s="304" t="s">
        <v>15</v>
      </c>
      <c r="T9" s="302" t="s">
        <v>16</v>
      </c>
      <c r="V9" s="303" t="s">
        <v>16</v>
      </c>
      <c r="X9" s="299" t="s">
        <v>0</v>
      </c>
      <c r="Z9" s="300" t="s">
        <v>14</v>
      </c>
      <c r="AB9" s="301" t="s">
        <v>15</v>
      </c>
      <c r="AD9" s="302" t="s">
        <v>16</v>
      </c>
      <c r="AF9" s="303" t="s">
        <v>16</v>
      </c>
      <c r="AG9" s="297"/>
      <c r="AH9" s="299" t="s">
        <v>0</v>
      </c>
      <c r="AJ9" s="300" t="s">
        <v>14</v>
      </c>
      <c r="AL9" s="301" t="s">
        <v>15</v>
      </c>
      <c r="AN9" s="302" t="s">
        <v>16</v>
      </c>
      <c r="AP9" s="305" t="s">
        <v>16</v>
      </c>
      <c r="AR9" s="299" t="s">
        <v>0</v>
      </c>
      <c r="AT9" s="300" t="s">
        <v>14</v>
      </c>
      <c r="AV9" s="306" t="s">
        <v>15</v>
      </c>
      <c r="AX9" s="307" t="s">
        <v>16</v>
      </c>
      <c r="AZ9" s="305" t="s">
        <v>16</v>
      </c>
      <c r="BA9" s="308" t="s">
        <v>17</v>
      </c>
      <c r="BB9" s="308" t="s">
        <v>18</v>
      </c>
    </row>
    <row r="10" spans="1:54">
      <c r="A10" s="163" t="s">
        <v>19</v>
      </c>
      <c r="AN10" s="190"/>
      <c r="AR10" s="181"/>
      <c r="AX10" s="164"/>
    </row>
    <row r="11" spans="1:54">
      <c r="B11" s="163" t="s">
        <v>20</v>
      </c>
      <c r="D11" s="181">
        <f>825000+154733</f>
        <v>979733</v>
      </c>
      <c r="E11" s="163"/>
      <c r="F11" s="181">
        <f>ROUND(D11/$AX$1,0)</f>
        <v>31604</v>
      </c>
      <c r="H11" s="195">
        <f>+J11/D11</f>
        <v>2.3424455642506681</v>
      </c>
      <c r="J11" s="190">
        <f>1930575+364396.22</f>
        <v>2294971.2199999997</v>
      </c>
      <c r="L11" s="204">
        <f t="shared" ref="L11:L16" si="0">+J11/1000</f>
        <v>2294.9712199999999</v>
      </c>
      <c r="N11" s="181">
        <v>794199</v>
      </c>
      <c r="P11" s="181">
        <f>ROUND(N11/$AX$2,0)</f>
        <v>26473</v>
      </c>
      <c r="R11" s="200">
        <v>2.7046794695032355</v>
      </c>
      <c r="T11" s="190">
        <v>2148053.73</v>
      </c>
      <c r="V11" s="204">
        <f>ROUND(T11/1000,0)</f>
        <v>2148</v>
      </c>
      <c r="X11" s="181">
        <v>-794199</v>
      </c>
      <c r="Z11" s="181">
        <v>-25619</v>
      </c>
      <c r="AB11" s="200">
        <v>2.7046794695032355</v>
      </c>
      <c r="AD11" s="190">
        <v>-2148053.73</v>
      </c>
      <c r="AF11" s="204">
        <f>+AD11/1000</f>
        <v>-2148.0537300000001</v>
      </c>
      <c r="AJ11" s="181">
        <f>ROUND(AH11/$AX$3,0)</f>
        <v>0</v>
      </c>
      <c r="AL11" s="195">
        <v>0</v>
      </c>
      <c r="AN11" s="190"/>
      <c r="AP11" s="204">
        <f>ROUND(AN11/1000,0)</f>
        <v>0</v>
      </c>
      <c r="AR11" s="181">
        <f t="shared" ref="AR11:AR16" si="1">+AH11+X11+N11+D11</f>
        <v>979733</v>
      </c>
      <c r="AT11" s="181">
        <f t="shared" ref="AT11:AT16" si="2">+AJ11+Z11+P11+F11</f>
        <v>32458</v>
      </c>
      <c r="AV11" s="195">
        <f>ROUND(AX1:AX11/AR11,4)</f>
        <v>2.3424</v>
      </c>
      <c r="AX11" s="190">
        <f t="shared" ref="AX11:AZ16" si="3">+AN11+AD11+T11+J11</f>
        <v>2294971.2199999997</v>
      </c>
      <c r="AZ11" s="204">
        <f t="shared" si="3"/>
        <v>2294.9174899999998</v>
      </c>
      <c r="BA11" s="250">
        <v>40001000</v>
      </c>
      <c r="BB11" s="250">
        <v>500001779</v>
      </c>
    </row>
    <row r="12" spans="1:54">
      <c r="B12" s="163" t="s">
        <v>22</v>
      </c>
      <c r="F12" s="184">
        <f>ROUND(D12/$AX$1,0)</f>
        <v>0</v>
      </c>
      <c r="H12" s="195">
        <v>0</v>
      </c>
      <c r="J12" s="190">
        <v>741675</v>
      </c>
      <c r="L12" s="204">
        <f t="shared" si="0"/>
        <v>741.67499999999995</v>
      </c>
      <c r="P12" s="181">
        <f>ROUND(N12/$AX$2,0)</f>
        <v>0</v>
      </c>
      <c r="R12" s="200" t="e">
        <f t="shared" ref="R12:R17" si="4">ROUND(T12/N12,4)</f>
        <v>#DIV/0!</v>
      </c>
      <c r="V12" s="204">
        <f>ROUND(T12/1000,0)</f>
        <v>0</v>
      </c>
      <c r="Y12" s="165"/>
      <c r="Z12" s="181">
        <v>0</v>
      </c>
      <c r="AB12" s="200">
        <v>0</v>
      </c>
      <c r="AD12" s="203">
        <v>0</v>
      </c>
      <c r="AJ12" s="181">
        <f>ROUND(AH12/$AX$3,0)</f>
        <v>0</v>
      </c>
      <c r="AL12" s="195" t="e">
        <f>+AN12/AH12</f>
        <v>#DIV/0!</v>
      </c>
      <c r="AN12" s="190"/>
      <c r="AP12" s="204">
        <f>ROUND(AN12/1000,0)</f>
        <v>0</v>
      </c>
      <c r="AR12" s="181">
        <f t="shared" si="1"/>
        <v>0</v>
      </c>
      <c r="AT12" s="181">
        <f t="shared" si="2"/>
        <v>0</v>
      </c>
      <c r="AV12" s="195" t="e">
        <f>ROUND(AX4:AX12/AR12,4)</f>
        <v>#DIV/0!</v>
      </c>
      <c r="AX12" s="190">
        <f t="shared" si="3"/>
        <v>741675</v>
      </c>
      <c r="AZ12" s="204">
        <f t="shared" si="3"/>
        <v>741.67499999999995</v>
      </c>
      <c r="BA12" s="250">
        <v>40001000</v>
      </c>
      <c r="BB12" s="250">
        <v>5000006828</v>
      </c>
    </row>
    <row r="13" spans="1:54">
      <c r="B13" s="163" t="s">
        <v>205</v>
      </c>
      <c r="H13" s="195"/>
      <c r="J13" s="190">
        <v>-741675</v>
      </c>
      <c r="L13" s="204">
        <f t="shared" si="0"/>
        <v>-741.67499999999995</v>
      </c>
      <c r="P13" s="181"/>
      <c r="Y13" s="165"/>
      <c r="Z13" s="181"/>
      <c r="AB13" s="200"/>
      <c r="AD13" s="203"/>
      <c r="AJ13" s="181"/>
      <c r="AL13" s="195"/>
      <c r="AN13" s="190"/>
      <c r="AP13" s="204"/>
      <c r="AR13" s="181">
        <f t="shared" si="1"/>
        <v>0</v>
      </c>
      <c r="AT13" s="181">
        <f t="shared" si="2"/>
        <v>0</v>
      </c>
      <c r="AV13" s="195" t="e">
        <f>ROUND(AX5:AX13/AR13,4)</f>
        <v>#DIV/0!</v>
      </c>
      <c r="AX13" s="190">
        <f>+AN13+AD13+T13+J13</f>
        <v>-741675</v>
      </c>
      <c r="AZ13" s="204">
        <f>+AP13+AF13+V13+L13</f>
        <v>-741.67499999999995</v>
      </c>
      <c r="BA13" s="250">
        <v>40001000</v>
      </c>
      <c r="BB13" s="250">
        <v>5000006828</v>
      </c>
    </row>
    <row r="14" spans="1:54">
      <c r="B14" s="163" t="s">
        <v>23</v>
      </c>
      <c r="F14" s="184">
        <f>ROUND(D14/$AX$1,0)</f>
        <v>0</v>
      </c>
      <c r="H14" s="195">
        <v>0</v>
      </c>
      <c r="L14" s="204">
        <f t="shared" si="0"/>
        <v>0</v>
      </c>
      <c r="N14" s="181">
        <v>5555</v>
      </c>
      <c r="P14" s="181">
        <f>ROUND(N14/$AX$2,0)</f>
        <v>185</v>
      </c>
      <c r="R14" s="200">
        <f t="shared" si="4"/>
        <v>2.1533000000000002</v>
      </c>
      <c r="T14" s="190">
        <v>11961.58</v>
      </c>
      <c r="V14" s="204">
        <f>ROUND(T14/1000,0)</f>
        <v>12</v>
      </c>
      <c r="Y14" s="165"/>
      <c r="Z14" s="181">
        <v>0</v>
      </c>
      <c r="AB14" s="200">
        <v>0</v>
      </c>
      <c r="AJ14" s="181">
        <f>ROUND(AH14/$AX$3,0)</f>
        <v>0</v>
      </c>
      <c r="AL14" s="195">
        <v>0</v>
      </c>
      <c r="AN14" s="190"/>
      <c r="AP14" s="204">
        <f>ROUND(AN14/1000,0)</f>
        <v>0</v>
      </c>
      <c r="AR14" s="181">
        <f t="shared" si="1"/>
        <v>5555</v>
      </c>
      <c r="AT14" s="181">
        <f t="shared" si="2"/>
        <v>185</v>
      </c>
      <c r="AV14" s="195">
        <f>ROUND(AX4:AX14/AR14,4)</f>
        <v>2.1533000000000002</v>
      </c>
      <c r="AX14" s="190">
        <f t="shared" si="3"/>
        <v>11961.58</v>
      </c>
      <c r="AZ14" s="204">
        <f t="shared" si="3"/>
        <v>12</v>
      </c>
      <c r="BA14" s="309" t="s">
        <v>24</v>
      </c>
      <c r="BB14" s="163" t="s">
        <v>25</v>
      </c>
    </row>
    <row r="15" spans="1:54">
      <c r="B15" s="163" t="s">
        <v>26</v>
      </c>
      <c r="H15" s="195"/>
      <c r="L15" s="204">
        <f t="shared" si="0"/>
        <v>0</v>
      </c>
      <c r="N15" s="181">
        <v>9509</v>
      </c>
      <c r="P15" s="181">
        <f>ROUND(N15/$AX$2,0)</f>
        <v>317</v>
      </c>
      <c r="R15" s="200">
        <f t="shared" si="4"/>
        <v>2.7749999999999999</v>
      </c>
      <c r="T15" s="190">
        <v>26387.33</v>
      </c>
      <c r="V15" s="204">
        <f>ROUND(T15/1000,0)</f>
        <v>26</v>
      </c>
      <c r="Y15" s="165"/>
      <c r="Z15" s="181"/>
      <c r="AB15" s="200"/>
      <c r="AD15" s="203"/>
      <c r="AJ15" s="181">
        <f>ROUND(AH15/$AX$3,0)</f>
        <v>0</v>
      </c>
      <c r="AL15" s="195" t="e">
        <f>+AN15/AH15</f>
        <v>#DIV/0!</v>
      </c>
      <c r="AN15" s="190"/>
      <c r="AP15" s="204">
        <f>ROUND(AN15/1000,0)</f>
        <v>0</v>
      </c>
      <c r="AR15" s="181">
        <f t="shared" si="1"/>
        <v>9509</v>
      </c>
      <c r="AT15" s="181">
        <f t="shared" si="2"/>
        <v>317</v>
      </c>
      <c r="AV15" s="195">
        <f>ROUND(AX5:AX15/AR15,4)</f>
        <v>2.7749999999999999</v>
      </c>
      <c r="AX15" s="190">
        <f t="shared" si="3"/>
        <v>26387.33</v>
      </c>
      <c r="AZ15" s="204">
        <f t="shared" si="3"/>
        <v>26</v>
      </c>
      <c r="BA15" s="310" t="s">
        <v>27</v>
      </c>
    </row>
    <row r="16" spans="1:54">
      <c r="B16" s="163" t="s">
        <v>28</v>
      </c>
      <c r="D16" s="181">
        <v>0</v>
      </c>
      <c r="F16" s="184">
        <f>ROUND(D16/$AX$1,0)</f>
        <v>0</v>
      </c>
      <c r="H16" s="195" t="e">
        <f>+J16/D16</f>
        <v>#DIV/0!</v>
      </c>
      <c r="J16" s="190">
        <v>0</v>
      </c>
      <c r="L16" s="204">
        <f t="shared" si="0"/>
        <v>0</v>
      </c>
      <c r="N16" s="181">
        <v>11553</v>
      </c>
      <c r="P16" s="181">
        <f>ROUND(N16/$AX$2,0)</f>
        <v>385</v>
      </c>
      <c r="R16" s="200">
        <f t="shared" si="4"/>
        <v>0.89580000000000004</v>
      </c>
      <c r="T16" s="190">
        <v>10348.709999999999</v>
      </c>
      <c r="V16" s="204">
        <f>ROUND(T16/1000,0)</f>
        <v>10</v>
      </c>
      <c r="X16" s="181">
        <v>-11553</v>
      </c>
      <c r="Y16" s="165"/>
      <c r="Z16" s="181">
        <v>-373</v>
      </c>
      <c r="AB16" s="200">
        <v>0.89575954297585036</v>
      </c>
      <c r="AD16" s="190">
        <v>-10348.709999999999</v>
      </c>
      <c r="AF16" s="204">
        <f>+AD16/1000</f>
        <v>-10.348709999999999</v>
      </c>
      <c r="AN16" s="190"/>
      <c r="AR16" s="181">
        <f t="shared" si="1"/>
        <v>0</v>
      </c>
      <c r="AT16" s="181">
        <f t="shared" si="2"/>
        <v>12</v>
      </c>
      <c r="AV16" s="195" t="e">
        <f>ROUND(AX6:AX16/AR16,4)</f>
        <v>#DIV/0!</v>
      </c>
      <c r="AX16" s="190">
        <f>+AN16+AD16+T16+J16</f>
        <v>0</v>
      </c>
      <c r="AY16" s="163" t="s">
        <v>21</v>
      </c>
      <c r="AZ16" s="204">
        <f t="shared" si="3"/>
        <v>-0.34870999999999874</v>
      </c>
      <c r="BA16" s="250">
        <v>40004000</v>
      </c>
      <c r="BB16" s="250">
        <v>500001790</v>
      </c>
    </row>
    <row r="17" spans="1:55">
      <c r="A17" s="163" t="s">
        <v>29</v>
      </c>
      <c r="D17" s="182">
        <f>SUM(D11:D16)</f>
        <v>979733</v>
      </c>
      <c r="E17" s="175"/>
      <c r="F17" s="182">
        <f>SUM(F11:F16)</f>
        <v>31604</v>
      </c>
      <c r="G17" s="176"/>
      <c r="H17" s="196">
        <f>ROUND(J17/D17,4)</f>
        <v>2.3424</v>
      </c>
      <c r="I17" s="176"/>
      <c r="J17" s="191">
        <f>SUM(J11:J16)</f>
        <v>2294971.2199999997</v>
      </c>
      <c r="K17" s="177"/>
      <c r="L17" s="205">
        <f>SUM(L11:L16)</f>
        <v>2294.9712199999994</v>
      </c>
      <c r="N17" s="182">
        <f>SUM(N11:N16)</f>
        <v>820816</v>
      </c>
      <c r="O17" s="175"/>
      <c r="P17" s="187">
        <f>SUM(P11:P16)</f>
        <v>27360</v>
      </c>
      <c r="Q17" s="176"/>
      <c r="R17" s="201">
        <f t="shared" si="4"/>
        <v>2.6762999999999999</v>
      </c>
      <c r="S17" s="176"/>
      <c r="T17" s="191">
        <f>SUM(T11:T16)</f>
        <v>2196751.35</v>
      </c>
      <c r="U17" s="177"/>
      <c r="V17" s="205">
        <f>SUM(V11:V16)</f>
        <v>2196</v>
      </c>
      <c r="W17" s="178"/>
      <c r="X17" s="182">
        <f>SUM(X11:X16)</f>
        <v>-805752</v>
      </c>
      <c r="Y17" s="175"/>
      <c r="Z17" s="182">
        <f>SUM(Z11:Z16)</f>
        <v>-25992</v>
      </c>
      <c r="AA17" s="176"/>
      <c r="AB17" s="196">
        <f>+AD17/X17</f>
        <v>2.6787428886307447</v>
      </c>
      <c r="AC17" s="176"/>
      <c r="AD17" s="191">
        <f>SUM(AD11:AD16)</f>
        <v>-2158402.44</v>
      </c>
      <c r="AE17" s="177"/>
      <c r="AF17" s="205">
        <f>SUM(AF11:AF16)</f>
        <v>-2158.4024400000003</v>
      </c>
      <c r="AH17" s="182">
        <f>SUM(AH11:AH16)</f>
        <v>0</v>
      </c>
      <c r="AI17" s="175"/>
      <c r="AJ17" s="187">
        <f>SUM(AJ11:AJ16)</f>
        <v>0</v>
      </c>
      <c r="AK17" s="176"/>
      <c r="AL17" s="196"/>
      <c r="AM17" s="176"/>
      <c r="AN17" s="191">
        <f>SUM(AN11:AN16)</f>
        <v>0</v>
      </c>
      <c r="AO17" s="177"/>
      <c r="AP17" s="205">
        <f>SUM(AP11:AP16)</f>
        <v>0</v>
      </c>
      <c r="AR17" s="182">
        <f>SUM(AR11:AR16)</f>
        <v>994797</v>
      </c>
      <c r="AS17" s="175"/>
      <c r="AT17" s="187">
        <f>SUM(AT11:AT16)</f>
        <v>32972</v>
      </c>
      <c r="AU17" s="176"/>
      <c r="AV17" s="196">
        <f>ROUND(AX17/AR17,4)</f>
        <v>2.3454999999999999</v>
      </c>
      <c r="AW17" s="176"/>
      <c r="AX17" s="191">
        <f>SUM(AX11:AX16)</f>
        <v>2333320.13</v>
      </c>
      <c r="AY17" s="177" t="s">
        <v>21</v>
      </c>
      <c r="AZ17" s="205">
        <f>SUM(AZ11:AZ16)</f>
        <v>2332.5687799999996</v>
      </c>
    </row>
    <row r="18" spans="1:55">
      <c r="AN18" s="190"/>
      <c r="AR18" s="181"/>
      <c r="AV18" s="197"/>
      <c r="AX18" s="190"/>
    </row>
    <row r="19" spans="1:55">
      <c r="A19" s="163" t="s">
        <v>30</v>
      </c>
      <c r="X19" s="164"/>
      <c r="AN19" s="256"/>
      <c r="AR19" s="181"/>
      <c r="AX19" s="197"/>
    </row>
    <row r="20" spans="1:55">
      <c r="B20" s="163" t="s">
        <v>197</v>
      </c>
      <c r="F20" s="181">
        <f t="shared" ref="F20:F33" si="5">ROUND(D20/$AX$1,0)</f>
        <v>0</v>
      </c>
      <c r="H20" s="195">
        <v>0</v>
      </c>
      <c r="K20" s="172"/>
      <c r="L20" s="204">
        <f t="shared" ref="L20:L33" si="6">+J20/1000</f>
        <v>0</v>
      </c>
      <c r="P20" s="181">
        <f t="shared" ref="P20:P33" si="7">ROUND(N20/$AX$2,0)</f>
        <v>0</v>
      </c>
      <c r="R20" s="200" t="e">
        <f>ROUND(T20/N20,4)</f>
        <v>#DIV/0!</v>
      </c>
      <c r="V20" s="204">
        <f t="shared" ref="V20:V33" si="8">ROUND(T20/1000,0)</f>
        <v>0</v>
      </c>
      <c r="Y20" s="165"/>
      <c r="Z20" s="181">
        <v>0</v>
      </c>
      <c r="AB20" s="200">
        <v>0</v>
      </c>
      <c r="AD20" s="203"/>
      <c r="AF20" s="204">
        <v>0</v>
      </c>
      <c r="AJ20" s="181"/>
      <c r="AL20" s="195"/>
      <c r="AN20" s="256"/>
      <c r="AP20" s="204">
        <f>+AN20/1000</f>
        <v>0</v>
      </c>
      <c r="AR20" s="181">
        <f t="shared" ref="AR20:AR33" si="9">+AH20+X20+N20+D20</f>
        <v>0</v>
      </c>
      <c r="AT20" s="181">
        <f>+AJ20+Z20+P20+F20</f>
        <v>0</v>
      </c>
      <c r="AV20" s="195" t="e">
        <f>ROUND(AX8:AX20/AR20,4)</f>
        <v>#DIV/0!</v>
      </c>
      <c r="AX20" s="190">
        <f t="shared" ref="AX20:AX33" si="10">+AN20+AD20+T20+J20</f>
        <v>0</v>
      </c>
      <c r="AZ20" s="204">
        <f>+L20+V20+AF20+AP20</f>
        <v>0</v>
      </c>
    </row>
    <row r="21" spans="1:55">
      <c r="B21" s="163" t="s">
        <v>31</v>
      </c>
      <c r="F21" s="181">
        <f>ROUND(D21/$AX$1,0)</f>
        <v>0</v>
      </c>
      <c r="H21" s="195">
        <v>0</v>
      </c>
      <c r="J21" s="190">
        <v>90571.97</v>
      </c>
      <c r="L21" s="204">
        <f t="shared" si="6"/>
        <v>90.571970000000007</v>
      </c>
      <c r="P21" s="181"/>
      <c r="T21" s="203">
        <v>556146.37</v>
      </c>
      <c r="V21" s="204">
        <f t="shared" si="8"/>
        <v>556</v>
      </c>
      <c r="Y21" s="165"/>
      <c r="Z21" s="181">
        <v>0</v>
      </c>
      <c r="AB21" s="200">
        <v>0</v>
      </c>
      <c r="AD21" s="203">
        <v>-556146.37</v>
      </c>
      <c r="AF21" s="204">
        <f>+AD21/1000</f>
        <v>-556.14637000000005</v>
      </c>
      <c r="AJ21" s="181"/>
      <c r="AL21" s="195"/>
      <c r="AN21" s="203"/>
      <c r="AP21" s="204">
        <f t="shared" ref="AP21:AP33" si="11">+AN21/1000</f>
        <v>0</v>
      </c>
      <c r="AR21" s="181">
        <f>+AH21+X21+N21+D21</f>
        <v>0</v>
      </c>
      <c r="AT21" s="181"/>
      <c r="AV21" s="195"/>
      <c r="AX21" s="190">
        <f t="shared" si="10"/>
        <v>90571.97</v>
      </c>
      <c r="AY21" s="163" t="s">
        <v>21</v>
      </c>
      <c r="AZ21" s="204">
        <f>+L21+V21+AF21+AP21</f>
        <v>90.425599999999918</v>
      </c>
    </row>
    <row r="22" spans="1:55">
      <c r="B22" s="163" t="s">
        <v>32</v>
      </c>
      <c r="D22" s="181">
        <v>139733</v>
      </c>
      <c r="E22" s="163"/>
      <c r="F22" s="181">
        <f t="shared" si="5"/>
        <v>4508</v>
      </c>
      <c r="H22" s="311">
        <v>2.2400000000000002</v>
      </c>
      <c r="J22" s="203">
        <f>+H22*D22</f>
        <v>313001.92000000004</v>
      </c>
      <c r="K22" s="163"/>
      <c r="L22" s="204">
        <f t="shared" si="6"/>
        <v>313.00192000000004</v>
      </c>
      <c r="N22" s="181">
        <f>-11873+15</f>
        <v>-11858</v>
      </c>
      <c r="P22" s="181">
        <f t="shared" si="7"/>
        <v>-395</v>
      </c>
      <c r="R22" s="200">
        <f>+T22/N22</f>
        <v>2.71390959689661</v>
      </c>
      <c r="T22" s="203">
        <v>-32181.54</v>
      </c>
      <c r="V22" s="204">
        <f t="shared" si="8"/>
        <v>-32</v>
      </c>
      <c r="X22" s="181">
        <v>-69199</v>
      </c>
      <c r="Z22" s="181">
        <v>-2232</v>
      </c>
      <c r="AB22" s="200">
        <v>2.04</v>
      </c>
      <c r="AD22" s="203">
        <v>-141165.96</v>
      </c>
      <c r="AF22" s="204">
        <f t="shared" ref="AF22:AF33" si="12">+AD22/1000</f>
        <v>-141.16595999999998</v>
      </c>
      <c r="AH22" s="181">
        <f>43721+404309-24141-15</f>
        <v>423874</v>
      </c>
      <c r="AJ22" s="181">
        <v>0</v>
      </c>
      <c r="AL22" s="195">
        <v>0</v>
      </c>
      <c r="AN22" s="256">
        <f>94591.64+1916820.19-193746.64+72100.99-1.64+4157.8</f>
        <v>1893922.34</v>
      </c>
      <c r="AP22" s="204">
        <f t="shared" si="11"/>
        <v>1893.9223400000001</v>
      </c>
      <c r="AR22" s="181">
        <f t="shared" si="9"/>
        <v>482550</v>
      </c>
      <c r="AT22" s="181">
        <f>+AJ22+Z22+P22+F22</f>
        <v>1881</v>
      </c>
      <c r="AV22" s="195">
        <f>ROUND(AX9:AX22/AR22,4)</f>
        <v>4.2141999999999999</v>
      </c>
      <c r="AX22" s="190">
        <f t="shared" si="10"/>
        <v>2033576.7600000002</v>
      </c>
      <c r="AZ22" s="204">
        <f>+L22+V22+AF22+AP22</f>
        <v>2033.7583000000002</v>
      </c>
      <c r="BA22" s="249">
        <v>50001040</v>
      </c>
      <c r="BB22" s="250">
        <v>500001873</v>
      </c>
      <c r="BC22" s="163">
        <f>190-265</f>
        <v>-75</v>
      </c>
    </row>
    <row r="23" spans="1:55">
      <c r="B23" s="163" t="s">
        <v>33</v>
      </c>
      <c r="E23" s="163"/>
      <c r="F23" s="181">
        <f t="shared" si="5"/>
        <v>0</v>
      </c>
      <c r="H23" s="195" t="e">
        <f>ROUND(L2:L23/D23,4)</f>
        <v>#DIV/0!</v>
      </c>
      <c r="J23" s="203"/>
      <c r="K23" s="163"/>
      <c r="L23" s="204">
        <f t="shared" si="6"/>
        <v>0</v>
      </c>
      <c r="P23" s="181">
        <f t="shared" si="7"/>
        <v>0</v>
      </c>
      <c r="R23" s="200" t="e">
        <f>+T23/N23</f>
        <v>#DIV/0!</v>
      </c>
      <c r="T23" s="203"/>
      <c r="V23" s="204">
        <f t="shared" si="8"/>
        <v>0</v>
      </c>
      <c r="Z23" s="181">
        <v>0</v>
      </c>
      <c r="AB23" s="200" t="e">
        <v>#DIV/0!</v>
      </c>
      <c r="AD23" s="203"/>
      <c r="AF23" s="204">
        <f t="shared" si="12"/>
        <v>0</v>
      </c>
      <c r="AH23" s="469">
        <v>-380153</v>
      </c>
      <c r="AJ23" s="181"/>
      <c r="AL23" s="195"/>
      <c r="AN23" s="256">
        <f>-23447.17-1583266.44+82425.97+356204.41-721933.89+78863.59</f>
        <v>-1811153.53</v>
      </c>
      <c r="AP23" s="204">
        <f t="shared" si="11"/>
        <v>-1811.15353</v>
      </c>
      <c r="AR23" s="181">
        <f t="shared" si="9"/>
        <v>-380153</v>
      </c>
      <c r="AT23" s="181">
        <f>+AJ23+Z23+P23+F23</f>
        <v>0</v>
      </c>
      <c r="AV23" s="195">
        <f>ROUND(AX10:AX23/AR23,4)</f>
        <v>4.7643000000000004</v>
      </c>
      <c r="AX23" s="190">
        <f t="shared" si="10"/>
        <v>-1811153.53</v>
      </c>
      <c r="AZ23" s="204">
        <f t="shared" ref="AZ23:AZ33" si="13">+L23+V23+AF23+AP23</f>
        <v>-1811.15353</v>
      </c>
      <c r="BA23" s="249">
        <v>50001040</v>
      </c>
      <c r="BB23" s="250">
        <v>500001873</v>
      </c>
    </row>
    <row r="24" spans="1:55">
      <c r="B24" s="163" t="s">
        <v>34</v>
      </c>
      <c r="E24" s="163"/>
      <c r="F24" s="181">
        <f t="shared" si="5"/>
        <v>0</v>
      </c>
      <c r="H24" s="195" t="e">
        <f>ROUND(L3:L24/D24,4)</f>
        <v>#DIV/0!</v>
      </c>
      <c r="J24" s="203"/>
      <c r="K24" s="163"/>
      <c r="L24" s="204">
        <f t="shared" si="6"/>
        <v>0</v>
      </c>
      <c r="P24" s="181">
        <f t="shared" si="7"/>
        <v>0</v>
      </c>
      <c r="R24" s="200" t="e">
        <f>+T24/N24</f>
        <v>#DIV/0!</v>
      </c>
      <c r="T24" s="203"/>
      <c r="V24" s="204">
        <f t="shared" si="8"/>
        <v>0</v>
      </c>
      <c r="Z24" s="181">
        <v>0</v>
      </c>
      <c r="AB24" s="200" t="e">
        <v>#DIV/0!</v>
      </c>
      <c r="AD24" s="203"/>
      <c r="AF24" s="204">
        <f t="shared" si="12"/>
        <v>0</v>
      </c>
      <c r="AH24" s="469"/>
      <c r="AJ24" s="181"/>
      <c r="AL24" s="195"/>
      <c r="AN24" s="203">
        <v>38624.26</v>
      </c>
      <c r="AP24" s="204">
        <f t="shared" si="11"/>
        <v>38.62426</v>
      </c>
      <c r="AR24" s="181">
        <f t="shared" si="9"/>
        <v>0</v>
      </c>
      <c r="AT24" s="181">
        <f>+AJ24+Z24+P24+D24</f>
        <v>0</v>
      </c>
      <c r="AV24" s="195" t="e">
        <f>ROUND(AX11:AX24/AR24,4)</f>
        <v>#DIV/0!</v>
      </c>
      <c r="AX24" s="190">
        <f t="shared" si="10"/>
        <v>38624.26</v>
      </c>
      <c r="AZ24" s="204">
        <f t="shared" si="13"/>
        <v>38.62426</v>
      </c>
    </row>
    <row r="25" spans="1:55">
      <c r="B25" s="163" t="s">
        <v>35</v>
      </c>
      <c r="D25" s="181">
        <v>1849000</v>
      </c>
      <c r="E25" s="163"/>
      <c r="F25" s="181">
        <f t="shared" si="5"/>
        <v>59645</v>
      </c>
      <c r="H25" s="195">
        <f>+J25/D25</f>
        <v>2.2400000000000002</v>
      </c>
      <c r="J25" s="190">
        <v>4141760</v>
      </c>
      <c r="K25" s="163"/>
      <c r="L25" s="204">
        <f t="shared" si="6"/>
        <v>4141.76</v>
      </c>
      <c r="N25" s="181">
        <v>1654375</v>
      </c>
      <c r="P25" s="181">
        <f t="shared" si="7"/>
        <v>55146</v>
      </c>
      <c r="R25" s="200">
        <v>2.04</v>
      </c>
      <c r="T25" s="190">
        <f>+R25*N25</f>
        <v>3374925</v>
      </c>
      <c r="V25" s="204">
        <f t="shared" si="8"/>
        <v>3375</v>
      </c>
      <c r="X25" s="181">
        <v>-1653000</v>
      </c>
      <c r="Z25" s="181">
        <v>-53323</v>
      </c>
      <c r="AB25" s="200">
        <v>2.04</v>
      </c>
      <c r="AD25" s="203">
        <v>-3372120</v>
      </c>
      <c r="AF25" s="204">
        <f t="shared" si="12"/>
        <v>-3372.12</v>
      </c>
      <c r="AH25" s="469"/>
      <c r="AJ25" s="181"/>
      <c r="AL25" s="195"/>
      <c r="AN25" s="190"/>
      <c r="AP25" s="204">
        <f t="shared" si="11"/>
        <v>0</v>
      </c>
      <c r="AR25" s="181">
        <f t="shared" si="9"/>
        <v>1850375</v>
      </c>
      <c r="AT25" s="181">
        <f>+AJ25+Z25+P25+F25</f>
        <v>61468</v>
      </c>
      <c r="AV25" s="195">
        <f>ROUND(AX12:AX25/AR25,4)</f>
        <v>2.2399</v>
      </c>
      <c r="AX25" s="190">
        <f t="shared" si="10"/>
        <v>4144565</v>
      </c>
      <c r="AY25" s="163" t="s">
        <v>21</v>
      </c>
      <c r="AZ25" s="204">
        <f t="shared" si="13"/>
        <v>4144.6400000000003</v>
      </c>
      <c r="BA25" s="250">
        <v>50001030</v>
      </c>
      <c r="BB25" s="250">
        <v>500001870</v>
      </c>
    </row>
    <row r="26" spans="1:55">
      <c r="B26" s="163" t="s">
        <v>36</v>
      </c>
      <c r="D26" s="181">
        <v>-1009000</v>
      </c>
      <c r="E26" s="163"/>
      <c r="F26" s="181">
        <f t="shared" si="5"/>
        <v>-32548</v>
      </c>
      <c r="H26" s="195">
        <f>+J26/D26</f>
        <v>2.2400000000000002</v>
      </c>
      <c r="J26" s="190">
        <v>-2260160</v>
      </c>
      <c r="K26" s="163"/>
      <c r="L26" s="204">
        <f t="shared" si="6"/>
        <v>-2260.16</v>
      </c>
      <c r="N26" s="181">
        <v>-958132</v>
      </c>
      <c r="P26" s="181">
        <f t="shared" si="7"/>
        <v>-31938</v>
      </c>
      <c r="R26" s="200">
        <v>2.04</v>
      </c>
      <c r="T26" s="190">
        <f>+R26*N26</f>
        <v>-1954589.28</v>
      </c>
      <c r="V26" s="204">
        <f t="shared" si="8"/>
        <v>-1955</v>
      </c>
      <c r="X26" s="181">
        <v>928000</v>
      </c>
      <c r="Z26" s="181">
        <v>29935</v>
      </c>
      <c r="AB26" s="200">
        <v>2.04</v>
      </c>
      <c r="AD26" s="203">
        <v>1893120</v>
      </c>
      <c r="AF26" s="204">
        <f t="shared" si="12"/>
        <v>1893.12</v>
      </c>
      <c r="AJ26" s="181"/>
      <c r="AL26" s="195"/>
      <c r="AN26" s="203">
        <v>0.8</v>
      </c>
      <c r="AP26" s="204">
        <f t="shared" si="11"/>
        <v>8.0000000000000004E-4</v>
      </c>
      <c r="AR26" s="181">
        <f t="shared" si="9"/>
        <v>-1039132</v>
      </c>
      <c r="AT26" s="181">
        <f>+AJ26+Z26+P26+F26</f>
        <v>-34551</v>
      </c>
      <c r="AV26" s="195">
        <f>ROUND(AX14:AX26/AR26,4)</f>
        <v>2.2342</v>
      </c>
      <c r="AX26" s="190">
        <f t="shared" si="10"/>
        <v>-2321628.48</v>
      </c>
      <c r="AZ26" s="204">
        <f t="shared" si="13"/>
        <v>-2322.0392000000002</v>
      </c>
      <c r="BA26" s="163" t="s">
        <v>37</v>
      </c>
      <c r="BB26" s="163" t="s">
        <v>38</v>
      </c>
    </row>
    <row r="27" spans="1:55">
      <c r="B27" s="163" t="s">
        <v>39</v>
      </c>
      <c r="F27" s="181">
        <f>ROUND(D27/$AX$1,0)</f>
        <v>0</v>
      </c>
      <c r="H27" s="311"/>
      <c r="L27" s="204">
        <f t="shared" si="6"/>
        <v>0</v>
      </c>
      <c r="P27" s="181"/>
      <c r="V27" s="204">
        <f t="shared" si="8"/>
        <v>0</v>
      </c>
      <c r="X27" s="181" t="s">
        <v>48</v>
      </c>
      <c r="Y27" s="165"/>
      <c r="Z27" s="181">
        <v>0</v>
      </c>
      <c r="AB27" s="200">
        <v>3.82</v>
      </c>
      <c r="AD27" s="203"/>
      <c r="AF27" s="204">
        <f t="shared" si="12"/>
        <v>0</v>
      </c>
      <c r="AJ27" s="181"/>
      <c r="AL27" s="195"/>
      <c r="AN27" s="190"/>
      <c r="AP27" s="204">
        <f t="shared" si="11"/>
        <v>0</v>
      </c>
      <c r="AR27" s="181"/>
      <c r="AT27" s="181"/>
      <c r="AV27" s="195"/>
      <c r="AX27" s="190">
        <f t="shared" si="10"/>
        <v>0</v>
      </c>
      <c r="AZ27" s="204">
        <f t="shared" si="13"/>
        <v>0</v>
      </c>
    </row>
    <row r="28" spans="1:55">
      <c r="B28" s="163" t="s">
        <v>40</v>
      </c>
      <c r="D28" s="181">
        <v>0</v>
      </c>
      <c r="F28" s="181">
        <f t="shared" si="5"/>
        <v>0</v>
      </c>
      <c r="H28" s="195" t="e">
        <f>+J28/D28</f>
        <v>#DIV/0!</v>
      </c>
      <c r="J28" s="190">
        <v>0</v>
      </c>
      <c r="L28" s="204">
        <f t="shared" si="6"/>
        <v>0</v>
      </c>
      <c r="N28" s="181">
        <v>11553</v>
      </c>
      <c r="P28" s="181">
        <f t="shared" si="7"/>
        <v>385</v>
      </c>
      <c r="R28" s="200">
        <f>+T28/N28</f>
        <v>2.0364156496148187</v>
      </c>
      <c r="T28" s="203">
        <v>23526.71</v>
      </c>
      <c r="V28" s="204">
        <f t="shared" si="8"/>
        <v>24</v>
      </c>
      <c r="X28" s="181">
        <v>-11553</v>
      </c>
      <c r="Y28" s="165"/>
      <c r="Z28" s="181">
        <v>-373</v>
      </c>
      <c r="AB28" s="200">
        <v>2.0364156496148187</v>
      </c>
      <c r="AD28" s="203">
        <v>-23526.71</v>
      </c>
      <c r="AF28" s="204">
        <f t="shared" si="12"/>
        <v>-23.526709999999998</v>
      </c>
      <c r="AJ28" s="181"/>
      <c r="AL28" s="195"/>
      <c r="AN28" s="190"/>
      <c r="AP28" s="204">
        <f t="shared" si="11"/>
        <v>0</v>
      </c>
      <c r="AR28" s="181">
        <f>+AH28+X28+N28+D28</f>
        <v>0</v>
      </c>
      <c r="AT28" s="181">
        <f t="shared" ref="AT28:AT33" si="14">+AJ28+Z28+P28+F28</f>
        <v>12</v>
      </c>
      <c r="AV28" s="195" t="e">
        <f>ROUND(AX16:AX28/AR28,4)</f>
        <v>#DIV/0!</v>
      </c>
      <c r="AX28" s="190">
        <f t="shared" si="10"/>
        <v>0</v>
      </c>
      <c r="AZ28" s="204">
        <f t="shared" si="13"/>
        <v>0.47329000000000221</v>
      </c>
      <c r="BA28" s="250">
        <v>50001070</v>
      </c>
      <c r="BB28" s="250">
        <v>500001883</v>
      </c>
    </row>
    <row r="29" spans="1:55">
      <c r="B29" s="163" t="s">
        <v>41</v>
      </c>
      <c r="F29" s="181">
        <f t="shared" si="5"/>
        <v>0</v>
      </c>
      <c r="H29" s="195">
        <v>0</v>
      </c>
      <c r="L29" s="204">
        <f t="shared" si="6"/>
        <v>0</v>
      </c>
      <c r="N29" s="181">
        <v>-13395</v>
      </c>
      <c r="P29" s="181">
        <f t="shared" si="7"/>
        <v>-447</v>
      </c>
      <c r="R29" s="200">
        <v>2.04</v>
      </c>
      <c r="T29" s="190">
        <f>+R29*N29</f>
        <v>-27325.8</v>
      </c>
      <c r="V29" s="204">
        <f t="shared" si="8"/>
        <v>-27</v>
      </c>
      <c r="Y29" s="165"/>
      <c r="Z29" s="181">
        <v>0</v>
      </c>
      <c r="AB29" s="200">
        <v>0</v>
      </c>
      <c r="AD29" s="203"/>
      <c r="AF29" s="204">
        <f t="shared" si="12"/>
        <v>0</v>
      </c>
      <c r="AH29" s="181">
        <v>-43721</v>
      </c>
      <c r="AJ29" s="181">
        <f>ROUND(AH29/$AX$3,0)</f>
        <v>-1437</v>
      </c>
      <c r="AL29" s="195">
        <f>+AN29/AH29</f>
        <v>2.1417085611033597</v>
      </c>
      <c r="AN29" s="190">
        <v>-93637.64</v>
      </c>
      <c r="AP29" s="204">
        <f t="shared" si="11"/>
        <v>-93.637640000000005</v>
      </c>
      <c r="AR29" s="181">
        <f t="shared" si="9"/>
        <v>-57116</v>
      </c>
      <c r="AT29" s="181">
        <f t="shared" si="14"/>
        <v>-1884</v>
      </c>
      <c r="AV29" s="195">
        <f>ROUND(AX16:AX29/AR29,4)</f>
        <v>2.1179000000000001</v>
      </c>
      <c r="AX29" s="190">
        <f t="shared" si="10"/>
        <v>-120963.44</v>
      </c>
      <c r="AZ29" s="204">
        <f t="shared" si="13"/>
        <v>-120.63764</v>
      </c>
      <c r="BA29" s="250">
        <v>50001090</v>
      </c>
      <c r="BB29" s="250">
        <v>500001893</v>
      </c>
    </row>
    <row r="30" spans="1:55">
      <c r="B30" s="163" t="s">
        <v>42</v>
      </c>
      <c r="F30" s="181">
        <f t="shared" si="5"/>
        <v>0</v>
      </c>
      <c r="H30" s="195">
        <v>0</v>
      </c>
      <c r="L30" s="204">
        <f t="shared" si="6"/>
        <v>0</v>
      </c>
      <c r="N30" s="181">
        <v>128764</v>
      </c>
      <c r="P30" s="181">
        <f t="shared" si="7"/>
        <v>4292</v>
      </c>
      <c r="R30" s="200">
        <v>2.04</v>
      </c>
      <c r="T30" s="190">
        <f>+R30*N30</f>
        <v>262678.56</v>
      </c>
      <c r="V30" s="204">
        <f t="shared" si="8"/>
        <v>263</v>
      </c>
      <c r="Y30" s="165"/>
      <c r="Z30" s="181">
        <v>0</v>
      </c>
      <c r="AB30" s="200">
        <v>0</v>
      </c>
      <c r="AD30" s="203"/>
      <c r="AF30" s="204">
        <f t="shared" si="12"/>
        <v>0</v>
      </c>
      <c r="AJ30" s="181"/>
      <c r="AL30" s="195"/>
      <c r="AN30" s="203"/>
      <c r="AP30" s="204">
        <f t="shared" si="11"/>
        <v>0</v>
      </c>
      <c r="AR30" s="181">
        <f t="shared" si="9"/>
        <v>128764</v>
      </c>
      <c r="AT30" s="181">
        <f t="shared" si="14"/>
        <v>4292</v>
      </c>
      <c r="AV30" s="195">
        <f>ROUND(AX17:AX30/AR30,4)</f>
        <v>2.04</v>
      </c>
      <c r="AX30" s="190">
        <f t="shared" si="10"/>
        <v>262678.56</v>
      </c>
      <c r="AZ30" s="204">
        <f t="shared" si="13"/>
        <v>263</v>
      </c>
      <c r="BA30" s="250">
        <v>50001060</v>
      </c>
      <c r="BB30" s="250">
        <v>500001882</v>
      </c>
    </row>
    <row r="31" spans="1:55">
      <c r="B31" s="163" t="s">
        <v>43</v>
      </c>
      <c r="F31" s="181">
        <f t="shared" si="5"/>
        <v>0</v>
      </c>
      <c r="H31" s="195">
        <v>0</v>
      </c>
      <c r="L31" s="204">
        <f t="shared" si="6"/>
        <v>0</v>
      </c>
      <c r="P31" s="181">
        <f t="shared" si="7"/>
        <v>0</v>
      </c>
      <c r="V31" s="204">
        <f t="shared" si="8"/>
        <v>0</v>
      </c>
      <c r="Y31" s="165"/>
      <c r="Z31" s="181">
        <v>0</v>
      </c>
      <c r="AB31" s="200">
        <v>0</v>
      </c>
      <c r="AD31" s="203"/>
      <c r="AF31" s="204">
        <f t="shared" si="12"/>
        <v>0</v>
      </c>
      <c r="AJ31" s="181"/>
      <c r="AL31" s="195"/>
      <c r="AN31" s="203"/>
      <c r="AP31" s="204">
        <f t="shared" si="11"/>
        <v>0</v>
      </c>
      <c r="AR31" s="181">
        <f t="shared" si="9"/>
        <v>0</v>
      </c>
      <c r="AT31" s="181">
        <f t="shared" si="14"/>
        <v>0</v>
      </c>
      <c r="AV31" s="195">
        <v>0</v>
      </c>
      <c r="AX31" s="190">
        <f t="shared" si="10"/>
        <v>0</v>
      </c>
      <c r="AZ31" s="204">
        <f t="shared" si="13"/>
        <v>0</v>
      </c>
      <c r="BA31" s="250">
        <v>50001050</v>
      </c>
      <c r="BB31" s="250">
        <v>500001881</v>
      </c>
    </row>
    <row r="32" spans="1:55">
      <c r="B32" s="312" t="s">
        <v>44</v>
      </c>
      <c r="F32" s="181">
        <f t="shared" si="5"/>
        <v>0</v>
      </c>
      <c r="H32" s="195">
        <v>0</v>
      </c>
      <c r="L32" s="204">
        <f t="shared" si="6"/>
        <v>0</v>
      </c>
      <c r="P32" s="181">
        <f t="shared" si="7"/>
        <v>0</v>
      </c>
      <c r="R32" s="200">
        <v>0</v>
      </c>
      <c r="V32" s="204">
        <f t="shared" si="8"/>
        <v>0</v>
      </c>
      <c r="Y32" s="165"/>
      <c r="Z32" s="181">
        <v>0</v>
      </c>
      <c r="AB32" s="200">
        <v>0</v>
      </c>
      <c r="AD32" s="203">
        <v>0</v>
      </c>
      <c r="AF32" s="204">
        <f t="shared" si="12"/>
        <v>0</v>
      </c>
      <c r="AJ32" s="181"/>
      <c r="AL32" s="195"/>
      <c r="AN32" s="203"/>
      <c r="AP32" s="204">
        <f t="shared" si="11"/>
        <v>0</v>
      </c>
      <c r="AR32" s="181">
        <f t="shared" si="9"/>
        <v>0</v>
      </c>
      <c r="AT32" s="181">
        <f t="shared" si="14"/>
        <v>0</v>
      </c>
      <c r="AV32" s="195">
        <v>0</v>
      </c>
      <c r="AX32" s="190">
        <f t="shared" si="10"/>
        <v>0</v>
      </c>
      <c r="AZ32" s="204">
        <f t="shared" si="13"/>
        <v>0</v>
      </c>
    </row>
    <row r="33" spans="1:53">
      <c r="B33" s="163" t="s">
        <v>45</v>
      </c>
      <c r="F33" s="181">
        <f t="shared" si="5"/>
        <v>0</v>
      </c>
      <c r="H33" s="195">
        <v>0</v>
      </c>
      <c r="L33" s="204">
        <f t="shared" si="6"/>
        <v>0</v>
      </c>
      <c r="N33" s="181">
        <v>9509</v>
      </c>
      <c r="P33" s="181">
        <f t="shared" si="7"/>
        <v>317</v>
      </c>
      <c r="R33" s="200">
        <v>2.04</v>
      </c>
      <c r="T33" s="190">
        <f>+R33*N33</f>
        <v>19398.36</v>
      </c>
      <c r="V33" s="204">
        <f t="shared" si="8"/>
        <v>19</v>
      </c>
      <c r="Y33" s="165"/>
      <c r="Z33" s="181">
        <v>0</v>
      </c>
      <c r="AB33" s="200">
        <v>0</v>
      </c>
      <c r="AD33" s="203"/>
      <c r="AF33" s="204">
        <f t="shared" si="12"/>
        <v>0</v>
      </c>
      <c r="AJ33" s="181"/>
      <c r="AL33" s="195">
        <v>0</v>
      </c>
      <c r="AN33" s="256"/>
      <c r="AP33" s="204">
        <f t="shared" si="11"/>
        <v>0</v>
      </c>
      <c r="AR33" s="181">
        <f t="shared" si="9"/>
        <v>9509</v>
      </c>
      <c r="AT33" s="181">
        <f t="shared" si="14"/>
        <v>317</v>
      </c>
      <c r="AV33" s="195">
        <v>0</v>
      </c>
      <c r="AX33" s="190">
        <f t="shared" si="10"/>
        <v>19398.36</v>
      </c>
      <c r="AZ33" s="204">
        <f t="shared" si="13"/>
        <v>19</v>
      </c>
    </row>
    <row r="34" spans="1:53">
      <c r="B34" s="163" t="s">
        <v>196</v>
      </c>
      <c r="Y34" s="165"/>
      <c r="AE34" s="164"/>
      <c r="AN34" s="256"/>
      <c r="AR34" s="181"/>
      <c r="AV34" s="197"/>
      <c r="AX34" s="190">
        <f>-2335669.46</f>
        <v>-2335669.46</v>
      </c>
      <c r="AZ34" s="204">
        <f>+AX34/1000+1</f>
        <v>-2334.6694600000001</v>
      </c>
    </row>
    <row r="35" spans="1:53">
      <c r="A35" s="163" t="s">
        <v>46</v>
      </c>
      <c r="D35" s="182">
        <f>SUM(D20:D34)</f>
        <v>979733</v>
      </c>
      <c r="E35" s="175"/>
      <c r="F35" s="187">
        <f>SUM(F20:F34)</f>
        <v>31605</v>
      </c>
      <c r="G35" s="176"/>
      <c r="H35" s="196">
        <f>ROUND(J35/D35,4)</f>
        <v>2.3323999999999998</v>
      </c>
      <c r="I35" s="176"/>
      <c r="J35" s="191">
        <f>SUM(J20:J34)</f>
        <v>2285173.8899999997</v>
      </c>
      <c r="K35" s="177"/>
      <c r="L35" s="206">
        <f>SUM(L20:L34)</f>
        <v>2285.17389</v>
      </c>
      <c r="N35" s="182">
        <f>SUM(N20:N34)</f>
        <v>820816</v>
      </c>
      <c r="O35" s="175"/>
      <c r="P35" s="187">
        <f>SUM(P20:P34)</f>
        <v>27360</v>
      </c>
      <c r="Q35" s="176"/>
      <c r="R35" s="201">
        <f>ROUND(T35/N35,4)</f>
        <v>2.7078000000000002</v>
      </c>
      <c r="S35" s="176"/>
      <c r="T35" s="191">
        <f>SUM(T20:T34)</f>
        <v>2222578.38</v>
      </c>
      <c r="U35" s="177"/>
      <c r="V35" s="205">
        <f>SUM(V20:V34)</f>
        <v>2223</v>
      </c>
      <c r="W35" s="174"/>
      <c r="X35" s="182">
        <f>SUM(X22:X34)</f>
        <v>-805752</v>
      </c>
      <c r="Y35" s="182"/>
      <c r="Z35" s="182">
        <f>SUM(Z22:Z34)</f>
        <v>-25993</v>
      </c>
      <c r="AA35" s="176"/>
      <c r="AB35" s="196">
        <v>2.3403999999999998</v>
      </c>
      <c r="AC35" s="176"/>
      <c r="AD35" s="191">
        <f>SUM(AD21:AD34)</f>
        <v>-2199839.04</v>
      </c>
      <c r="AE35" s="177"/>
      <c r="AF35" s="205">
        <f>SUM(AF20:AF34)</f>
        <v>-2199.8390399999998</v>
      </c>
      <c r="AH35" s="182">
        <f>SUM(AH20:AH34)</f>
        <v>0</v>
      </c>
      <c r="AI35" s="175"/>
      <c r="AJ35" s="187">
        <f>SUM(AJ20:AJ34)</f>
        <v>-1437</v>
      </c>
      <c r="AK35" s="176"/>
      <c r="AL35" s="196">
        <v>0</v>
      </c>
      <c r="AM35" s="176"/>
      <c r="AN35" s="191">
        <f>SUM(AN20:AN34)</f>
        <v>27756.230000000069</v>
      </c>
      <c r="AO35" s="177"/>
      <c r="AP35" s="205">
        <f>SUM(AP20:AP34)</f>
        <v>27.756230000000016</v>
      </c>
      <c r="AR35" s="182">
        <f>SUM(AR20:AR34)</f>
        <v>994797</v>
      </c>
      <c r="AS35" s="175"/>
      <c r="AT35" s="187">
        <f>SUM(AT20:AT34)</f>
        <v>31535</v>
      </c>
      <c r="AU35" s="176"/>
      <c r="AV35" s="196">
        <f>ROUND(AX35/AR35,4)</f>
        <v>0</v>
      </c>
      <c r="AW35" s="176"/>
      <c r="AX35" s="191">
        <f>SUM(AX20:AX34)</f>
        <v>0</v>
      </c>
      <c r="AY35" s="177"/>
      <c r="AZ35" s="205">
        <f>SUM(AZ20:AZ34)</f>
        <v>1.4216200000000754</v>
      </c>
    </row>
    <row r="36" spans="1:53">
      <c r="AN36" s="190"/>
      <c r="AR36" s="181"/>
      <c r="AV36" s="197"/>
      <c r="AX36" s="190"/>
    </row>
    <row r="37" spans="1:53" ht="13.8" thickBot="1">
      <c r="A37" s="163" t="s">
        <v>47</v>
      </c>
      <c r="D37" s="183">
        <f>+D17-D35</f>
        <v>0</v>
      </c>
      <c r="E37" s="171"/>
      <c r="F37" s="183">
        <f>+F17-F35</f>
        <v>-1</v>
      </c>
      <c r="G37" s="179"/>
      <c r="H37" s="198">
        <v>0</v>
      </c>
      <c r="I37" s="179"/>
      <c r="J37" s="193">
        <f>+J17-J35</f>
        <v>9797.3300000000745</v>
      </c>
      <c r="K37" s="180"/>
      <c r="L37" s="207">
        <f>+L17-L35</f>
        <v>9.7973299999994197</v>
      </c>
      <c r="N37" s="183">
        <f>+N17-N35</f>
        <v>0</v>
      </c>
      <c r="O37" s="171"/>
      <c r="P37" s="183">
        <f>+P17-P35</f>
        <v>0</v>
      </c>
      <c r="Q37" s="179"/>
      <c r="R37" s="202">
        <v>0</v>
      </c>
      <c r="S37" s="179"/>
      <c r="T37" s="193">
        <f>+T17-T35</f>
        <v>-25827.029999999795</v>
      </c>
      <c r="U37" s="179"/>
      <c r="V37" s="207">
        <f>+V17-V35</f>
        <v>-27</v>
      </c>
      <c r="X37" s="183">
        <v>0</v>
      </c>
      <c r="Y37" s="171"/>
      <c r="Z37" s="183">
        <v>-1</v>
      </c>
      <c r="AA37" s="179"/>
      <c r="AB37" s="198">
        <v>0</v>
      </c>
      <c r="AC37" s="179"/>
      <c r="AD37" s="193">
        <f>+AD17-AD35</f>
        <v>41436.600000000093</v>
      </c>
      <c r="AE37" s="179"/>
      <c r="AF37" s="207">
        <f>+AF17-AF35</f>
        <v>41.436599999999544</v>
      </c>
      <c r="AH37" s="183">
        <f>+AH17-AH35</f>
        <v>0</v>
      </c>
      <c r="AI37" s="171"/>
      <c r="AJ37" s="183">
        <f>+AJ17-AJ35</f>
        <v>1437</v>
      </c>
      <c r="AK37" s="179"/>
      <c r="AL37" s="198">
        <v>0</v>
      </c>
      <c r="AM37" s="179"/>
      <c r="AN37" s="193">
        <f>+AN17-AN35</f>
        <v>-27756.230000000069</v>
      </c>
      <c r="AO37" s="179"/>
      <c r="AP37" s="207">
        <f>+AP17-AP35</f>
        <v>-27.756230000000016</v>
      </c>
      <c r="AR37" s="183">
        <f>+AR17-AR35</f>
        <v>0</v>
      </c>
      <c r="AS37" s="171"/>
      <c r="AT37" s="183">
        <f>+AT17-AT35</f>
        <v>1437</v>
      </c>
      <c r="AU37" s="179"/>
      <c r="AV37" s="198">
        <v>0</v>
      </c>
      <c r="AW37" s="179"/>
      <c r="AX37" s="193">
        <f>+AX17-AX35</f>
        <v>2333320.13</v>
      </c>
      <c r="AY37" s="179"/>
      <c r="AZ37" s="207">
        <f>+AZ17-AZ35</f>
        <v>2331.1471599999995</v>
      </c>
    </row>
    <row r="38" spans="1:53" ht="13.8" thickTop="1">
      <c r="AH38" s="181" t="s">
        <v>48</v>
      </c>
      <c r="AN38" s="190"/>
      <c r="AV38" s="197"/>
      <c r="AX38" s="192"/>
    </row>
    <row r="39" spans="1:53">
      <c r="D39" s="186"/>
      <c r="E39" s="245"/>
      <c r="F39" s="185"/>
      <c r="G39" s="174"/>
      <c r="H39" s="199"/>
      <c r="I39" s="174"/>
      <c r="J39" s="203"/>
      <c r="AH39" s="186"/>
      <c r="AI39" s="174"/>
      <c r="AJ39" s="185"/>
      <c r="AK39" s="174"/>
      <c r="AL39" s="199"/>
      <c r="AM39" s="174"/>
      <c r="AN39" s="203"/>
      <c r="AR39" s="185"/>
      <c r="AS39" s="174"/>
      <c r="AT39" s="189"/>
      <c r="AU39" s="174"/>
      <c r="AV39" s="199"/>
      <c r="AW39" s="174"/>
      <c r="AX39" s="194"/>
    </row>
    <row r="40" spans="1:53">
      <c r="B40" s="174"/>
      <c r="C40" s="313"/>
      <c r="D40" s="186"/>
      <c r="E40" s="245"/>
      <c r="F40" s="246" t="s">
        <v>199</v>
      </c>
      <c r="G40" s="174"/>
      <c r="H40" s="199"/>
      <c r="I40" s="174"/>
      <c r="J40" s="203">
        <v>729750</v>
      </c>
      <c r="K40" s="252"/>
      <c r="L40" s="251"/>
      <c r="N40" s="186"/>
      <c r="O40" s="174"/>
      <c r="P40" s="189"/>
      <c r="Q40" s="174"/>
      <c r="R40" s="209"/>
      <c r="S40" s="174"/>
      <c r="T40" s="203"/>
      <c r="AN40" s="190"/>
      <c r="AV40" s="197"/>
      <c r="AX40" s="192"/>
    </row>
    <row r="41" spans="1:53">
      <c r="B41" s="174"/>
      <c r="C41" s="313"/>
      <c r="D41" s="186"/>
      <c r="E41" s="245"/>
      <c r="F41" s="185" t="s">
        <v>40</v>
      </c>
      <c r="G41" s="174"/>
      <c r="H41" s="199"/>
      <c r="I41" s="174"/>
      <c r="J41" s="203">
        <v>-5197.53</v>
      </c>
      <c r="K41" s="252"/>
      <c r="L41" s="251"/>
      <c r="N41" s="186"/>
      <c r="O41" s="174"/>
      <c r="P41" s="189"/>
      <c r="Q41" s="174"/>
      <c r="R41" s="209"/>
      <c r="S41" s="174"/>
      <c r="T41" s="203"/>
      <c r="AN41" s="190"/>
      <c r="AV41" s="197"/>
      <c r="AX41" s="192"/>
    </row>
    <row r="42" spans="1:53">
      <c r="B42" s="174"/>
      <c r="C42" s="313"/>
      <c r="D42" s="186"/>
      <c r="E42" s="245"/>
      <c r="F42" s="185" t="s">
        <v>28</v>
      </c>
      <c r="G42" s="174"/>
      <c r="H42" s="199"/>
      <c r="I42" s="174"/>
      <c r="J42" s="253">
        <v>2842.6</v>
      </c>
      <c r="K42" s="252"/>
      <c r="L42" s="251"/>
      <c r="N42" s="186"/>
      <c r="O42" s="174"/>
      <c r="P42" s="185"/>
      <c r="Q42" s="174"/>
      <c r="R42" s="209"/>
      <c r="S42" s="174"/>
      <c r="T42" s="203"/>
      <c r="AN42" s="190"/>
      <c r="AV42" s="197"/>
      <c r="AX42" s="192"/>
    </row>
    <row r="43" spans="1:53" ht="13.8" thickBot="1">
      <c r="B43" s="174"/>
      <c r="C43" s="174"/>
      <c r="D43" s="186"/>
      <c r="E43" s="245"/>
      <c r="F43" s="185"/>
      <c r="G43" s="174"/>
      <c r="H43" s="199"/>
      <c r="I43" s="174"/>
      <c r="J43" s="203">
        <f>SUM(J40:J42)</f>
        <v>727395.07</v>
      </c>
      <c r="K43" s="252"/>
      <c r="L43" s="251"/>
      <c r="N43" s="186"/>
      <c r="O43" s="174"/>
      <c r="P43" s="185"/>
      <c r="Q43" s="174"/>
      <c r="R43" s="209"/>
      <c r="S43" s="174"/>
      <c r="T43" s="203"/>
      <c r="X43" s="181" t="s">
        <v>49</v>
      </c>
      <c r="AD43" s="193">
        <f>+AD37+T37</f>
        <v>15609.570000000298</v>
      </c>
      <c r="AH43" s="181" t="s">
        <v>50</v>
      </c>
      <c r="AN43" s="193">
        <f>-AN31</f>
        <v>0</v>
      </c>
      <c r="AR43" s="184" t="s">
        <v>51</v>
      </c>
      <c r="AV43" s="197"/>
      <c r="AX43" s="242" t="e">
        <f>+AN43+AD43+#REF!</f>
        <v>#REF!</v>
      </c>
      <c r="BA43" s="192"/>
    </row>
    <row r="44" spans="1:53" ht="13.8" thickTop="1">
      <c r="B44" s="174"/>
      <c r="C44" s="174"/>
      <c r="D44" s="186"/>
      <c r="E44" s="245"/>
      <c r="F44" s="185"/>
      <c r="G44" s="174"/>
      <c r="H44" s="199"/>
      <c r="I44" s="174"/>
      <c r="J44" s="203">
        <f>529413.94-727395.07</f>
        <v>-197981.13</v>
      </c>
      <c r="K44" s="252"/>
      <c r="L44" s="251"/>
      <c r="N44" s="186"/>
      <c r="O44" s="174"/>
      <c r="P44" s="185"/>
      <c r="Q44" s="174"/>
      <c r="R44" s="209"/>
      <c r="S44" s="174"/>
      <c r="T44" s="203"/>
      <c r="AN44" s="190"/>
      <c r="AV44" s="197"/>
      <c r="AX44" s="192"/>
    </row>
    <row r="45" spans="1:53">
      <c r="B45" s="174"/>
      <c r="C45" s="252"/>
      <c r="D45" s="186"/>
      <c r="E45" s="245"/>
      <c r="F45" s="185"/>
      <c r="G45" s="174"/>
      <c r="H45" s="314"/>
      <c r="I45" s="174"/>
      <c r="J45" s="203"/>
      <c r="K45" s="252"/>
      <c r="L45" s="251"/>
      <c r="N45" s="186"/>
      <c r="O45" s="174"/>
      <c r="P45" s="185"/>
      <c r="Q45" s="174"/>
      <c r="R45" s="209"/>
      <c r="S45" s="174"/>
      <c r="T45" s="203"/>
      <c r="AN45" s="190"/>
      <c r="AV45" s="197"/>
      <c r="AX45" s="192"/>
    </row>
    <row r="46" spans="1:53">
      <c r="B46" s="174"/>
      <c r="C46" s="252"/>
      <c r="D46" s="186"/>
      <c r="E46" s="245"/>
      <c r="F46" s="185"/>
      <c r="G46" s="174"/>
      <c r="H46" s="314"/>
      <c r="I46" s="174"/>
      <c r="J46" s="203"/>
      <c r="K46" s="252"/>
      <c r="L46" s="251"/>
      <c r="N46" s="186"/>
      <c r="O46" s="174"/>
      <c r="P46" s="185"/>
      <c r="Q46" s="174"/>
      <c r="R46" s="209"/>
      <c r="S46" s="174"/>
      <c r="T46" s="203"/>
      <c r="AN46" s="190"/>
      <c r="AV46" s="197"/>
      <c r="AX46" s="192"/>
    </row>
    <row r="47" spans="1:53">
      <c r="B47" s="174"/>
      <c r="C47" s="174"/>
      <c r="D47" s="186"/>
      <c r="E47" s="245"/>
      <c r="F47" s="185"/>
      <c r="G47" s="174"/>
      <c r="H47" s="246"/>
      <c r="I47" s="174"/>
      <c r="J47" s="203"/>
      <c r="K47" s="252"/>
      <c r="L47" s="251"/>
      <c r="AN47" s="190"/>
      <c r="AV47" s="197"/>
      <c r="AX47" s="192"/>
    </row>
    <row r="48" spans="1:53">
      <c r="B48" s="174"/>
      <c r="C48" s="174"/>
      <c r="D48" s="186"/>
      <c r="E48" s="245"/>
      <c r="F48" s="185"/>
      <c r="G48" s="174"/>
      <c r="H48" s="246"/>
      <c r="I48" s="174"/>
      <c r="J48" s="203"/>
      <c r="K48" s="252"/>
      <c r="L48" s="251"/>
      <c r="AD48" s="190">
        <f>+AD46-AD47</f>
        <v>0</v>
      </c>
      <c r="AN48" s="190"/>
      <c r="AV48" s="197"/>
      <c r="AX48" s="192"/>
    </row>
    <row r="49" spans="2:50">
      <c r="B49" s="174"/>
      <c r="C49" s="313"/>
      <c r="D49" s="186"/>
      <c r="E49" s="245"/>
      <c r="F49" s="246"/>
      <c r="G49" s="174"/>
      <c r="H49" s="199"/>
      <c r="I49" s="174"/>
      <c r="J49" s="203"/>
      <c r="K49" s="252"/>
      <c r="L49" s="251"/>
      <c r="AN49" s="190"/>
      <c r="AV49" s="197"/>
      <c r="AX49" s="192"/>
    </row>
    <row r="50" spans="2:50">
      <c r="B50" s="174"/>
      <c r="C50" s="313"/>
      <c r="D50" s="186"/>
      <c r="E50" s="245"/>
      <c r="F50" s="246"/>
      <c r="G50" s="174"/>
      <c r="H50" s="199"/>
      <c r="I50" s="174"/>
      <c r="J50" s="203"/>
      <c r="K50" s="252"/>
      <c r="L50" s="251"/>
      <c r="AN50" s="190"/>
      <c r="AV50" s="197"/>
      <c r="AX50" s="192"/>
    </row>
    <row r="51" spans="2:50">
      <c r="B51" s="174"/>
      <c r="C51" s="174"/>
      <c r="D51" s="186"/>
      <c r="E51" s="245"/>
      <c r="F51" s="185"/>
      <c r="G51" s="174"/>
      <c r="H51" s="199"/>
      <c r="I51" s="174"/>
      <c r="J51" s="203"/>
      <c r="K51" s="252"/>
      <c r="L51" s="251"/>
      <c r="AN51" s="190"/>
      <c r="AV51" s="197"/>
      <c r="AX51" s="192"/>
    </row>
    <row r="52" spans="2:50">
      <c r="B52" s="174"/>
      <c r="C52" s="174"/>
      <c r="D52" s="186"/>
      <c r="E52" s="245"/>
      <c r="F52" s="185"/>
      <c r="G52" s="174"/>
      <c r="H52" s="199"/>
      <c r="I52" s="174"/>
      <c r="J52" s="203"/>
      <c r="K52" s="252"/>
      <c r="L52" s="251"/>
      <c r="AN52" s="190"/>
      <c r="AV52" s="197"/>
      <c r="AX52" s="192"/>
    </row>
    <row r="53" spans="2:50">
      <c r="B53" s="174"/>
      <c r="C53" s="174"/>
      <c r="D53" s="186"/>
      <c r="E53" s="245"/>
      <c r="F53" s="185"/>
      <c r="G53" s="174"/>
      <c r="H53" s="199"/>
      <c r="I53" s="174"/>
      <c r="J53" s="203"/>
      <c r="K53" s="252"/>
      <c r="L53" s="251"/>
      <c r="AN53" s="190"/>
      <c r="AV53" s="197"/>
      <c r="AX53" s="192"/>
    </row>
    <row r="54" spans="2:50">
      <c r="AN54" s="190"/>
      <c r="AV54" s="197"/>
      <c r="AX54" s="192"/>
    </row>
    <row r="55" spans="2:50">
      <c r="AN55" s="190"/>
      <c r="AV55" s="197"/>
      <c r="AX55" s="192"/>
    </row>
    <row r="56" spans="2:50">
      <c r="J56" s="190">
        <f>+J12</f>
        <v>741675</v>
      </c>
      <c r="AN56" s="190"/>
      <c r="AV56" s="197"/>
      <c r="AX56" s="192"/>
    </row>
    <row r="57" spans="2:50">
      <c r="J57" s="190">
        <f>+J16</f>
        <v>0</v>
      </c>
      <c r="AN57" s="190"/>
      <c r="AV57" s="197"/>
      <c r="AX57" s="192"/>
    </row>
    <row r="58" spans="2:50">
      <c r="J58" s="190">
        <f>+J28</f>
        <v>0</v>
      </c>
      <c r="AN58" s="190"/>
      <c r="AV58" s="197"/>
      <c r="AX58" s="192"/>
    </row>
    <row r="59" spans="2:50">
      <c r="J59" s="190">
        <f>+J56+J57-J58</f>
        <v>741675</v>
      </c>
      <c r="AN59" s="190"/>
      <c r="AV59" s="197"/>
      <c r="AX59" s="192"/>
    </row>
    <row r="60" spans="2:50">
      <c r="AN60" s="190"/>
      <c r="AV60" s="197"/>
      <c r="AX60" s="192"/>
    </row>
    <row r="61" spans="2:50">
      <c r="AN61" s="190"/>
      <c r="AV61" s="197"/>
      <c r="AX61" s="192"/>
    </row>
    <row r="62" spans="2:50">
      <c r="AN62" s="190"/>
      <c r="AV62" s="197"/>
      <c r="AX62" s="192"/>
    </row>
    <row r="63" spans="2:50">
      <c r="AN63" s="190"/>
      <c r="AV63" s="197"/>
      <c r="AX63" s="192"/>
    </row>
    <row r="64" spans="2:50">
      <c r="J64" s="190">
        <f>+J62-J63</f>
        <v>0</v>
      </c>
      <c r="AN64" s="190"/>
      <c r="AV64" s="197"/>
      <c r="AX64" s="192"/>
    </row>
    <row r="65" spans="40:50">
      <c r="AN65" s="190"/>
      <c r="AV65" s="197"/>
      <c r="AX65" s="192"/>
    </row>
    <row r="66" spans="40:50">
      <c r="AN66" s="190"/>
      <c r="AV66" s="197"/>
      <c r="AX66" s="192"/>
    </row>
    <row r="67" spans="40:50">
      <c r="AN67" s="190"/>
      <c r="AV67" s="197"/>
      <c r="AX67" s="192"/>
    </row>
    <row r="68" spans="40:50">
      <c r="AN68" s="190"/>
      <c r="AV68" s="197"/>
      <c r="AX68" s="192"/>
    </row>
    <row r="69" spans="40:50">
      <c r="AN69" s="190"/>
      <c r="AV69" s="197"/>
      <c r="AX69" s="192"/>
    </row>
    <row r="70" spans="40:50">
      <c r="AN70" s="190"/>
      <c r="AV70" s="197"/>
      <c r="AX70" s="192"/>
    </row>
    <row r="71" spans="40:50">
      <c r="AN71" s="190"/>
      <c r="AV71" s="197"/>
      <c r="AX71" s="192"/>
    </row>
    <row r="72" spans="40:50">
      <c r="AN72" s="190"/>
      <c r="AV72" s="197"/>
      <c r="AX72" s="192"/>
    </row>
    <row r="73" spans="40:50">
      <c r="AN73" s="190"/>
      <c r="AV73" s="197"/>
      <c r="AX73" s="192"/>
    </row>
    <row r="74" spans="40:50">
      <c r="AN74" s="190"/>
      <c r="AV74" s="197"/>
      <c r="AX74" s="192"/>
    </row>
    <row r="75" spans="40:50">
      <c r="AN75" s="190"/>
      <c r="AV75" s="197"/>
      <c r="AX75" s="192"/>
    </row>
    <row r="76" spans="40:50">
      <c r="AN76" s="190"/>
      <c r="AV76" s="197"/>
      <c r="AX76" s="192"/>
    </row>
    <row r="77" spans="40:50">
      <c r="AN77" s="190"/>
      <c r="AV77" s="197"/>
      <c r="AX77" s="192"/>
    </row>
    <row r="78" spans="40:50">
      <c r="AN78" s="190"/>
      <c r="AV78" s="197"/>
      <c r="AX78" s="192"/>
    </row>
    <row r="79" spans="40:50">
      <c r="AN79" s="190"/>
      <c r="AV79" s="197"/>
      <c r="AX79" s="192"/>
    </row>
    <row r="80" spans="40:50">
      <c r="AN80" s="190"/>
      <c r="AV80" s="197"/>
      <c r="AX80" s="192"/>
    </row>
    <row r="81" spans="40:50">
      <c r="AN81" s="190"/>
      <c r="AV81" s="197"/>
      <c r="AX81" s="192"/>
    </row>
    <row r="82" spans="40:50">
      <c r="AN82" s="190"/>
      <c r="AV82" s="197"/>
      <c r="AX82" s="192"/>
    </row>
    <row r="83" spans="40:50">
      <c r="AN83" s="190"/>
      <c r="AV83" s="197"/>
      <c r="AX83" s="192"/>
    </row>
    <row r="84" spans="40:50">
      <c r="AN84" s="190"/>
      <c r="AV84" s="197"/>
      <c r="AX84" s="192"/>
    </row>
    <row r="85" spans="40:50">
      <c r="AN85" s="190"/>
      <c r="AV85" s="197"/>
      <c r="AX85" s="192"/>
    </row>
    <row r="86" spans="40:50">
      <c r="AN86" s="190"/>
      <c r="AV86" s="197"/>
      <c r="AX86" s="192"/>
    </row>
    <row r="87" spans="40:50">
      <c r="AN87" s="190"/>
      <c r="AV87" s="197"/>
      <c r="AX87" s="192"/>
    </row>
    <row r="88" spans="40:50">
      <c r="AN88" s="190"/>
      <c r="AV88" s="197"/>
      <c r="AX88" s="192"/>
    </row>
    <row r="89" spans="40:50">
      <c r="AN89" s="190"/>
      <c r="AV89" s="197"/>
      <c r="AX89" s="192"/>
    </row>
    <row r="90" spans="40:50">
      <c r="AN90" s="190"/>
      <c r="AV90" s="197"/>
      <c r="AX90" s="192"/>
    </row>
    <row r="91" spans="40:50">
      <c r="AN91" s="190"/>
      <c r="AV91" s="197"/>
      <c r="AX91" s="192"/>
    </row>
    <row r="92" spans="40:50">
      <c r="AN92" s="190"/>
      <c r="AV92" s="197"/>
      <c r="AX92" s="192"/>
    </row>
    <row r="93" spans="40:50">
      <c r="AN93" s="190"/>
      <c r="AV93" s="197"/>
      <c r="AX93" s="192"/>
    </row>
    <row r="94" spans="40:50">
      <c r="AN94" s="190"/>
      <c r="AV94" s="197"/>
      <c r="AX94" s="192"/>
    </row>
    <row r="95" spans="40:50">
      <c r="AN95" s="190"/>
      <c r="AV95" s="197"/>
      <c r="AX95" s="192"/>
    </row>
    <row r="96" spans="40:50">
      <c r="AN96" s="190"/>
      <c r="AV96" s="197"/>
      <c r="AX96" s="192"/>
    </row>
    <row r="97" spans="40:50">
      <c r="AN97" s="190"/>
      <c r="AV97" s="197"/>
      <c r="AX97" s="192"/>
    </row>
    <row r="98" spans="40:50">
      <c r="AN98" s="190"/>
      <c r="AV98" s="197"/>
      <c r="AX98" s="192"/>
    </row>
    <row r="99" spans="40:50">
      <c r="AN99" s="190"/>
      <c r="AV99" s="197"/>
      <c r="AX99" s="192"/>
    </row>
    <row r="100" spans="40:50">
      <c r="AN100" s="190"/>
      <c r="AV100" s="197"/>
      <c r="AX100" s="192"/>
    </row>
    <row r="101" spans="40:50">
      <c r="AN101" s="190"/>
      <c r="AV101" s="197"/>
      <c r="AX101" s="192"/>
    </row>
    <row r="102" spans="40:50">
      <c r="AN102" s="190"/>
      <c r="AV102" s="197"/>
      <c r="AX102" s="192"/>
    </row>
    <row r="103" spans="40:50">
      <c r="AV103" s="197"/>
      <c r="AX103" s="192"/>
    </row>
    <row r="104" spans="40:50">
      <c r="AV104" s="197"/>
      <c r="AX104" s="192"/>
    </row>
    <row r="105" spans="40:50">
      <c r="AV105" s="197"/>
      <c r="AX105" s="192"/>
    </row>
    <row r="106" spans="40:50">
      <c r="AV106" s="197"/>
      <c r="AX106" s="192"/>
    </row>
    <row r="107" spans="40:50">
      <c r="AV107" s="197"/>
      <c r="AX107" s="192"/>
    </row>
    <row r="108" spans="40:50">
      <c r="AV108" s="197"/>
      <c r="AX108" s="192"/>
    </row>
    <row r="109" spans="40:50">
      <c r="AV109" s="197"/>
      <c r="AX109" s="192"/>
    </row>
    <row r="110" spans="40:50">
      <c r="AV110" s="197"/>
      <c r="AX110" s="192"/>
    </row>
    <row r="111" spans="40:50">
      <c r="AV111" s="197"/>
      <c r="AX111" s="192"/>
    </row>
    <row r="112" spans="40:50">
      <c r="AV112" s="197"/>
      <c r="AX112" s="192"/>
    </row>
    <row r="113" spans="48:50">
      <c r="AV113" s="197"/>
      <c r="AX113" s="192"/>
    </row>
    <row r="114" spans="48:50">
      <c r="AV114" s="197"/>
      <c r="AX114" s="192"/>
    </row>
    <row r="115" spans="48:50">
      <c r="AV115" s="197"/>
      <c r="AX115" s="192"/>
    </row>
    <row r="116" spans="48:50">
      <c r="AV116" s="197"/>
      <c r="AX116" s="192"/>
    </row>
    <row r="117" spans="48:50">
      <c r="AV117" s="197"/>
      <c r="AX117" s="192"/>
    </row>
    <row r="118" spans="48:50">
      <c r="AV118" s="197"/>
      <c r="AX118" s="192"/>
    </row>
    <row r="119" spans="48:50">
      <c r="AV119" s="197"/>
      <c r="AX119" s="192"/>
    </row>
    <row r="120" spans="48:50">
      <c r="AV120" s="197"/>
      <c r="AX120" s="192"/>
    </row>
    <row r="121" spans="48:50">
      <c r="AV121" s="197"/>
      <c r="AX121" s="192"/>
    </row>
    <row r="122" spans="48:50">
      <c r="AV122" s="197"/>
      <c r="AX122" s="192"/>
    </row>
    <row r="123" spans="48:50">
      <c r="AV123" s="197"/>
      <c r="AX123" s="192"/>
    </row>
    <row r="124" spans="48:50">
      <c r="AV124" s="197"/>
      <c r="AX124" s="192"/>
    </row>
    <row r="125" spans="48:50">
      <c r="AV125" s="197"/>
      <c r="AX125" s="192"/>
    </row>
    <row r="126" spans="48:50">
      <c r="AV126" s="197"/>
      <c r="AX126" s="192"/>
    </row>
    <row r="127" spans="48:50">
      <c r="AV127" s="197"/>
      <c r="AX127" s="192"/>
    </row>
    <row r="128" spans="48:50">
      <c r="AV128" s="197"/>
      <c r="AX128" s="192"/>
    </row>
    <row r="129" spans="48:50">
      <c r="AV129" s="197"/>
      <c r="AX129" s="192"/>
    </row>
    <row r="130" spans="48:50">
      <c r="AV130" s="197"/>
      <c r="AX130" s="192"/>
    </row>
    <row r="131" spans="48:50">
      <c r="AV131" s="197"/>
      <c r="AX131" s="192"/>
    </row>
    <row r="132" spans="48:50">
      <c r="AV132" s="197"/>
      <c r="AX132" s="192"/>
    </row>
    <row r="133" spans="48:50">
      <c r="AV133" s="197"/>
      <c r="AX133" s="192"/>
    </row>
    <row r="134" spans="48:50">
      <c r="AV134" s="197"/>
      <c r="AX134" s="192"/>
    </row>
    <row r="135" spans="48:50">
      <c r="AV135" s="197"/>
      <c r="AX135" s="192"/>
    </row>
    <row r="136" spans="48:50">
      <c r="AV136" s="197"/>
      <c r="AX136" s="192"/>
    </row>
    <row r="137" spans="48:50">
      <c r="AV137" s="197"/>
      <c r="AX137" s="192"/>
    </row>
    <row r="138" spans="48:50">
      <c r="AV138" s="197"/>
      <c r="AX138" s="192"/>
    </row>
    <row r="139" spans="48:50">
      <c r="AV139" s="197"/>
      <c r="AX139" s="192"/>
    </row>
    <row r="140" spans="48:50">
      <c r="AV140" s="197"/>
      <c r="AX140" s="192"/>
    </row>
    <row r="141" spans="48:50">
      <c r="AV141" s="197"/>
      <c r="AX141" s="192"/>
    </row>
    <row r="142" spans="48:50">
      <c r="AV142" s="197"/>
      <c r="AX142" s="192"/>
    </row>
    <row r="143" spans="48:50">
      <c r="AV143" s="197"/>
      <c r="AX143" s="192"/>
    </row>
    <row r="144" spans="48:50">
      <c r="AV144" s="197"/>
      <c r="AX144" s="192"/>
    </row>
    <row r="145" spans="48:50">
      <c r="AV145" s="197"/>
      <c r="AX145" s="192"/>
    </row>
    <row r="146" spans="48:50">
      <c r="AV146" s="197"/>
      <c r="AX146" s="192"/>
    </row>
    <row r="147" spans="48:50">
      <c r="AV147" s="197"/>
      <c r="AX147" s="192"/>
    </row>
    <row r="148" spans="48:50">
      <c r="AV148" s="197"/>
      <c r="AX148" s="192"/>
    </row>
    <row r="149" spans="48:50">
      <c r="AV149" s="197"/>
      <c r="AX149" s="192"/>
    </row>
    <row r="150" spans="48:50">
      <c r="AV150" s="197"/>
      <c r="AX150" s="192"/>
    </row>
    <row r="151" spans="48:50">
      <c r="AV151" s="197"/>
      <c r="AX151" s="192"/>
    </row>
    <row r="152" spans="48:50">
      <c r="AV152" s="197"/>
      <c r="AX152" s="192"/>
    </row>
    <row r="153" spans="48:50">
      <c r="AV153" s="197"/>
      <c r="AX153" s="192"/>
    </row>
    <row r="154" spans="48:50">
      <c r="AV154" s="197"/>
      <c r="AX154" s="192"/>
    </row>
    <row r="155" spans="48:50">
      <c r="AV155" s="197"/>
      <c r="AX155" s="192"/>
    </row>
    <row r="156" spans="48:50">
      <c r="AV156" s="197"/>
      <c r="AX156" s="192"/>
    </row>
    <row r="157" spans="48:50">
      <c r="AV157" s="197"/>
      <c r="AX157" s="192"/>
    </row>
    <row r="158" spans="48:50">
      <c r="AV158" s="197"/>
      <c r="AX158" s="192"/>
    </row>
    <row r="159" spans="48:50">
      <c r="AV159" s="197"/>
      <c r="AX159" s="192"/>
    </row>
    <row r="160" spans="48:50">
      <c r="AV160" s="197"/>
      <c r="AX160" s="192"/>
    </row>
    <row r="161" spans="48:50">
      <c r="AV161" s="197"/>
      <c r="AX161" s="192"/>
    </row>
    <row r="162" spans="48:50">
      <c r="AV162" s="197"/>
      <c r="AX162" s="192"/>
    </row>
    <row r="163" spans="48:50">
      <c r="AV163" s="197"/>
      <c r="AX163" s="192"/>
    </row>
    <row r="164" spans="48:50">
      <c r="AV164" s="197"/>
      <c r="AX164" s="192"/>
    </row>
    <row r="165" spans="48:50">
      <c r="AV165" s="197"/>
      <c r="AX165" s="192"/>
    </row>
    <row r="166" spans="48:50">
      <c r="AV166" s="197"/>
      <c r="AX166" s="192"/>
    </row>
    <row r="167" spans="48:50">
      <c r="AV167" s="197"/>
      <c r="AX167" s="192"/>
    </row>
    <row r="168" spans="48:50">
      <c r="AV168" s="197"/>
      <c r="AX168" s="192"/>
    </row>
    <row r="169" spans="48:50">
      <c r="AV169" s="197"/>
      <c r="AX169" s="192"/>
    </row>
    <row r="170" spans="48:50">
      <c r="AV170" s="197"/>
      <c r="AX170" s="192"/>
    </row>
    <row r="171" spans="48:50">
      <c r="AV171" s="197"/>
      <c r="AX171" s="192"/>
    </row>
    <row r="172" spans="48:50">
      <c r="AV172" s="197"/>
      <c r="AX172" s="192"/>
    </row>
    <row r="173" spans="48:50">
      <c r="AV173" s="197"/>
      <c r="AX173" s="192"/>
    </row>
    <row r="174" spans="48:50">
      <c r="AV174" s="197"/>
      <c r="AX174" s="192"/>
    </row>
    <row r="175" spans="48:50">
      <c r="AV175" s="197"/>
      <c r="AX175" s="192"/>
    </row>
    <row r="176" spans="48:50">
      <c r="AV176" s="197"/>
      <c r="AX176" s="192"/>
    </row>
    <row r="177" spans="48:50">
      <c r="AV177" s="197"/>
      <c r="AX177" s="192"/>
    </row>
    <row r="178" spans="48:50">
      <c r="AV178" s="197"/>
      <c r="AX178" s="192"/>
    </row>
    <row r="179" spans="48:50">
      <c r="AV179" s="197"/>
      <c r="AX179" s="192"/>
    </row>
    <row r="180" spans="48:50">
      <c r="AV180" s="197"/>
      <c r="AX180" s="192"/>
    </row>
    <row r="181" spans="48:50">
      <c r="AV181" s="197"/>
      <c r="AX181" s="192"/>
    </row>
    <row r="182" spans="48:50">
      <c r="AV182" s="197"/>
      <c r="AX182" s="192"/>
    </row>
    <row r="183" spans="48:50">
      <c r="AV183" s="197"/>
      <c r="AX183" s="192"/>
    </row>
    <row r="184" spans="48:50">
      <c r="AV184" s="197"/>
      <c r="AX184" s="192"/>
    </row>
    <row r="185" spans="48:50">
      <c r="AV185" s="197"/>
      <c r="AX185" s="192"/>
    </row>
    <row r="186" spans="48:50">
      <c r="AV186" s="197"/>
      <c r="AX186" s="192"/>
    </row>
    <row r="187" spans="48:50">
      <c r="AX187" s="192"/>
    </row>
    <row r="188" spans="48:50">
      <c r="AX188" s="192"/>
    </row>
    <row r="189" spans="48:50">
      <c r="AX189" s="192"/>
    </row>
    <row r="190" spans="48:50">
      <c r="AX190" s="192"/>
    </row>
    <row r="191" spans="48:50">
      <c r="AX191" s="192"/>
    </row>
    <row r="192" spans="48:50">
      <c r="AX192" s="192"/>
    </row>
    <row r="193" spans="50:50">
      <c r="AX193" s="192"/>
    </row>
    <row r="194" spans="50:50">
      <c r="AX194" s="192"/>
    </row>
    <row r="195" spans="50:50">
      <c r="AX195" s="192"/>
    </row>
    <row r="196" spans="50:50">
      <c r="AX196" s="192"/>
    </row>
    <row r="197" spans="50:50">
      <c r="AX197" s="192"/>
    </row>
    <row r="198" spans="50:50">
      <c r="AX198" s="192"/>
    </row>
    <row r="199" spans="50:50">
      <c r="AX199" s="192"/>
    </row>
    <row r="200" spans="50:50">
      <c r="AX200" s="192"/>
    </row>
    <row r="201" spans="50:50">
      <c r="AX201" s="192"/>
    </row>
    <row r="202" spans="50:50">
      <c r="AX202" s="192"/>
    </row>
    <row r="203" spans="50:50">
      <c r="AX203" s="192"/>
    </row>
    <row r="204" spans="50:50">
      <c r="AX204" s="192"/>
    </row>
    <row r="205" spans="50:50">
      <c r="AX205" s="192"/>
    </row>
    <row r="206" spans="50:50">
      <c r="AX206" s="192"/>
    </row>
    <row r="207" spans="50:50">
      <c r="AX207" s="192"/>
    </row>
    <row r="208" spans="50:50">
      <c r="AX208" s="192"/>
    </row>
    <row r="209" spans="50:50">
      <c r="AX209" s="192"/>
    </row>
    <row r="210" spans="50:50">
      <c r="AX210" s="192"/>
    </row>
    <row r="211" spans="50:50">
      <c r="AX211" s="192"/>
    </row>
    <row r="212" spans="50:50">
      <c r="AX212" s="192"/>
    </row>
    <row r="213" spans="50:50">
      <c r="AX213" s="192"/>
    </row>
    <row r="214" spans="50:50">
      <c r="AX214" s="192"/>
    </row>
    <row r="215" spans="50:50">
      <c r="AX215" s="192"/>
    </row>
    <row r="216" spans="50:50">
      <c r="AX216" s="192"/>
    </row>
    <row r="217" spans="50:50">
      <c r="AX217" s="192"/>
    </row>
    <row r="218" spans="50:50">
      <c r="AX218" s="192"/>
    </row>
    <row r="219" spans="50:50">
      <c r="AX219" s="192"/>
    </row>
    <row r="220" spans="50:50">
      <c r="AX220" s="192"/>
    </row>
    <row r="221" spans="50:50">
      <c r="AX221" s="192"/>
    </row>
    <row r="222" spans="50:50">
      <c r="AX222" s="192"/>
    </row>
    <row r="223" spans="50:50">
      <c r="AX223" s="192"/>
    </row>
    <row r="224" spans="50:50">
      <c r="AX224" s="192"/>
    </row>
    <row r="225" spans="50:50">
      <c r="AX225" s="192"/>
    </row>
    <row r="226" spans="50:50">
      <c r="AX226" s="192"/>
    </row>
    <row r="227" spans="50:50">
      <c r="AX227" s="192"/>
    </row>
    <row r="228" spans="50:50">
      <c r="AX228" s="192"/>
    </row>
    <row r="229" spans="50:50">
      <c r="AX229" s="192"/>
    </row>
    <row r="230" spans="50:50">
      <c r="AX230" s="192"/>
    </row>
    <row r="231" spans="50:50">
      <c r="AX231" s="192"/>
    </row>
    <row r="232" spans="50:50">
      <c r="AX232" s="192"/>
    </row>
    <row r="233" spans="50:50">
      <c r="AX233" s="192"/>
    </row>
    <row r="234" spans="50:50">
      <c r="AX234" s="192"/>
    </row>
    <row r="235" spans="50:50">
      <c r="AX235" s="192"/>
    </row>
    <row r="236" spans="50:50">
      <c r="AX236" s="192"/>
    </row>
    <row r="237" spans="50:50">
      <c r="AX237" s="192"/>
    </row>
    <row r="238" spans="50:50">
      <c r="AX238" s="192"/>
    </row>
    <row r="239" spans="50:50">
      <c r="AX239" s="192"/>
    </row>
    <row r="240" spans="50:50">
      <c r="AX240" s="192"/>
    </row>
    <row r="241" spans="50:50">
      <c r="AX241" s="192"/>
    </row>
    <row r="242" spans="50:50">
      <c r="AX242" s="192"/>
    </row>
    <row r="243" spans="50:50">
      <c r="AX243" s="192"/>
    </row>
    <row r="244" spans="50:50">
      <c r="AX244" s="192"/>
    </row>
    <row r="245" spans="50:50">
      <c r="AX245" s="192"/>
    </row>
    <row r="246" spans="50:50">
      <c r="AX246" s="192"/>
    </row>
    <row r="247" spans="50:50">
      <c r="AX247" s="192"/>
    </row>
    <row r="248" spans="50:50">
      <c r="AX248" s="192"/>
    </row>
    <row r="249" spans="50:50">
      <c r="AX249" s="192"/>
    </row>
    <row r="250" spans="50:50">
      <c r="AX250" s="192"/>
    </row>
    <row r="251" spans="50:50">
      <c r="AX251" s="192"/>
    </row>
    <row r="252" spans="50:50">
      <c r="AX252" s="192"/>
    </row>
    <row r="253" spans="50:50">
      <c r="AX253" s="192"/>
    </row>
    <row r="254" spans="50:50">
      <c r="AX254" s="192"/>
    </row>
    <row r="255" spans="50:50">
      <c r="AX255" s="192"/>
    </row>
    <row r="256" spans="50:50">
      <c r="AX256" s="192"/>
    </row>
    <row r="257" spans="50:50">
      <c r="AX257" s="192"/>
    </row>
    <row r="258" spans="50:50">
      <c r="AX258" s="192"/>
    </row>
    <row r="259" spans="50:50">
      <c r="AX259" s="192"/>
    </row>
    <row r="260" spans="50:50">
      <c r="AX260" s="192"/>
    </row>
    <row r="261" spans="50:50">
      <c r="AX261" s="192"/>
    </row>
    <row r="262" spans="50:50">
      <c r="AX262" s="192"/>
    </row>
    <row r="263" spans="50:50">
      <c r="AX263" s="192"/>
    </row>
    <row r="264" spans="50:50">
      <c r="AX264" s="192"/>
    </row>
    <row r="265" spans="50:50">
      <c r="AX265" s="192"/>
    </row>
    <row r="266" spans="50:50">
      <c r="AX266" s="192"/>
    </row>
    <row r="267" spans="50:50">
      <c r="AX267" s="192"/>
    </row>
    <row r="268" spans="50:50">
      <c r="AX268" s="192"/>
    </row>
    <row r="269" spans="50:50">
      <c r="AX269" s="192"/>
    </row>
    <row r="270" spans="50:50">
      <c r="AX270" s="192"/>
    </row>
    <row r="271" spans="50:50">
      <c r="AX271" s="192"/>
    </row>
    <row r="272" spans="50:50">
      <c r="AX272" s="192"/>
    </row>
    <row r="273" spans="50:50">
      <c r="AX273" s="192"/>
    </row>
    <row r="274" spans="50:50">
      <c r="AX274" s="192"/>
    </row>
    <row r="275" spans="50:50">
      <c r="AX275" s="192"/>
    </row>
    <row r="276" spans="50:50">
      <c r="AX276" s="192"/>
    </row>
    <row r="277" spans="50:50">
      <c r="AX277" s="192"/>
    </row>
    <row r="278" spans="50:50">
      <c r="AX278" s="192"/>
    </row>
    <row r="279" spans="50:50">
      <c r="AX279" s="192"/>
    </row>
    <row r="280" spans="50:50">
      <c r="AX280" s="192"/>
    </row>
    <row r="281" spans="50:50">
      <c r="AX281" s="192"/>
    </row>
    <row r="282" spans="50:50">
      <c r="AX282" s="192"/>
    </row>
    <row r="283" spans="50:50">
      <c r="AX283" s="192"/>
    </row>
    <row r="284" spans="50:50">
      <c r="AX284" s="192"/>
    </row>
    <row r="285" spans="50:50">
      <c r="AX285" s="192"/>
    </row>
    <row r="286" spans="50:50">
      <c r="AX286" s="192"/>
    </row>
    <row r="287" spans="50:50">
      <c r="AX287" s="192"/>
    </row>
    <row r="288" spans="50:50">
      <c r="AX288" s="192"/>
    </row>
    <row r="289" spans="50:50">
      <c r="AX289" s="192"/>
    </row>
    <row r="290" spans="50:50">
      <c r="AX290" s="192"/>
    </row>
    <row r="291" spans="50:50">
      <c r="AX291" s="192"/>
    </row>
    <row r="292" spans="50:50">
      <c r="AX292" s="192"/>
    </row>
    <row r="293" spans="50:50">
      <c r="AX293" s="192"/>
    </row>
  </sheetData>
  <phoneticPr fontId="0" type="noConversion"/>
  <pageMargins left="0" right="0" top="0.75" bottom="0.75" header="0.5" footer="0.5"/>
  <pageSetup scale="63" fitToWidth="2" orientation="landscape" horizontalDpi="4294967292" verticalDpi="300" r:id="rId1"/>
  <headerFooter alignWithMargins="0">
    <oddHeader>&amp;A</oddHeader>
    <oddFooter>&amp;CPage 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ytd</vt:lpstr>
      <vt:lpstr>Margin</vt:lpstr>
      <vt:lpstr>TSPT_COT</vt:lpstr>
      <vt:lpstr>SLS_COS</vt:lpstr>
      <vt:lpstr>Margin!Print_Area</vt:lpstr>
      <vt:lpstr>SLS_COS!Print_Area</vt:lpstr>
      <vt:lpstr>TSPT_COT!Print_Area</vt:lpstr>
      <vt:lpstr>Margin!Print_Titles</vt:lpstr>
      <vt:lpstr>SLS_COS!Print_Titles</vt:lpstr>
      <vt:lpstr>TSPT_COT!Print_Titles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Havlíček Jan</cp:lastModifiedBy>
  <cp:lastPrinted>2002-02-15T16:19:47Z</cp:lastPrinted>
  <dcterms:created xsi:type="dcterms:W3CDTF">1997-05-05T19:59:43Z</dcterms:created>
  <dcterms:modified xsi:type="dcterms:W3CDTF">2023-09-10T11:02:49Z</dcterms:modified>
</cp:coreProperties>
</file>