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9120" tabRatio="449"/>
  </bookViews>
  <sheets>
    <sheet name="Report" sheetId="5" r:id="rId1"/>
    <sheet name="RHO_DRIF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A_FX">RHO_DRIFT!$BF$297:$BK$336</definedName>
    <definedName name="A_Rho">RHO_DRIFT!$BF$137:$BO$257</definedName>
    <definedName name="current_date">Report!$G$15</definedName>
    <definedName name="current_month">Report!$G$11</definedName>
    <definedName name="current_month2">Report!$G$17</definedName>
    <definedName name="dpr_date">Report!$A$4</definedName>
    <definedName name="old_date">Report!$G$13</definedName>
    <definedName name="old_month">Report!$G$12</definedName>
    <definedName name="other">#REF!</definedName>
    <definedName name="_xlnm.Print_Area" localSheetId="0">Report!$C$1:$CK$52</definedName>
    <definedName name="_xlnm.Print_Area" localSheetId="1">Report!$A$1:$CE$68</definedName>
    <definedName name="_xlnm.Print_Titles" localSheetId="0">Report!$A:$B</definedName>
    <definedName name="prior_date">Report!$G$16</definedName>
    <definedName name="report">Report!$A$1:$CE$69</definedName>
    <definedName name="RollLiquids" localSheetId="1">RHO_DRIFT!RollLiquids</definedName>
    <definedName name="RollLiquids">[0]!RollLiquids</definedName>
    <definedName name="TIME_BANDWIDTH">Report!#REF!</definedName>
    <definedName name="TIME_EMERGING">Report!$AO$7</definedName>
    <definedName name="TIME_GAS">Report!$C$7</definedName>
    <definedName name="TIME_GLOBAL">Report!$E$7</definedName>
    <definedName name="TIME_INTEREST">Report!$AQ$7</definedName>
    <definedName name="TIME_LONDON">Report!#REF!</definedName>
    <definedName name="TIME_POWER">Report!$AU$7</definedName>
    <definedName name="TIME_SC">Report!$AS$7</definedName>
    <definedName name="TIME_SINGAPORE">Report!$G$7</definedName>
  </definedNames>
  <calcPr calcId="92512" fullCalcOnLoad="1" calcOnSave="0"/>
</workbook>
</file>

<file path=xl/calcChain.xml><?xml version="1.0" encoding="utf-8"?>
<calcChain xmlns="http://schemas.openxmlformats.org/spreadsheetml/2006/main">
  <c r="CG1" i="5" l="1"/>
  <c r="CG2" i="5"/>
  <c r="CG4" i="5"/>
  <c r="H10" i="5"/>
  <c r="AN10" i="5"/>
  <c r="G15" i="5"/>
  <c r="G16" i="5"/>
  <c r="G17" i="5"/>
  <c r="CG19" i="5"/>
  <c r="CG25" i="5"/>
  <c r="CM29" i="5"/>
  <c r="CG30" i="5"/>
  <c r="C31" i="5"/>
  <c r="E31" i="5"/>
  <c r="G31" i="5"/>
  <c r="I31" i="5"/>
  <c r="K31" i="5"/>
  <c r="M31" i="5"/>
  <c r="O31" i="5"/>
  <c r="Q31" i="5"/>
  <c r="S31" i="5"/>
  <c r="U31" i="5"/>
  <c r="W31" i="5"/>
  <c r="Y31" i="5"/>
  <c r="AA31" i="5"/>
  <c r="AC31" i="5"/>
  <c r="AM31" i="5"/>
  <c r="AO31" i="5"/>
  <c r="AQ31" i="5"/>
  <c r="AS31" i="5"/>
  <c r="AU31" i="5"/>
  <c r="AW31" i="5"/>
  <c r="AY31" i="5"/>
  <c r="BA31" i="5"/>
  <c r="BC31" i="5"/>
  <c r="BE31" i="5"/>
  <c r="BG31" i="5"/>
  <c r="BI31" i="5"/>
  <c r="BQ31" i="5"/>
  <c r="BS31" i="5"/>
  <c r="BU31" i="5"/>
  <c r="CC31" i="5"/>
  <c r="CE31" i="5"/>
  <c r="CI31" i="5"/>
  <c r="CK31" i="5"/>
  <c r="C33" i="5"/>
  <c r="E33" i="5"/>
  <c r="G33" i="5"/>
  <c r="I33" i="5"/>
  <c r="K33" i="5"/>
  <c r="M33" i="5"/>
  <c r="O33" i="5"/>
  <c r="Q33" i="5"/>
  <c r="S33" i="5"/>
  <c r="U33" i="5"/>
  <c r="W33" i="5"/>
  <c r="Y33" i="5"/>
  <c r="AA33" i="5"/>
  <c r="AC33" i="5"/>
  <c r="AM33" i="5"/>
  <c r="AO33" i="5"/>
  <c r="AQ33" i="5"/>
  <c r="AS33" i="5"/>
  <c r="AU33" i="5"/>
  <c r="AW33" i="5"/>
  <c r="AY33" i="5"/>
  <c r="BA33" i="5"/>
  <c r="BC33" i="5"/>
  <c r="BG33" i="5"/>
  <c r="BI33" i="5"/>
  <c r="BQ33" i="5"/>
  <c r="BS33" i="5"/>
  <c r="BU33" i="5"/>
  <c r="CC33" i="5"/>
  <c r="CE33" i="5"/>
  <c r="C34" i="5"/>
  <c r="E34" i="5"/>
  <c r="G34" i="5"/>
  <c r="I34" i="5"/>
  <c r="K34" i="5"/>
  <c r="M34" i="5"/>
  <c r="O34" i="5"/>
  <c r="Q34" i="5"/>
  <c r="S34" i="5"/>
  <c r="U34" i="5"/>
  <c r="W34" i="5"/>
  <c r="Y34" i="5"/>
  <c r="AA34" i="5"/>
  <c r="AC34" i="5"/>
  <c r="AM34" i="5"/>
  <c r="AO34" i="5"/>
  <c r="AQ34" i="5"/>
  <c r="AS34" i="5"/>
  <c r="AU34" i="5"/>
  <c r="AW34" i="5"/>
  <c r="AY34" i="5"/>
  <c r="BA34" i="5"/>
  <c r="BC34" i="5"/>
  <c r="BE34" i="5"/>
  <c r="BG34" i="5"/>
  <c r="BI34" i="5"/>
  <c r="BQ34" i="5"/>
  <c r="BS34" i="5"/>
  <c r="BU34" i="5"/>
  <c r="CC34" i="5"/>
  <c r="CE34" i="5"/>
  <c r="CI34" i="5"/>
  <c r="CJ34" i="5"/>
  <c r="CK34" i="5"/>
  <c r="C35" i="5"/>
  <c r="E35" i="5"/>
  <c r="G35" i="5"/>
  <c r="I35" i="5"/>
  <c r="K35" i="5"/>
  <c r="M35" i="5"/>
  <c r="O35" i="5"/>
  <c r="Q35" i="5"/>
  <c r="S35" i="5"/>
  <c r="U35" i="5"/>
  <c r="W35" i="5"/>
  <c r="Y35" i="5"/>
  <c r="AA35" i="5"/>
  <c r="AC35" i="5"/>
  <c r="AM35" i="5"/>
  <c r="AO35" i="5"/>
  <c r="AQ35" i="5"/>
  <c r="AS35" i="5"/>
  <c r="AU35" i="5"/>
  <c r="AW35" i="5"/>
  <c r="AY35" i="5"/>
  <c r="BA35" i="5"/>
  <c r="BC35" i="5"/>
  <c r="BE35" i="5"/>
  <c r="BG35" i="5"/>
  <c r="BI35" i="5"/>
  <c r="BQ35" i="5"/>
  <c r="BS35" i="5"/>
  <c r="BU35" i="5"/>
  <c r="CC35" i="5"/>
  <c r="CE35" i="5"/>
  <c r="CI35" i="5"/>
  <c r="CK35" i="5"/>
  <c r="C36" i="5"/>
  <c r="E36" i="5"/>
  <c r="G36" i="5"/>
  <c r="I36" i="5"/>
  <c r="K36" i="5"/>
  <c r="M36" i="5"/>
  <c r="O36" i="5"/>
  <c r="Q36" i="5"/>
  <c r="S36" i="5"/>
  <c r="U36" i="5"/>
  <c r="W36" i="5"/>
  <c r="Y36" i="5"/>
  <c r="AA36" i="5"/>
  <c r="AC36" i="5"/>
  <c r="AM36" i="5"/>
  <c r="AO36" i="5"/>
  <c r="AQ36" i="5"/>
  <c r="AS36" i="5"/>
  <c r="AU36" i="5"/>
  <c r="AW36" i="5"/>
  <c r="AY36" i="5"/>
  <c r="BA36" i="5"/>
  <c r="BC36" i="5"/>
  <c r="BE36" i="5"/>
  <c r="BG36" i="5"/>
  <c r="BI36" i="5"/>
  <c r="BQ36" i="5"/>
  <c r="BS36" i="5"/>
  <c r="BU36" i="5"/>
  <c r="CC36" i="5"/>
  <c r="CE36" i="5"/>
  <c r="CI36" i="5"/>
  <c r="CK36" i="5"/>
  <c r="C37" i="5"/>
  <c r="E37" i="5"/>
  <c r="G37" i="5"/>
  <c r="I37" i="5"/>
  <c r="K37" i="5"/>
  <c r="M37" i="5"/>
  <c r="O37" i="5"/>
  <c r="Q37" i="5"/>
  <c r="S37" i="5"/>
  <c r="U37" i="5"/>
  <c r="W37" i="5"/>
  <c r="Y37" i="5"/>
  <c r="AA37" i="5"/>
  <c r="AC37" i="5"/>
  <c r="AM37" i="5"/>
  <c r="AO37" i="5"/>
  <c r="AQ37" i="5"/>
  <c r="AS37" i="5"/>
  <c r="AU37" i="5"/>
  <c r="AW37" i="5"/>
  <c r="AY37" i="5"/>
  <c r="BA37" i="5"/>
  <c r="BC37" i="5"/>
  <c r="BE37" i="5"/>
  <c r="BG37" i="5"/>
  <c r="BI37" i="5"/>
  <c r="BQ37" i="5"/>
  <c r="BS37" i="5"/>
  <c r="BU37" i="5"/>
  <c r="CC37" i="5"/>
  <c r="CE37" i="5"/>
  <c r="CI37" i="5"/>
  <c r="CK37" i="5"/>
  <c r="C38" i="5"/>
  <c r="E38" i="5"/>
  <c r="G38" i="5"/>
  <c r="I38" i="5"/>
  <c r="K38" i="5"/>
  <c r="M38" i="5"/>
  <c r="O38" i="5"/>
  <c r="Q38" i="5"/>
  <c r="S38" i="5"/>
  <c r="U38" i="5"/>
  <c r="W38" i="5"/>
  <c r="Y38" i="5"/>
  <c r="AA38" i="5"/>
  <c r="AC38" i="5"/>
  <c r="AM38" i="5"/>
  <c r="AO38" i="5"/>
  <c r="AQ38" i="5"/>
  <c r="AS38" i="5"/>
  <c r="AU38" i="5"/>
  <c r="AW38" i="5"/>
  <c r="AY38" i="5"/>
  <c r="BA38" i="5"/>
  <c r="BC38" i="5"/>
  <c r="BE38" i="5"/>
  <c r="BG38" i="5"/>
  <c r="BI38" i="5"/>
  <c r="BQ38" i="5"/>
  <c r="BS38" i="5"/>
  <c r="BU38" i="5"/>
  <c r="CC38" i="5"/>
  <c r="CE38" i="5"/>
  <c r="CI38" i="5"/>
  <c r="CK38" i="5"/>
  <c r="C39" i="5"/>
  <c r="E39" i="5"/>
  <c r="G39" i="5"/>
  <c r="I39" i="5"/>
  <c r="K39" i="5"/>
  <c r="M39" i="5"/>
  <c r="O39" i="5"/>
  <c r="Q39" i="5"/>
  <c r="S39" i="5"/>
  <c r="U39" i="5"/>
  <c r="W39" i="5"/>
  <c r="Y39" i="5"/>
  <c r="AA39" i="5"/>
  <c r="AC39" i="5"/>
  <c r="AM39" i="5"/>
  <c r="AO39" i="5"/>
  <c r="AQ39" i="5"/>
  <c r="AS39" i="5"/>
  <c r="AU39" i="5"/>
  <c r="AW39" i="5"/>
  <c r="AY39" i="5"/>
  <c r="BA39" i="5"/>
  <c r="BC39" i="5"/>
  <c r="BE39" i="5"/>
  <c r="BG39" i="5"/>
  <c r="BI39" i="5"/>
  <c r="BQ39" i="5"/>
  <c r="BS39" i="5"/>
  <c r="BU39" i="5"/>
  <c r="CC39" i="5"/>
  <c r="CE39" i="5"/>
  <c r="CI39" i="5"/>
  <c r="CK39" i="5"/>
  <c r="C40" i="5"/>
  <c r="E40" i="5"/>
  <c r="G40" i="5"/>
  <c r="I40" i="5"/>
  <c r="K40" i="5"/>
  <c r="M40" i="5"/>
  <c r="O40" i="5"/>
  <c r="Q40" i="5"/>
  <c r="S40" i="5"/>
  <c r="U40" i="5"/>
  <c r="W40" i="5"/>
  <c r="Y40" i="5"/>
  <c r="AA40" i="5"/>
  <c r="AC40" i="5"/>
  <c r="AM40" i="5"/>
  <c r="AO40" i="5"/>
  <c r="AQ40" i="5"/>
  <c r="AS40" i="5"/>
  <c r="AU40" i="5"/>
  <c r="AW40" i="5"/>
  <c r="AY40" i="5"/>
  <c r="BA40" i="5"/>
  <c r="BC40" i="5"/>
  <c r="BE40" i="5"/>
  <c r="BG40" i="5"/>
  <c r="BI40" i="5"/>
  <c r="BQ40" i="5"/>
  <c r="BS40" i="5"/>
  <c r="BU40" i="5"/>
  <c r="CC40" i="5"/>
  <c r="CE40" i="5"/>
  <c r="CI40" i="5"/>
  <c r="CJ40" i="5"/>
  <c r="CK40" i="5"/>
  <c r="C41" i="5"/>
  <c r="E41" i="5"/>
  <c r="G41" i="5"/>
  <c r="I41" i="5"/>
  <c r="K41" i="5"/>
  <c r="M41" i="5"/>
  <c r="O41" i="5"/>
  <c r="Q41" i="5"/>
  <c r="S41" i="5"/>
  <c r="U41" i="5"/>
  <c r="W41" i="5"/>
  <c r="Y41" i="5"/>
  <c r="AA41" i="5"/>
  <c r="AC41" i="5"/>
  <c r="AM41" i="5"/>
  <c r="AO41" i="5"/>
  <c r="AQ41" i="5"/>
  <c r="AS41" i="5"/>
  <c r="AU41" i="5"/>
  <c r="AW41" i="5"/>
  <c r="AY41" i="5"/>
  <c r="BA41" i="5"/>
  <c r="BC41" i="5"/>
  <c r="BE41" i="5"/>
  <c r="BG41" i="5"/>
  <c r="BI41" i="5"/>
  <c r="BQ41" i="5"/>
  <c r="BS41" i="5"/>
  <c r="BU41" i="5"/>
  <c r="CC41" i="5"/>
  <c r="CE41" i="5"/>
  <c r="CI41" i="5"/>
  <c r="CK41" i="5"/>
  <c r="C42" i="5"/>
  <c r="E42" i="5"/>
  <c r="G42" i="5"/>
  <c r="I42" i="5"/>
  <c r="K42" i="5"/>
  <c r="M42" i="5"/>
  <c r="O42" i="5"/>
  <c r="Q42" i="5"/>
  <c r="S42" i="5"/>
  <c r="U42" i="5"/>
  <c r="W42" i="5"/>
  <c r="Y42" i="5"/>
  <c r="AA42" i="5"/>
  <c r="AC42" i="5"/>
  <c r="AM42" i="5"/>
  <c r="AO42" i="5"/>
  <c r="AQ42" i="5"/>
  <c r="AS42" i="5"/>
  <c r="AU42" i="5"/>
  <c r="AW42" i="5"/>
  <c r="AY42" i="5"/>
  <c r="BA42" i="5"/>
  <c r="BC42" i="5"/>
  <c r="BE42" i="5"/>
  <c r="BG42" i="5"/>
  <c r="BI42" i="5"/>
  <c r="BK42" i="5"/>
  <c r="BQ42" i="5"/>
  <c r="BS42" i="5"/>
  <c r="BU42" i="5"/>
  <c r="CC42" i="5"/>
  <c r="CE42" i="5"/>
  <c r="CI42" i="5"/>
  <c r="CJ42" i="5"/>
  <c r="CK42" i="5"/>
  <c r="C43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M43" i="5"/>
  <c r="AO43" i="5"/>
  <c r="AQ43" i="5"/>
  <c r="AS43" i="5"/>
  <c r="AU43" i="5"/>
  <c r="AW43" i="5"/>
  <c r="AY43" i="5"/>
  <c r="BA43" i="5"/>
  <c r="BC43" i="5"/>
  <c r="BE43" i="5"/>
  <c r="BG43" i="5"/>
  <c r="BI43" i="5"/>
  <c r="BQ43" i="5"/>
  <c r="BS43" i="5"/>
  <c r="BU43" i="5"/>
  <c r="CC43" i="5"/>
  <c r="CE43" i="5"/>
  <c r="CI43" i="5"/>
  <c r="CK43" i="5"/>
  <c r="C44" i="5"/>
  <c r="E44" i="5"/>
  <c r="G44" i="5"/>
  <c r="I44" i="5"/>
  <c r="K44" i="5"/>
  <c r="M44" i="5"/>
  <c r="O44" i="5"/>
  <c r="Q44" i="5"/>
  <c r="S44" i="5"/>
  <c r="U44" i="5"/>
  <c r="W44" i="5"/>
  <c r="Y44" i="5"/>
  <c r="AA44" i="5"/>
  <c r="AC44" i="5"/>
  <c r="AM44" i="5"/>
  <c r="AO44" i="5"/>
  <c r="AQ44" i="5"/>
  <c r="AS44" i="5"/>
  <c r="AU44" i="5"/>
  <c r="AW44" i="5"/>
  <c r="AY44" i="5"/>
  <c r="BA44" i="5"/>
  <c r="BC44" i="5"/>
  <c r="BE44" i="5"/>
  <c r="BG44" i="5"/>
  <c r="BI44" i="5"/>
  <c r="BQ44" i="5"/>
  <c r="BS44" i="5"/>
  <c r="BU44" i="5"/>
  <c r="CC44" i="5"/>
  <c r="CE44" i="5"/>
  <c r="CI44" i="5"/>
  <c r="CJ44" i="5"/>
  <c r="CK44" i="5"/>
  <c r="C46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M46" i="5"/>
  <c r="AO46" i="5"/>
  <c r="AQ46" i="5"/>
  <c r="AS46" i="5"/>
  <c r="AU46" i="5"/>
  <c r="AW46" i="5"/>
  <c r="AY46" i="5"/>
  <c r="BA46" i="5"/>
  <c r="BC46" i="5"/>
  <c r="BE46" i="5"/>
  <c r="BG46" i="5"/>
  <c r="BI46" i="5"/>
  <c r="BK46" i="5"/>
  <c r="BQ46" i="5"/>
  <c r="BS46" i="5"/>
  <c r="BU46" i="5"/>
  <c r="CC46" i="5"/>
  <c r="CE46" i="5"/>
  <c r="CI46" i="5"/>
  <c r="CJ46" i="5"/>
  <c r="CK46" i="5"/>
  <c r="CM46" i="5"/>
  <c r="CN46" i="5"/>
  <c r="C48" i="5"/>
  <c r="E48" i="5"/>
  <c r="G48" i="5"/>
  <c r="I48" i="5"/>
  <c r="K48" i="5"/>
  <c r="M48" i="5"/>
  <c r="O48" i="5"/>
  <c r="Q48" i="5"/>
  <c r="S48" i="5"/>
  <c r="U48" i="5"/>
  <c r="W48" i="5"/>
  <c r="Y48" i="5"/>
  <c r="AA48" i="5"/>
  <c r="AC48" i="5"/>
  <c r="AM48" i="5"/>
  <c r="AO48" i="5"/>
  <c r="AQ48" i="5"/>
  <c r="AS48" i="5"/>
  <c r="AU48" i="5"/>
  <c r="AW48" i="5"/>
  <c r="AY48" i="5"/>
  <c r="BA48" i="5"/>
  <c r="BC48" i="5"/>
  <c r="BE48" i="5"/>
  <c r="BG48" i="5"/>
  <c r="BI48" i="5"/>
  <c r="BK48" i="5"/>
  <c r="BQ48" i="5"/>
  <c r="BS48" i="5"/>
  <c r="BU48" i="5"/>
  <c r="CC48" i="5"/>
  <c r="CG48" i="5"/>
  <c r="CJ48" i="5"/>
  <c r="CK48" i="5"/>
  <c r="C49" i="5"/>
  <c r="E49" i="5"/>
  <c r="G49" i="5"/>
  <c r="I49" i="5"/>
  <c r="K49" i="5"/>
  <c r="M49" i="5"/>
  <c r="O49" i="5"/>
  <c r="Q49" i="5"/>
  <c r="S49" i="5"/>
  <c r="U49" i="5"/>
  <c r="W49" i="5"/>
  <c r="Y49" i="5"/>
  <c r="AA49" i="5"/>
  <c r="AC49" i="5"/>
  <c r="AM49" i="5"/>
  <c r="AO49" i="5"/>
  <c r="AQ49" i="5"/>
  <c r="AS49" i="5"/>
  <c r="AU49" i="5"/>
  <c r="AW49" i="5"/>
  <c r="AY49" i="5"/>
  <c r="BA49" i="5"/>
  <c r="BC49" i="5"/>
  <c r="BE49" i="5"/>
  <c r="BG49" i="5"/>
  <c r="BI49" i="5"/>
  <c r="BQ49" i="5"/>
  <c r="BS49" i="5"/>
  <c r="BU49" i="5"/>
  <c r="CC49" i="5"/>
  <c r="CE49" i="5"/>
  <c r="CI49" i="5"/>
  <c r="CJ49" i="5"/>
  <c r="CK49" i="5"/>
  <c r="C50" i="5"/>
  <c r="E50" i="5"/>
  <c r="G50" i="5"/>
  <c r="I50" i="5"/>
  <c r="K50" i="5"/>
  <c r="M50" i="5"/>
  <c r="O50" i="5"/>
  <c r="Q50" i="5"/>
  <c r="S50" i="5"/>
  <c r="U50" i="5"/>
  <c r="W50" i="5"/>
  <c r="Y50" i="5"/>
  <c r="AA50" i="5"/>
  <c r="AC50" i="5"/>
  <c r="AM50" i="5"/>
  <c r="AO50" i="5"/>
  <c r="AQ50" i="5"/>
  <c r="AS50" i="5"/>
  <c r="AU50" i="5"/>
  <c r="AW50" i="5"/>
  <c r="AY50" i="5"/>
  <c r="BA50" i="5"/>
  <c r="BC50" i="5"/>
  <c r="BE50" i="5"/>
  <c r="BG50" i="5"/>
  <c r="BI50" i="5"/>
  <c r="BQ50" i="5"/>
  <c r="BS50" i="5"/>
  <c r="BU50" i="5"/>
  <c r="CC50" i="5"/>
  <c r="CE50" i="5"/>
  <c r="CI50" i="5"/>
  <c r="CK50" i="5"/>
  <c r="C51" i="5"/>
  <c r="E51" i="5"/>
  <c r="G51" i="5"/>
  <c r="I51" i="5"/>
  <c r="K51" i="5"/>
  <c r="M51" i="5"/>
  <c r="O51" i="5"/>
  <c r="Q51" i="5"/>
  <c r="S51" i="5"/>
  <c r="U51" i="5"/>
  <c r="W51" i="5"/>
  <c r="Y51" i="5"/>
  <c r="AA51" i="5"/>
  <c r="AC51" i="5"/>
  <c r="AM51" i="5"/>
  <c r="AO51" i="5"/>
  <c r="AQ51" i="5"/>
  <c r="AS51" i="5"/>
  <c r="AU51" i="5"/>
  <c r="AW51" i="5"/>
  <c r="AY51" i="5"/>
  <c r="BA51" i="5"/>
  <c r="BC51" i="5"/>
  <c r="BE51" i="5"/>
  <c r="BG51" i="5"/>
  <c r="BI51" i="5"/>
  <c r="BQ51" i="5"/>
  <c r="BS51" i="5"/>
  <c r="BU51" i="5"/>
  <c r="CC51" i="5"/>
  <c r="CE51" i="5"/>
  <c r="CI51" i="5"/>
  <c r="CJ51" i="5"/>
  <c r="CK51" i="5"/>
  <c r="CM51" i="5"/>
  <c r="C52" i="5"/>
  <c r="D52" i="5"/>
  <c r="E52" i="5"/>
  <c r="G52" i="5"/>
  <c r="I52" i="5"/>
  <c r="K52" i="5"/>
  <c r="M52" i="5"/>
  <c r="O52" i="5"/>
  <c r="Q52" i="5"/>
  <c r="S52" i="5"/>
  <c r="U52" i="5"/>
  <c r="W52" i="5"/>
  <c r="Y52" i="5"/>
  <c r="AA52" i="5"/>
  <c r="AC52" i="5"/>
  <c r="AM52" i="5"/>
  <c r="AO52" i="5"/>
  <c r="AQ52" i="5"/>
  <c r="AS52" i="5"/>
  <c r="AU52" i="5"/>
  <c r="AW52" i="5"/>
  <c r="AY52" i="5"/>
  <c r="BA52" i="5"/>
  <c r="BC52" i="5"/>
  <c r="BE52" i="5"/>
  <c r="BG52" i="5"/>
  <c r="BI52" i="5"/>
  <c r="BQ52" i="5"/>
  <c r="BS52" i="5"/>
  <c r="BU52" i="5"/>
  <c r="CC52" i="5"/>
  <c r="CE52" i="5"/>
  <c r="CI52" i="5"/>
  <c r="CJ52" i="5"/>
  <c r="CK52" i="5"/>
  <c r="CI54" i="5"/>
  <c r="CJ54" i="5"/>
  <c r="CK54" i="5"/>
  <c r="CI57" i="5"/>
  <c r="CJ57" i="5"/>
  <c r="CK57" i="5"/>
  <c r="CI58" i="5"/>
  <c r="CJ58" i="5"/>
  <c r="CK58" i="5"/>
  <c r="CI59" i="5"/>
  <c r="CJ59" i="5"/>
  <c r="CK59" i="5"/>
  <c r="CI60" i="5"/>
  <c r="CJ60" i="5"/>
  <c r="CK60" i="5"/>
  <c r="CI61" i="5"/>
  <c r="CJ61" i="5"/>
  <c r="CK61" i="5"/>
  <c r="C108" i="2"/>
  <c r="C114" i="2"/>
  <c r="BF131" i="2"/>
  <c r="BG131" i="2"/>
  <c r="BH131" i="2"/>
  <c r="BI131" i="2"/>
  <c r="BJ131" i="2"/>
  <c r="BK131" i="2"/>
  <c r="C132" i="2"/>
  <c r="BF132" i="2"/>
  <c r="BG132" i="2"/>
  <c r="BH132" i="2"/>
  <c r="BI132" i="2"/>
  <c r="BJ132" i="2"/>
  <c r="BK132" i="2"/>
  <c r="BF133" i="2"/>
  <c r="BG133" i="2"/>
  <c r="BH133" i="2"/>
  <c r="BI133" i="2"/>
  <c r="BJ133" i="2"/>
  <c r="BK133" i="2"/>
  <c r="BF134" i="2"/>
  <c r="BG134" i="2"/>
  <c r="BJ134" i="2"/>
  <c r="BK134" i="2"/>
  <c r="BF135" i="2"/>
  <c r="BG135" i="2"/>
  <c r="BH135" i="2"/>
  <c r="BI135" i="2"/>
  <c r="BJ135" i="2"/>
  <c r="BK135" i="2"/>
  <c r="BF136" i="2"/>
  <c r="BG136" i="2"/>
  <c r="BJ136" i="2"/>
  <c r="BK136" i="2"/>
  <c r="C138" i="2"/>
  <c r="BG138" i="2"/>
  <c r="BJ138" i="2"/>
  <c r="BG141" i="2"/>
  <c r="BL141" i="2"/>
  <c r="BC142" i="2"/>
  <c r="BD142" i="2"/>
  <c r="BE142" i="2"/>
  <c r="BG142" i="2"/>
  <c r="BH142" i="2"/>
  <c r="BL142" i="2"/>
  <c r="BG144" i="2"/>
  <c r="BL144" i="2"/>
  <c r="BE145" i="2"/>
  <c r="BG145" i="2"/>
  <c r="BH145" i="2"/>
  <c r="BL145" i="2"/>
  <c r="BG147" i="2"/>
  <c r="BL147" i="2"/>
  <c r="C148" i="2"/>
  <c r="BC148" i="2"/>
  <c r="BD148" i="2"/>
  <c r="BE148" i="2"/>
  <c r="BG148" i="2"/>
  <c r="BH148" i="2"/>
  <c r="BL148" i="2"/>
  <c r="BG150" i="2"/>
  <c r="BL150" i="2"/>
  <c r="BC151" i="2"/>
  <c r="BD151" i="2"/>
  <c r="BG151" i="2"/>
  <c r="BH151" i="2"/>
  <c r="BL151" i="2"/>
  <c r="BG153" i="2"/>
  <c r="BL153" i="2"/>
  <c r="BC154" i="2"/>
  <c r="BD154" i="2"/>
  <c r="BG154" i="2"/>
  <c r="BH154" i="2"/>
  <c r="BL154" i="2"/>
  <c r="BG156" i="2"/>
  <c r="BL156" i="2"/>
  <c r="BC157" i="2"/>
  <c r="BD157" i="2"/>
  <c r="BG157" i="2"/>
  <c r="BH157" i="2"/>
  <c r="BL157" i="2"/>
  <c r="BG159" i="2"/>
  <c r="BL159" i="2"/>
  <c r="BC160" i="2"/>
  <c r="BD160" i="2"/>
  <c r="BE160" i="2"/>
  <c r="BG160" i="2"/>
  <c r="BH160" i="2"/>
  <c r="BL160" i="2"/>
  <c r="E161" i="2"/>
  <c r="BG162" i="2"/>
  <c r="BL162" i="2"/>
  <c r="BC163" i="2"/>
  <c r="BD163" i="2"/>
  <c r="BE163" i="2"/>
  <c r="BG163" i="2"/>
  <c r="BH163" i="2"/>
  <c r="BL163" i="2"/>
  <c r="BG165" i="2"/>
  <c r="BL165" i="2"/>
  <c r="BC166" i="2"/>
  <c r="BD166" i="2"/>
  <c r="BE166" i="2"/>
  <c r="BG166" i="2"/>
  <c r="BH166" i="2"/>
  <c r="BL166" i="2"/>
  <c r="BG168" i="2"/>
  <c r="BL168" i="2"/>
  <c r="BC169" i="2"/>
  <c r="BD169" i="2"/>
  <c r="BG169" i="2"/>
  <c r="BH169" i="2"/>
  <c r="BL169" i="2"/>
  <c r="BG171" i="2"/>
  <c r="BL171" i="2"/>
  <c r="BC172" i="2"/>
  <c r="BD172" i="2"/>
  <c r="BE172" i="2"/>
  <c r="BG172" i="2"/>
  <c r="BH172" i="2"/>
  <c r="BL172" i="2"/>
  <c r="BG174" i="2"/>
  <c r="BL174" i="2"/>
  <c r="E175" i="2"/>
  <c r="BC175" i="2"/>
  <c r="BD175" i="2"/>
  <c r="BE175" i="2"/>
  <c r="BG175" i="2"/>
  <c r="BH175" i="2"/>
  <c r="BL175" i="2"/>
  <c r="E177" i="2"/>
  <c r="BG177" i="2"/>
  <c r="BL177" i="2"/>
  <c r="E178" i="2"/>
  <c r="BC178" i="2"/>
  <c r="BD178" i="2"/>
  <c r="BG178" i="2"/>
  <c r="BH178" i="2"/>
  <c r="BL178" i="2"/>
  <c r="E179" i="2"/>
  <c r="K179" i="2"/>
  <c r="E180" i="2"/>
  <c r="BG180" i="2"/>
  <c r="BL180" i="2"/>
  <c r="E181" i="2"/>
  <c r="BC181" i="2"/>
  <c r="BD181" i="2"/>
  <c r="BE181" i="2"/>
  <c r="BG181" i="2"/>
  <c r="BH181" i="2"/>
  <c r="BL181" i="2"/>
  <c r="E182" i="2"/>
  <c r="E183" i="2"/>
  <c r="BG183" i="2"/>
  <c r="BL183" i="2"/>
  <c r="E184" i="2"/>
  <c r="BE184" i="2"/>
  <c r="BG184" i="2"/>
  <c r="BH184" i="2"/>
  <c r="BL184" i="2"/>
  <c r="E185" i="2"/>
  <c r="E186" i="2"/>
  <c r="BG186" i="2"/>
  <c r="BL186" i="2"/>
  <c r="E187" i="2"/>
  <c r="BC187" i="2"/>
  <c r="BD187" i="2"/>
  <c r="BE187" i="2"/>
  <c r="BG187" i="2"/>
  <c r="BH187" i="2"/>
  <c r="BL187" i="2"/>
  <c r="E188" i="2"/>
  <c r="E189" i="2"/>
  <c r="G189" i="2"/>
  <c r="BA189" i="2"/>
  <c r="BB189" i="2"/>
  <c r="BC189" i="2"/>
  <c r="BD189" i="2"/>
  <c r="E190" i="2"/>
  <c r="E191" i="2"/>
  <c r="G191" i="2"/>
  <c r="BG191" i="2"/>
  <c r="BL191" i="2"/>
  <c r="E192" i="2"/>
  <c r="BC192" i="2"/>
  <c r="BD192" i="2"/>
  <c r="BE192" i="2"/>
  <c r="BG192" i="2"/>
  <c r="BH192" i="2"/>
  <c r="BL192" i="2"/>
  <c r="E193" i="2"/>
  <c r="E194" i="2"/>
  <c r="BG194" i="2"/>
  <c r="BL194" i="2"/>
  <c r="E195" i="2"/>
  <c r="BC195" i="2"/>
  <c r="BD195" i="2"/>
  <c r="BG195" i="2"/>
  <c r="BH195" i="2"/>
  <c r="BL195" i="2"/>
  <c r="E196" i="2"/>
  <c r="E197" i="2"/>
  <c r="BG197" i="2"/>
  <c r="BL197" i="2"/>
  <c r="E198" i="2"/>
  <c r="BC198" i="2"/>
  <c r="BD198" i="2"/>
  <c r="BE198" i="2"/>
  <c r="BG198" i="2"/>
  <c r="BH198" i="2"/>
  <c r="BL198" i="2"/>
  <c r="E199" i="2"/>
  <c r="E200" i="2"/>
  <c r="BG200" i="2"/>
  <c r="BL200" i="2"/>
  <c r="E201" i="2"/>
  <c r="BC201" i="2"/>
  <c r="BD201" i="2"/>
  <c r="BE201" i="2"/>
  <c r="BG201" i="2"/>
  <c r="BH201" i="2"/>
  <c r="BL201" i="2"/>
  <c r="E202" i="2"/>
  <c r="E203" i="2"/>
  <c r="E204" i="2"/>
  <c r="BG204" i="2"/>
  <c r="BL204" i="2"/>
  <c r="E205" i="2"/>
  <c r="BC205" i="2"/>
  <c r="BD205" i="2"/>
  <c r="BE205" i="2"/>
  <c r="BG205" i="2"/>
  <c r="BH205" i="2"/>
  <c r="BL205" i="2"/>
  <c r="E206" i="2"/>
  <c r="E207" i="2"/>
  <c r="BG207" i="2"/>
  <c r="BL207" i="2"/>
  <c r="BC208" i="2"/>
  <c r="BD208" i="2"/>
  <c r="BG208" i="2"/>
  <c r="BH208" i="2"/>
  <c r="BL208" i="2"/>
  <c r="BG210" i="2"/>
  <c r="BL210" i="2"/>
  <c r="BC211" i="2"/>
  <c r="BD211" i="2"/>
  <c r="BG211" i="2"/>
  <c r="BH211" i="2"/>
  <c r="BL211" i="2"/>
  <c r="BG213" i="2"/>
  <c r="BL213" i="2"/>
  <c r="BC214" i="2"/>
  <c r="BD214" i="2"/>
  <c r="BG214" i="2"/>
  <c r="BH214" i="2"/>
  <c r="BL214" i="2"/>
  <c r="BG216" i="2"/>
  <c r="BL216" i="2"/>
  <c r="BC217" i="2"/>
  <c r="BD217" i="2"/>
  <c r="BG217" i="2"/>
  <c r="BH217" i="2"/>
  <c r="BL217" i="2"/>
  <c r="BG219" i="2"/>
  <c r="BL219" i="2"/>
  <c r="BC220" i="2"/>
  <c r="BD220" i="2"/>
  <c r="BE220" i="2"/>
  <c r="BG220" i="2"/>
  <c r="BH220" i="2"/>
  <c r="BL220" i="2"/>
  <c r="BC222" i="2"/>
  <c r="BD222" i="2"/>
  <c r="BL224" i="2"/>
  <c r="BC225" i="2"/>
  <c r="BD225" i="2"/>
  <c r="BL225" i="2"/>
  <c r="BG227" i="2"/>
  <c r="BL227" i="2"/>
  <c r="BC228" i="2"/>
  <c r="BD228" i="2"/>
  <c r="BG228" i="2"/>
  <c r="BH228" i="2"/>
  <c r="BL228" i="2"/>
  <c r="BG230" i="2"/>
  <c r="BL230" i="2"/>
  <c r="BC231" i="2"/>
  <c r="BD231" i="2"/>
  <c r="BE231" i="2"/>
  <c r="BG231" i="2"/>
  <c r="BH231" i="2"/>
  <c r="BL231" i="2"/>
  <c r="BC233" i="2"/>
  <c r="BD233" i="2"/>
  <c r="BG235" i="2"/>
  <c r="BL235" i="2"/>
  <c r="BC236" i="2"/>
  <c r="BD236" i="2"/>
  <c r="BE236" i="2"/>
  <c r="BG236" i="2"/>
  <c r="BH236" i="2"/>
  <c r="BL236" i="2"/>
  <c r="BG238" i="2"/>
  <c r="BL238" i="2"/>
  <c r="BC239" i="2"/>
  <c r="BD239" i="2"/>
  <c r="BG239" i="2"/>
  <c r="BH239" i="2"/>
  <c r="BL239" i="2"/>
  <c r="BC241" i="2"/>
  <c r="BD241" i="2"/>
  <c r="BC244" i="2"/>
  <c r="BD244" i="2"/>
  <c r="BC245" i="2"/>
  <c r="BD245" i="2"/>
  <c r="BG249" i="2"/>
  <c r="BH249" i="2"/>
  <c r="BL249" i="2"/>
  <c r="BC250" i="2"/>
  <c r="BD250" i="2"/>
  <c r="BE250" i="2"/>
  <c r="BH253" i="2"/>
  <c r="BL253" i="2"/>
  <c r="BH257" i="2"/>
  <c r="BL257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E26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29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49" authorId="0" shapeId="0">
      <text>
        <r>
          <rPr>
            <sz val="12"/>
            <color indexed="81"/>
            <rFont val="Tahoma"/>
            <family val="2"/>
          </rPr>
          <t>Cell references Gross Book Balance Excluding Rho/Drift (there is a Canadian rho/drift LTD balance still included in this book.)</t>
        </r>
      </text>
    </comment>
    <comment ref="CJ49" authorId="0" shapeId="0">
      <text>
        <r>
          <rPr>
            <sz val="16"/>
            <color indexed="81"/>
            <rFont val="Tahoma"/>
            <family val="2"/>
          </rPr>
          <t>Add unrealized amount cell in e165 or so each beginning of month.`</t>
        </r>
      </text>
    </comment>
    <comment ref="CJ51" authorId="0" shapeId="0">
      <text>
        <r>
          <rPr>
            <sz val="8"/>
            <color indexed="81"/>
            <rFont val="Tahoma"/>
          </rPr>
          <t xml:space="preserve">Add unrealized amount cell in g165 or so each beginning of month.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aluong</author>
    <author>s_khopper</author>
  </authors>
  <commentList>
    <comment ref="C132" authorId="0" shapeId="0">
      <text>
        <r>
          <rPr>
            <sz val="8"/>
            <color indexed="81"/>
            <rFont val="Tahoma"/>
          </rPr>
          <t>The Canadian roll was modified to show a corrected calculation procedure for rho &amp; drift.  This change was then carried through to the interest rate roll to account for the new rho &amp; drift gross book balance.</t>
        </r>
      </text>
    </comment>
    <comment ref="C138" authorId="0" shapeId="0">
      <text>
        <r>
          <rPr>
            <sz val="8"/>
            <color indexed="81"/>
            <rFont val="Tahoma"/>
          </rPr>
          <t xml:space="preserve">The $209 adjustment accounts for June 28th rho and drift for the storage book.  </t>
        </r>
      </text>
    </comment>
    <comment ref="C165" authorId="0" shapeId="0">
      <text>
        <r>
          <rPr>
            <sz val="8"/>
            <color indexed="81"/>
            <rFont val="Tahoma"/>
          </rPr>
          <t>From BL 225.  Sum of realized and unrealized rho and drift.
Look  on the Rho/Drift file which Christine maintains to come up with the Unrealized and Realized breakout.</t>
        </r>
      </text>
    </comment>
    <comment ref="E165" authorId="0" shapeId="0">
      <text>
        <r>
          <rPr>
            <sz val="8"/>
            <color indexed="81"/>
            <rFont val="Tahoma"/>
          </rPr>
          <t xml:space="preserve">Derived from the difference from number to move BL 225 - BH 209.
</t>
        </r>
      </text>
    </comment>
    <comment ref="G165" authorId="0" shapeId="0">
      <text>
        <r>
          <rPr>
            <sz val="8"/>
            <color indexed="81"/>
            <rFont val="Tahoma"/>
          </rPr>
          <t>From cell Current month BH 209.</t>
        </r>
      </text>
    </comment>
    <comment ref="K174" authorId="0" shapeId="0">
      <text>
        <r>
          <rPr>
            <sz val="8"/>
            <color indexed="81"/>
            <rFont val="Tahoma"/>
          </rPr>
          <t xml:space="preserve">lbolt:
Plug to correct LTD balances per Phyllis
</t>
        </r>
      </text>
    </comment>
    <comment ref="E179" authorId="0" shapeId="0">
      <text>
        <r>
          <rPr>
            <sz val="8"/>
            <color indexed="81"/>
            <rFont val="Tahoma"/>
          </rPr>
          <t xml:space="preserve">Kevin D. Ashby:
the difference  between total and realized
</t>
        </r>
      </text>
    </comment>
    <comment ref="G179" authorId="0" shapeId="0">
      <text>
        <r>
          <rPr>
            <sz val="8"/>
            <color indexed="81"/>
            <rFont val="Tahoma"/>
          </rPr>
          <t>Kevin D. Ashby:
from cell bh221</t>
        </r>
      </text>
    </comment>
    <comment ref="K179" authorId="0" shapeId="0">
      <text>
        <r>
          <rPr>
            <sz val="8"/>
            <color indexed="81"/>
            <rFont val="Tahoma"/>
          </rPr>
          <t>Kevin D. Ashby:
from cell bi135</t>
        </r>
      </text>
    </comment>
    <comment ref="C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BH225
total Rho/drift for the month</t>
        </r>
      </text>
    </comment>
    <comment ref="G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BD222 (realized)</t>
        </r>
      </text>
    </comment>
    <comment ref="K200" authorId="1" shapeId="0">
      <text>
        <r>
          <rPr>
            <sz val="8"/>
            <color indexed="81"/>
            <rFont val="Tahoma"/>
          </rPr>
          <t>Cell
BE 135 (ERMS/Infinity variance)</t>
        </r>
      </text>
    </comment>
    <comment ref="C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TOTAL RHO/DRIFT</t>
        </r>
      </text>
    </comment>
    <comment ref="E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REALIZED</t>
        </r>
      </text>
    </comment>
    <comment ref="G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UNREALIZED</t>
        </r>
      </text>
    </comment>
    <comment ref="K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INFINITY ADJUSTMENT</t>
        </r>
      </text>
    </comment>
    <comment ref="BE205" authorId="0" shapeId="0">
      <text>
        <r>
          <rPr>
            <sz val="8"/>
            <color indexed="81"/>
            <rFont val="Tahoma"/>
          </rPr>
          <t>does not include singapore or the Canadian Oil book in WTI because this rho/drift is not captured in the U.S. General Ledger.</t>
        </r>
      </text>
    </comment>
  </commentList>
</comments>
</file>

<file path=xl/sharedStrings.xml><?xml version="1.0" encoding="utf-8"?>
<sst xmlns="http://schemas.openxmlformats.org/spreadsheetml/2006/main" count="449" uniqueCount="288">
  <si>
    <t>EEL</t>
  </si>
  <si>
    <t>DAILY POSITION REPORT</t>
  </si>
  <si>
    <t>EFP</t>
  </si>
  <si>
    <t xml:space="preserve"> </t>
  </si>
  <si>
    <t>Crude</t>
  </si>
  <si>
    <t>NGL</t>
  </si>
  <si>
    <t>Power</t>
  </si>
  <si>
    <t>Basis</t>
  </si>
  <si>
    <t>RISK BOOKS</t>
  </si>
  <si>
    <t>INTEREST RATE PORTFOLIO</t>
  </si>
  <si>
    <t>PRICE BOOKS</t>
  </si>
  <si>
    <t>Canadian</t>
  </si>
  <si>
    <t>Refined</t>
  </si>
  <si>
    <t>Enron</t>
  </si>
  <si>
    <t>Total</t>
  </si>
  <si>
    <t>Gas</t>
  </si>
  <si>
    <t>Oil</t>
  </si>
  <si>
    <t>Interest</t>
  </si>
  <si>
    <t>Foreign</t>
  </si>
  <si>
    <t>Interest Rate</t>
  </si>
  <si>
    <t>Rho &amp;</t>
  </si>
  <si>
    <t xml:space="preserve">Resid </t>
  </si>
  <si>
    <t>Products</t>
  </si>
  <si>
    <t>Daily</t>
  </si>
  <si>
    <t xml:space="preserve">Rates </t>
  </si>
  <si>
    <t>Currency</t>
  </si>
  <si>
    <t>Hedges</t>
  </si>
  <si>
    <t>Drift</t>
  </si>
  <si>
    <t>Portfolio</t>
  </si>
  <si>
    <t>Volumes  long/(short)  (Million MMbtu)</t>
  </si>
  <si>
    <t>PV Margins  (in thousands)</t>
  </si>
  <si>
    <t xml:space="preserve">     Gross Book Balance</t>
  </si>
  <si>
    <t xml:space="preserve">     Prudence</t>
  </si>
  <si>
    <t xml:space="preserve">     Liquidated</t>
  </si>
  <si>
    <t xml:space="preserve">    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</si>
  <si>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</si>
  <si>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</si>
  <si>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</si>
  <si>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</si>
  <si>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</si>
  <si>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</si>
  <si>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</si>
  <si>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</t>
  </si>
  <si>
    <t xml:space="preserve">         Theta</t>
  </si>
  <si>
    <t xml:space="preserve">         Options Variance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</si>
  <si>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</si>
  <si>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</si>
  <si>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</si>
  <si>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</si>
  <si>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</si>
  <si>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</si>
  <si>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LTD Through December 31, 1998</t>
  </si>
  <si>
    <t>YTD Through  June 30, 1999</t>
  </si>
  <si>
    <t xml:space="preserve">     Prudence </t>
  </si>
  <si>
    <t>Rho &amp; Drift for Int. Rate Book - 10/93</t>
  </si>
  <si>
    <t>Rho &amp; Drift for Int. Rate Book - 8/93</t>
  </si>
  <si>
    <t>Rho &amp; Drift for Int. Rate Book - 9/93</t>
  </si>
  <si>
    <t>Rho &amp; Drift for Int. Rate Book - 11/93</t>
  </si>
  <si>
    <t>Rho &amp; Drift for Int. Rate Book - 12/93</t>
  </si>
  <si>
    <t>Rho &amp; Drift for Int. Rate Book - 01/94</t>
  </si>
  <si>
    <t>Rho &amp; Drift for Int. Rate Book - 02/94</t>
  </si>
  <si>
    <t>Rho &amp; Drift for Int. Rate Book - 03/94</t>
  </si>
  <si>
    <t>Rho &amp; Drift for Int. Rate Book - 04/94</t>
  </si>
  <si>
    <t>Rho &amp; Drift for Int. Rate Book - 05/94</t>
  </si>
  <si>
    <t>Rho &amp; Drift for Int. Rate Book - 06/94</t>
  </si>
  <si>
    <t>Rho &amp; Drift for Int. Rate Book - 07/94</t>
  </si>
  <si>
    <t>Rho &amp; Drift for Int. Rate Book - 08/94</t>
  </si>
  <si>
    <t>Rho &amp; Drift for Int. Rate Book - 09/94</t>
  </si>
  <si>
    <t>Rho &amp; Drift for Int. Rate Book - 10/94</t>
  </si>
  <si>
    <t>Rho &amp; Drift for Int. Rate Book - 11/94</t>
  </si>
  <si>
    <t>Rho &amp; Drift for Int. Rate Book - 12/94</t>
  </si>
  <si>
    <t>Rho &amp; Drift for Int. Rate Book - 1/95</t>
  </si>
  <si>
    <t>Rho &amp; Drift for Int. Rate Book - 2/95</t>
  </si>
  <si>
    <t>Rho &amp; Drift for Int. Rate Book - 3/95</t>
  </si>
  <si>
    <t>Rho &amp; Drift for Int. Rate Book - 4/95</t>
  </si>
  <si>
    <t>Rho &amp; Drift for Int. Rate Book - 5/95</t>
  </si>
  <si>
    <t>Rho &amp; Drift for Int. Rate Book - 6/95</t>
  </si>
  <si>
    <t>Rho &amp; Drift for Int. Rate Book - 7/95</t>
  </si>
  <si>
    <t>Rho &amp; Drift for Int. Rate Book - 8/95</t>
  </si>
  <si>
    <t>Rho &amp; Drift for Int. Rate Book - 9/95</t>
  </si>
  <si>
    <t>Rho &amp; Drift for Int. Rate Book - 10/95</t>
  </si>
  <si>
    <t>Rho &amp; Drift for Int. Rate Book - 11/95</t>
  </si>
  <si>
    <t>Rho &amp; Drift for Int. Rate Book - 12/95</t>
  </si>
  <si>
    <t>Rho &amp; Drift for Int. Rate Book - 01/96</t>
  </si>
  <si>
    <t>Rho &amp; Drift for Int. Rate Book - 02/96</t>
  </si>
  <si>
    <t>Rho &amp; Drift for Int. Rate Book - 03/96</t>
  </si>
  <si>
    <t>Rho &amp; Drift for Int. Rate Book - 04/96</t>
  </si>
  <si>
    <t>Rho &amp; Drift for Int. Rate Book - 05/96</t>
  </si>
  <si>
    <t>Realized</t>
  </si>
  <si>
    <t>LTD Liq. Adj.</t>
  </si>
  <si>
    <t xml:space="preserve">   </t>
  </si>
  <si>
    <t>Rho &amp; Drift for Int. Rate Book - 06/96</t>
  </si>
  <si>
    <t>Today</t>
  </si>
  <si>
    <t>Prior day</t>
  </si>
  <si>
    <t>Daily Change</t>
  </si>
  <si>
    <t>MTD</t>
  </si>
  <si>
    <t>Rho &amp; Drift for Int. Rate Book - 07/96</t>
  </si>
  <si>
    <t>Rho &amp; Drift for Int. Rate Book - 08/96</t>
  </si>
  <si>
    <t>Rho &amp; Drift for Int. Rate Book - 09/96</t>
  </si>
  <si>
    <t>Gas Price Rho</t>
  </si>
  <si>
    <t>Rho &amp; Drift for Int. Rate Book - 10/96</t>
  </si>
  <si>
    <t>Gas Price Drift</t>
  </si>
  <si>
    <t>Rho &amp; Drift for Int. Rate Book - 11/96</t>
  </si>
  <si>
    <t>Rho &amp; Drift for Int. Rate Book - 12/96</t>
  </si>
  <si>
    <t>NGL Price Rho</t>
  </si>
  <si>
    <t>Rho &amp; Drift for Int. Rate Book - 1-97</t>
  </si>
  <si>
    <t>Understated by $1,533 in FX Rho. Fixed in February.</t>
  </si>
  <si>
    <t>NGL Price Drift</t>
  </si>
  <si>
    <t>Rho &amp; Drift for Int. Rate Book - 2-97</t>
  </si>
  <si>
    <t>Rho &amp; Drift for Int. Rate Book - 3-97</t>
  </si>
  <si>
    <t>Interest Rho</t>
  </si>
  <si>
    <t>Rho &amp; Drift for Int. Rate Book - 4-97</t>
  </si>
  <si>
    <t>Interest Drift</t>
  </si>
  <si>
    <t>Rho &amp; Drift for Int. Rate Book - 5-97</t>
  </si>
  <si>
    <t>Rho &amp; Drift for Int. Rate Book - 6-97</t>
  </si>
  <si>
    <t>Resid Oil Price Rho</t>
  </si>
  <si>
    <t>Rho &amp; Drift for Int. Rate Book - 7-97</t>
  </si>
  <si>
    <t>Resid Oil Price Drift</t>
  </si>
  <si>
    <t>Rho &amp; Drift for Int. Rate Book - 8-97</t>
  </si>
  <si>
    <t>Rho &amp; Drift for Int. Rate Book - 9-97</t>
  </si>
  <si>
    <t>Refined Products Rho</t>
  </si>
  <si>
    <t>Rho &amp; Drift for Int. Rate Book - 10-97</t>
  </si>
  <si>
    <t>Refined Products Drift</t>
  </si>
  <si>
    <t>Rho &amp; Drift for Int. Rate Book - 11-97</t>
  </si>
  <si>
    <t>Rho &amp; Drift for Int. Rate Book - 12-97</t>
  </si>
  <si>
    <t>Rho &amp; Drift for Int. Rate Book - 1-98</t>
  </si>
  <si>
    <t>Oil Price Rho</t>
  </si>
  <si>
    <t>Liquidation Adjustments (LTD through Jan '98)</t>
  </si>
  <si>
    <t>Oil Price Drift</t>
  </si>
  <si>
    <t>Unrealized</t>
  </si>
  <si>
    <t>Infinity Adj</t>
  </si>
  <si>
    <t>Rho &amp; Drift for Int. Rate Book - 2-98</t>
  </si>
  <si>
    <t>For. Curr.Rho</t>
  </si>
  <si>
    <t>Rho &amp; Drift for Int. Rate Book - 3-98</t>
  </si>
  <si>
    <t>For. Curr.Drift</t>
  </si>
  <si>
    <t>Rho &amp; Drift for Int. Rate Book - 4-98</t>
  </si>
  <si>
    <t>Rho &amp; Drift for Int. Rate Book - 5-98</t>
  </si>
  <si>
    <t>EFP Rho</t>
  </si>
  <si>
    <t>Rho &amp; Drift for Int. Rate Book - 6-98</t>
  </si>
  <si>
    <t>EFP Drift</t>
  </si>
  <si>
    <t>Rho &amp; Drift for Int. Rate Book - 7-98</t>
  </si>
  <si>
    <t>Rho &amp; Drift for Int. Rate Book - 8-98</t>
  </si>
  <si>
    <t>Rho &amp; Drift for Int. Rate Book - 9-98</t>
  </si>
  <si>
    <t>Rho &amp; Drift for Int. Rate Book - 10-98</t>
  </si>
  <si>
    <t>Rho &amp; Drift for Int. Rate Book - 11-98</t>
  </si>
  <si>
    <t>Rho &amp; Drift for Int. Rate Book - 12-98</t>
  </si>
  <si>
    <t>Rho &amp; Drift for Int. Rate Book - 1-99</t>
  </si>
  <si>
    <t>Oil Basis Rho</t>
  </si>
  <si>
    <t>Rho &amp; Drift for Int. Rate Book - 2-99</t>
  </si>
  <si>
    <t>Oil Basis Drift</t>
  </si>
  <si>
    <t>Rho &amp; Drift for Int. Rate Book - 3-99</t>
  </si>
  <si>
    <t>Rho &amp; Drift for Int. Rate Book - 4-99</t>
  </si>
  <si>
    <t>Rho &amp; Drift for Int. Rate Book - 5-99</t>
  </si>
  <si>
    <t>Rho &amp; Drift for Int. Rate Book - 6-99</t>
  </si>
  <si>
    <t>Rho &amp; Drift for Int. Rate Book - 7-99</t>
  </si>
  <si>
    <t>Rho &amp; Drift for Int. Rate Book - 8-99</t>
  </si>
  <si>
    <t>Rho &amp; Drift for Int. Rate Book - 9-99</t>
  </si>
  <si>
    <t>Rho &amp; Drift for Int. Rate Book - 10-99</t>
  </si>
  <si>
    <t>Rho &amp; Drift for Int. Rate Book - 11-99</t>
  </si>
  <si>
    <t>Rho &amp; Drift for Int. Rate Book - 12-99</t>
  </si>
  <si>
    <t>Rho &amp; Drift for Int. Rate Book - 01-00</t>
  </si>
  <si>
    <t>Rho &amp; Drift for Int. Rate Book - 02-00</t>
  </si>
  <si>
    <t>Rho &amp; Drift for Int. Rate Book - 03-00</t>
  </si>
  <si>
    <t>Gas Daily Rho</t>
  </si>
  <si>
    <t>Gas Daily Drift</t>
  </si>
  <si>
    <t>Plastics Rho</t>
  </si>
  <si>
    <t>Plastics Drift</t>
  </si>
  <si>
    <t>Total Portfolio Return w/o Rate Book</t>
  </si>
  <si>
    <t>MTD Rho excluding Int Rate</t>
  </si>
  <si>
    <t>Daily Rho Change w/o Int Rate</t>
  </si>
  <si>
    <t>MTD Drift excluding Int Rate</t>
  </si>
  <si>
    <t>Daily Drift Change w/o Int Rate</t>
  </si>
  <si>
    <t>MTD Total</t>
  </si>
  <si>
    <t>Daily Total</t>
  </si>
  <si>
    <t>Total Portfolio Return w/ Rate book</t>
  </si>
  <si>
    <t>MTD Rho including Int Rate</t>
  </si>
  <si>
    <t>Daily Rho Change with Int Rate</t>
  </si>
  <si>
    <t>MTD Drift including Int Rate</t>
  </si>
  <si>
    <t>Daily Drift Change with Int Rate</t>
  </si>
  <si>
    <t>Current Month</t>
  </si>
  <si>
    <t>Rho &amp; Drift for Int. Rate Book - 04-00</t>
  </si>
  <si>
    <t>Current Month File Folder Name</t>
  </si>
  <si>
    <t>Old Month File Folder Name (to reference the old file during a link change)</t>
  </si>
  <si>
    <t>Rho &amp; Drift for Int. Rate Book - 05-00</t>
  </si>
  <si>
    <t>Rho &amp; Drift for Int. Rate Book - 06-00</t>
  </si>
  <si>
    <t>Rho &amp; Drift for Int. Rate Book - 07-00</t>
  </si>
  <si>
    <t>Current Date</t>
  </si>
  <si>
    <t>Prior Date</t>
  </si>
  <si>
    <t>Pick any date from prior month (to reference the old file during a link change)</t>
  </si>
  <si>
    <t>LAST UPDATED:</t>
  </si>
  <si>
    <t>Rho &amp; Drift for Int. Rate Book - 08-00</t>
  </si>
  <si>
    <t>Rho &amp; Drift for Int. Rate Book - 09-00</t>
  </si>
  <si>
    <t>Rho &amp; Drift for Int. Rate Book - 10-00</t>
  </si>
  <si>
    <t>Canada Power Rho</t>
  </si>
  <si>
    <t>Canada Power Drift</t>
  </si>
  <si>
    <t>Rho &amp; Drift for Int. Rate Book - 11-00</t>
  </si>
  <si>
    <t>Rho &amp; Drift for Int. Rate Book - 12-00</t>
  </si>
  <si>
    <t>UPDATE ONLY ONCE A DAY!!!!!!!!!</t>
  </si>
  <si>
    <t>Rho &amp; Drift for Int. Rate Book - 01-01</t>
  </si>
  <si>
    <t>Rho &amp; Drift for Int. Rate Book - 02-01</t>
  </si>
  <si>
    <t>Rho &amp; Drift for Int. Rate Book - 03-01</t>
  </si>
  <si>
    <t>Rho &amp; Drift for Int. Rate Book - 04-01</t>
  </si>
  <si>
    <t>Rho &amp; Drift for Int. Rate Book - 05-01</t>
  </si>
  <si>
    <t>Rho &amp; Drift for Int. Rate Book - 06-01</t>
  </si>
  <si>
    <t>Forest Products</t>
  </si>
  <si>
    <t>(Paper/Lumber)</t>
  </si>
  <si>
    <t>Coal</t>
  </si>
  <si>
    <t>Emissions</t>
  </si>
  <si>
    <t>Weather</t>
  </si>
  <si>
    <t>ST Gas</t>
  </si>
  <si>
    <t>Texas</t>
  </si>
  <si>
    <t>West</t>
  </si>
  <si>
    <t>East</t>
  </si>
  <si>
    <t>Transport</t>
  </si>
  <si>
    <t>Gas Assets</t>
  </si>
  <si>
    <t>TOTAL</t>
  </si>
  <si>
    <t>ENA</t>
  </si>
  <si>
    <t>Central-1</t>
  </si>
  <si>
    <t>Central-2</t>
  </si>
  <si>
    <t>CCT</t>
  </si>
  <si>
    <t>EGM</t>
  </si>
  <si>
    <t>Plastics</t>
  </si>
  <si>
    <t>Agri Trading</t>
  </si>
  <si>
    <t>Metals</t>
  </si>
  <si>
    <t>EIM</t>
  </si>
  <si>
    <t>Jul</t>
  </si>
  <si>
    <t>Aug</t>
  </si>
  <si>
    <t>Canada Gas Rho</t>
  </si>
  <si>
    <t>Canada Gas Drift</t>
  </si>
  <si>
    <t>CCT Crude Rho</t>
  </si>
  <si>
    <t>CCT Crude Drift</t>
  </si>
  <si>
    <t>CCT Coal Rho</t>
  </si>
  <si>
    <t>CCT Coal Drift</t>
  </si>
  <si>
    <t>ST Gas Cent 1 Rho</t>
  </si>
  <si>
    <t>ST Gas Cent 1 Drift</t>
  </si>
  <si>
    <t>ST Gas Cent 2 Rho</t>
  </si>
  <si>
    <t>ST Gas Cent 2 Drift</t>
  </si>
  <si>
    <t>ST Gas Texas Rho</t>
  </si>
  <si>
    <t>ST Gas Texas Drift</t>
  </si>
  <si>
    <t>ST Gas West Rho</t>
  </si>
  <si>
    <t>ST Gas West Drift</t>
  </si>
  <si>
    <t>ST Gas East Rho</t>
  </si>
  <si>
    <t>ST Gas East Drift</t>
  </si>
  <si>
    <t>Transport Rho</t>
  </si>
  <si>
    <t>Transport Drift</t>
  </si>
  <si>
    <t>Gas Assets Rho</t>
  </si>
  <si>
    <t>Gas Assets Drift</t>
  </si>
  <si>
    <t>Enron Power Rho</t>
  </si>
  <si>
    <t>Enron Power Drift</t>
  </si>
  <si>
    <t>Rho</t>
  </si>
  <si>
    <t>TOTAL ENA</t>
  </si>
  <si>
    <t>Coal &amp; Weather Rho</t>
  </si>
  <si>
    <t>Coal &amp; Weather Drift</t>
  </si>
  <si>
    <t>TOTAL EGM</t>
  </si>
  <si>
    <t>Steel Rho</t>
  </si>
  <si>
    <t>Steel Drift</t>
  </si>
  <si>
    <t>Paper &amp; Lumber Rho</t>
  </si>
  <si>
    <t>Paper &amp; Lumber Drift</t>
  </si>
  <si>
    <t>TOTAL EIM</t>
  </si>
  <si>
    <t>INFINITY</t>
  </si>
  <si>
    <t>Advertising Rho</t>
  </si>
  <si>
    <t>Advertising Drift</t>
  </si>
  <si>
    <t>Bandwidth Rho</t>
  </si>
  <si>
    <t>Bandwidth Drift</t>
  </si>
  <si>
    <t>Storage Rho</t>
  </si>
  <si>
    <t>Storage Drift</t>
  </si>
  <si>
    <t>TOTAL EBS</t>
  </si>
  <si>
    <t>Rho &amp; Drift for Int. Rate Book - 07-01</t>
  </si>
  <si>
    <t>Freight Rho</t>
  </si>
  <si>
    <t>Freight Drift</t>
  </si>
  <si>
    <t>Rho &amp; Drift for Int. Rate Book - 08-01</t>
  </si>
  <si>
    <t>EES Rho</t>
  </si>
  <si>
    <t>EES Drift</t>
  </si>
  <si>
    <t>Cad don't liquidated</t>
  </si>
  <si>
    <t>TOTAL EES</t>
  </si>
  <si>
    <t>Coal &amp; Freight Rho</t>
  </si>
  <si>
    <t>Weather Rho</t>
  </si>
  <si>
    <t>Coal &amp; Freight Drift</t>
  </si>
  <si>
    <t>Weather Drift</t>
  </si>
  <si>
    <t>Current date</t>
  </si>
  <si>
    <t>Rho &amp; Drift for Int. Rate Book - 09-01</t>
  </si>
  <si>
    <t>LTD Through October 31, 2001</t>
  </si>
  <si>
    <t>MTD Through November 30, 2001</t>
  </si>
  <si>
    <t>LTD Through November 30, 2001</t>
  </si>
  <si>
    <t>P&amp;L Realized</t>
  </si>
  <si>
    <t>EES</t>
  </si>
  <si>
    <t>Difference</t>
  </si>
  <si>
    <t>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</si>
</sst>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0" formatCode="dd\-mmm\-yy_)"/>
    <numFmt numFmtId="171" formatCode="#,##0.0000000000000000_);\(#,##0.0000000000000000\)"/>
    <numFmt numFmtId="172" formatCode="_(* #,##0_);_(* \(#,##0\);_(* &quot;-&quot;??_);_(@_)"/>
    <numFmt numFmtId="173" formatCode="&quot;$&quot;#,##0.000_);\(&quot;$&quot;#,##0.000\)"/>
    <numFmt numFmtId="175" formatCode="#,##0.0000_);[Red]\(#,##0.0000\)"/>
    <numFmt numFmtId="176" formatCode="#,##0.00000000_);[Red]\(#,##0.00000000\)"/>
    <numFmt numFmtId="177" formatCode="yy\-mm\-dd"/>
    <numFmt numFmtId="178" formatCode="0.0000%"/>
    <numFmt numFmtId="179" formatCode="yyyy\-mmm\-dd"/>
    <numFmt numFmtId="180" formatCode="yyyy\-mmm"/>
    <numFmt numFmtId="181" formatCode="yyyy"/>
    <numFmt numFmtId="182" formatCode="#,##0_);[Red]\(#,##0\);"/>
    <numFmt numFmtId="183" formatCode="0.0%\ ;[Red]\(0.0%\)"/>
    <numFmt numFmtId="184" formatCode="0.00%\ ;[Red]\(0.00%\)"/>
    <numFmt numFmtId="185" formatCode="#,##0_);\(#,##0\);\-"/>
    <numFmt numFmtId="186" formatCode="#,##0.0000"/>
    <numFmt numFmtId="187" formatCode="&quot;As of &quot;mmmm\ d\,\ yyyy"/>
    <numFmt numFmtId="188" formatCode="mm/dd/yy"/>
    <numFmt numFmtId="189" formatCode="mmdd"/>
    <numFmt numFmtId="190" formatCode="mmm"/>
    <numFmt numFmtId="191" formatCode="mm"/>
    <numFmt numFmtId="192" formatCode="mmm\-dd\ \ \ h:mm\ AM/PM"/>
    <numFmt numFmtId="196" formatCode="_ &quot;\&quot;* #,##0.00_ ;_ &quot;\&quot;* &quot;\&quot;&quot;\&quot;&quot;\&quot;&quot;\&quot;&quot;\&quot;\-#,##0.00_ ;_ &quot;\&quot;* &quot;-&quot;??_ ;_ @_ "/>
    <numFmt numFmtId="197" formatCode="yy&quot;\&quot;&quot;\&quot;&quot;\&quot;\-mm&quot;\&quot;&quot;\&quot;&quot;\&quot;\-dd&quot;\&quot;&quot;\&quot;&quot;\&quot;&quot;\&quot;\ h:mm"/>
    <numFmt numFmtId="198" formatCode="#&quot;\&quot;&quot;\&quot;&quot;\&quot;&quot;\&quot;\ ??/??"/>
    <numFmt numFmtId="206" formatCode="_(* #,##0.000_);_(* \(#,##0.000\);_(* &quot;-&quot;??_);_(@_)"/>
  </numFmts>
  <fonts count="69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2"/>
      <name val="Helv"/>
    </font>
    <font>
      <u/>
      <sz val="12"/>
      <name val="Times New Roman"/>
      <family val="1"/>
    </font>
    <font>
      <b/>
      <sz val="12"/>
      <color indexed="8"/>
      <name val="Times New Roman"/>
    </font>
    <font>
      <sz val="12"/>
      <color indexed="12"/>
      <name val="Times New Roman"/>
      <family val="1"/>
    </font>
    <font>
      <sz val="12"/>
      <color indexed="10"/>
      <name val="Times New Roman"/>
      <family val="1"/>
    </font>
    <font>
      <sz val="9"/>
      <name val="Times New Roman"/>
      <family val="1"/>
    </font>
    <font>
      <sz val="14"/>
      <color indexed="12"/>
      <name val="Times New Roman"/>
      <family val="1"/>
    </font>
    <font>
      <sz val="12"/>
      <color indexed="8"/>
      <name val="Times New Roman"/>
      <family val="1"/>
    </font>
    <font>
      <sz val="12"/>
      <color indexed="39"/>
      <name val="Times New Roman"/>
      <family val="1"/>
    </font>
    <font>
      <sz val="12"/>
      <color indexed="11"/>
      <name val="Times New Roman"/>
      <family val="1"/>
    </font>
    <font>
      <sz val="10"/>
      <color indexed="11"/>
      <name val="Times New Roman"/>
      <family val="1"/>
    </font>
    <font>
      <u/>
      <sz val="10"/>
      <name val="Arial"/>
    </font>
    <font>
      <b/>
      <i/>
      <sz val="12"/>
      <name val="Times New Roman"/>
    </font>
    <font>
      <i/>
      <sz val="12"/>
      <name val="Times New Roman"/>
    </font>
    <font>
      <sz val="10"/>
      <name val="Arial"/>
    </font>
    <font>
      <sz val="11"/>
      <name val="Times New Roman"/>
      <family val="1"/>
    </font>
    <font>
      <b/>
      <sz val="11"/>
      <name val="Times New Roman"/>
    </font>
    <font>
      <sz val="10"/>
      <name val="Arial"/>
    </font>
    <font>
      <sz val="8"/>
      <color indexed="81"/>
      <name val="Tahoma"/>
    </font>
    <font>
      <sz val="16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2"/>
      <color indexed="13"/>
      <name val="Times New Roman"/>
      <family val="1"/>
    </font>
    <font>
      <b/>
      <sz val="10"/>
      <color indexed="13"/>
      <name val="Arial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1"/>
      <name val="Tahoma"/>
    </font>
    <font>
      <b/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43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 style="thick">
        <color indexed="12"/>
      </bottom>
      <diagonal/>
    </border>
    <border>
      <left/>
      <right/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167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7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8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2" fillId="0" borderId="0">
      <protection locked="0"/>
    </xf>
    <xf numFmtId="179" fontId="6" fillId="0" borderId="0" applyFont="0" applyFill="0" applyBorder="0" applyAlignment="0" applyProtection="0">
      <alignment horizontal="left" vertical="top"/>
    </xf>
    <xf numFmtId="180" fontId="6" fillId="0" borderId="0" applyFont="0" applyFill="0" applyBorder="0" applyAlignment="0" applyProtection="0">
      <alignment vertical="top"/>
    </xf>
    <xf numFmtId="177" fontId="6" fillId="0" borderId="0" applyFont="0" applyFill="0" applyBorder="0" applyAlignment="0" applyProtection="0">
      <alignment horizontal="left" vertical="top"/>
    </xf>
    <xf numFmtId="181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196" fontId="62" fillId="0" borderId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0" fontId="63" fillId="0" borderId="0" applyNumberFormat="0" applyFill="0" applyBorder="0" applyAlignment="0" applyProtection="0"/>
    <xf numFmtId="197" fontId="62" fillId="0" borderId="0">
      <protection locked="0"/>
    </xf>
    <xf numFmtId="197" fontId="62" fillId="0" borderId="0">
      <protection locked="0"/>
    </xf>
    <xf numFmtId="0" fontId="64" fillId="0" borderId="2" applyNumberFormat="0" applyFill="0" applyAlignment="0" applyProtection="0"/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2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98" fontId="62" fillId="0" borderId="0"/>
    <xf numFmtId="0" fontId="2" fillId="0" borderId="0"/>
    <xf numFmtId="0" fontId="1" fillId="0" borderId="0"/>
    <xf numFmtId="167" fontId="2" fillId="7" borderId="0" applyNumberFormat="0" applyFont="0" applyBorder="0" applyAlignment="0" applyProtection="0">
      <alignment horizontal="right" vertical="top"/>
    </xf>
    <xf numFmtId="175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82" fontId="2" fillId="10" borderId="0" applyNumberFormat="0" applyFont="0" applyBorder="0" applyAlignment="0" applyProtection="0">
      <alignment vertical="top"/>
    </xf>
    <xf numFmtId="185" fontId="16" fillId="11" borderId="0" applyBorder="0" applyAlignment="0" applyProtection="0">
      <alignment vertical="top"/>
    </xf>
    <xf numFmtId="0" fontId="17" fillId="12" borderId="3" applyNumberFormat="0" applyFont="0" applyBorder="0" applyAlignment="0" applyProtection="0">
      <alignment horizontal="left"/>
    </xf>
    <xf numFmtId="37" fontId="3" fillId="0" borderId="4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5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37" fontId="65" fillId="13" borderId="0" applyNumberFormat="0" applyBorder="0" applyAlignment="0" applyProtection="0"/>
    <xf numFmtId="37" fontId="61" fillId="0" borderId="0"/>
    <xf numFmtId="3" fontId="66" fillId="0" borderId="2" applyProtection="0"/>
    <xf numFmtId="182" fontId="2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8" fontId="2" fillId="0" borderId="0" applyNumberFormat="0" applyFont="0" applyFill="0" applyBorder="0" applyProtection="0">
      <alignment vertical="top" wrapText="1"/>
    </xf>
    <xf numFmtId="186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2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613">
    <xf numFmtId="0" fontId="0" fillId="0" borderId="0" xfId="0"/>
    <xf numFmtId="0" fontId="0" fillId="0" borderId="0" xfId="0" applyBorder="1"/>
    <xf numFmtId="0" fontId="20" fillId="0" borderId="0" xfId="0" applyFont="1" applyAlignment="1">
      <alignment horizontal="left"/>
    </xf>
    <xf numFmtId="1" fontId="9" fillId="0" borderId="0" xfId="11" applyNumberFormat="1" applyFont="1"/>
    <xf numFmtId="0" fontId="9" fillId="0" borderId="0" xfId="0" applyFont="1"/>
    <xf numFmtId="1" fontId="9" fillId="0" borderId="0" xfId="0" applyNumberFormat="1" applyFont="1"/>
    <xf numFmtId="1" fontId="9" fillId="0" borderId="0" xfId="0" applyNumberFormat="1" applyFont="1" applyBorder="1"/>
    <xf numFmtId="6" fontId="9" fillId="0" borderId="0" xfId="0" applyNumberFormat="1" applyFont="1"/>
    <xf numFmtId="5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Protection="1"/>
    <xf numFmtId="0" fontId="9" fillId="0" borderId="0" xfId="0" applyFont="1" applyFill="1" applyBorder="1"/>
    <xf numFmtId="0" fontId="21" fillId="0" borderId="0" xfId="0" applyFont="1"/>
    <xf numFmtId="0" fontId="17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/>
    </xf>
    <xf numFmtId="6" fontId="17" fillId="0" borderId="0" xfId="0" applyNumberFormat="1" applyFont="1" applyBorder="1" applyAlignment="1">
      <alignment horizontal="left"/>
    </xf>
    <xf numFmtId="37" fontId="9" fillId="0" borderId="0" xfId="0" applyNumberFormat="1" applyFont="1" applyFill="1" applyBorder="1" applyProtection="1"/>
    <xf numFmtId="0" fontId="9" fillId="0" borderId="0" xfId="0" applyFont="1" applyFill="1"/>
    <xf numFmtId="0" fontId="9" fillId="0" borderId="0" xfId="0" applyFont="1" applyBorder="1"/>
    <xf numFmtId="1" fontId="9" fillId="0" borderId="0" xfId="11" applyNumberFormat="1" applyFont="1" applyBorder="1"/>
    <xf numFmtId="0" fontId="0" fillId="0" borderId="0" xfId="0" applyFill="1" applyBorder="1"/>
    <xf numFmtId="1" fontId="9" fillId="0" borderId="0" xfId="0" applyNumberFormat="1" applyFont="1" applyFill="1"/>
    <xf numFmtId="0" fontId="9" fillId="0" borderId="0" xfId="0" quotePrefix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quotePrefix="1" applyFont="1"/>
    <xf numFmtId="187" fontId="9" fillId="14" borderId="0" xfId="0" quotePrefix="1" applyNumberFormat="1" applyFont="1" applyFill="1" applyAlignment="1">
      <alignment horizontal="left"/>
    </xf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9" fillId="0" borderId="6" xfId="0" applyFont="1" applyBorder="1"/>
    <xf numFmtId="1" fontId="9" fillId="0" borderId="6" xfId="0" applyNumberFormat="1" applyFont="1" applyBorder="1"/>
    <xf numFmtId="0" fontId="9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15" borderId="0" xfId="0" applyFont="1" applyFill="1"/>
    <xf numFmtId="0" fontId="24" fillId="0" borderId="0" xfId="0" applyFont="1" applyAlignment="1">
      <alignment horizontal="left"/>
    </xf>
    <xf numFmtId="6" fontId="25" fillId="0" borderId="0" xfId="36" applyNumberFormat="1" applyFont="1" applyFill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 applyFill="1" applyAlignment="1">
      <alignment horizontal="left"/>
    </xf>
    <xf numFmtId="1" fontId="9" fillId="0" borderId="0" xfId="11" applyNumberFormat="1" applyFont="1" applyProtection="1"/>
    <xf numFmtId="0" fontId="9" fillId="0" borderId="0" xfId="0" applyFont="1" applyAlignment="1">
      <alignment horizontal="left"/>
    </xf>
    <xf numFmtId="1" fontId="9" fillId="0" borderId="0" xfId="0" applyNumberFormat="1" applyFont="1" applyProtection="1"/>
    <xf numFmtId="1" fontId="9" fillId="0" borderId="0" xfId="0" applyNumberFormat="1" applyFont="1" applyBorder="1" applyProtection="1"/>
    <xf numFmtId="166" fontId="9" fillId="0" borderId="0" xfId="0" applyNumberFormat="1" applyFont="1" applyBorder="1" applyProtection="1"/>
    <xf numFmtId="166" fontId="9" fillId="15" borderId="0" xfId="0" applyNumberFormat="1" applyFont="1" applyFill="1" applyProtection="1"/>
    <xf numFmtId="166" fontId="9" fillId="0" borderId="0" xfId="0" applyNumberFormat="1" applyFont="1" applyProtection="1"/>
    <xf numFmtId="5" fontId="26" fillId="0" borderId="1" xfId="0" applyNumberFormat="1" applyFont="1" applyBorder="1" applyProtection="1"/>
    <xf numFmtId="0" fontId="9" fillId="0" borderId="0" xfId="0" applyNumberFormat="1" applyFont="1"/>
    <xf numFmtId="5" fontId="9" fillId="0" borderId="0" xfId="0" applyNumberFormat="1" applyFont="1" applyProtection="1"/>
    <xf numFmtId="5" fontId="9" fillId="15" borderId="1" xfId="0" applyNumberFormat="1" applyFont="1" applyFill="1" applyBorder="1" applyProtection="1"/>
    <xf numFmtId="0" fontId="23" fillId="0" borderId="0" xfId="0" applyFont="1" applyBorder="1"/>
    <xf numFmtId="1" fontId="9" fillId="0" borderId="0" xfId="0" quotePrefix="1" applyNumberFormat="1" applyFont="1" applyAlignment="1">
      <alignment horizontal="left"/>
    </xf>
    <xf numFmtId="5" fontId="9" fillId="0" borderId="0" xfId="0" applyNumberFormat="1" applyFont="1" applyBorder="1" applyProtection="1"/>
    <xf numFmtId="169" fontId="0" fillId="0" borderId="0" xfId="0" applyNumberFormat="1" applyBorder="1"/>
    <xf numFmtId="0" fontId="9" fillId="15" borderId="0" xfId="0" applyFont="1" applyFill="1" applyBorder="1"/>
    <xf numFmtId="5" fontId="9" fillId="15" borderId="0" xfId="0" applyNumberFormat="1" applyFont="1" applyFill="1" applyBorder="1" applyProtection="1"/>
    <xf numFmtId="1" fontId="7" fillId="0" borderId="0" xfId="0" applyNumberFormat="1" applyFont="1" applyProtection="1"/>
    <xf numFmtId="166" fontId="7" fillId="15" borderId="0" xfId="0" applyNumberFormat="1" applyFont="1" applyFill="1" applyProtection="1"/>
    <xf numFmtId="166" fontId="7" fillId="0" borderId="0" xfId="0" applyNumberFormat="1" applyFont="1" applyProtection="1"/>
    <xf numFmtId="6" fontId="26" fillId="0" borderId="1" xfId="12" applyNumberFormat="1" applyFont="1" applyBorder="1" applyProtection="1"/>
    <xf numFmtId="6" fontId="28" fillId="0" borderId="0" xfId="12" applyNumberFormat="1" applyFont="1" applyProtection="1"/>
    <xf numFmtId="6" fontId="28" fillId="0" borderId="0" xfId="12" applyNumberFormat="1" applyFont="1" applyBorder="1" applyProtection="1"/>
    <xf numFmtId="5" fontId="0" fillId="0" borderId="0" xfId="0" applyNumberFormat="1" applyBorder="1"/>
    <xf numFmtId="5" fontId="9" fillId="13" borderId="1" xfId="0" applyNumberFormat="1" applyFont="1" applyFill="1" applyBorder="1" applyProtection="1"/>
    <xf numFmtId="6" fontId="9" fillId="15" borderId="1" xfId="12" applyNumberFormat="1" applyFont="1" applyFill="1" applyBorder="1" applyProtection="1"/>
    <xf numFmtId="6" fontId="9" fillId="0" borderId="1" xfId="12" applyNumberFormat="1" applyFont="1" applyBorder="1" applyProtection="1"/>
    <xf numFmtId="6" fontId="26" fillId="0" borderId="1" xfId="12" applyNumberFormat="1" applyFont="1" applyFill="1" applyBorder="1" applyProtection="1"/>
    <xf numFmtId="164" fontId="9" fillId="0" borderId="0" xfId="11" applyNumberFormat="1" applyFont="1" applyProtection="1"/>
    <xf numFmtId="164" fontId="9" fillId="0" borderId="0" xfId="11" applyNumberFormat="1" applyFont="1" applyAlignment="1" applyProtection="1"/>
    <xf numFmtId="5" fontId="9" fillId="0" borderId="1" xfId="0" applyNumberFormat="1" applyFont="1" applyBorder="1" applyProtection="1"/>
    <xf numFmtId="0" fontId="9" fillId="0" borderId="0" xfId="0" applyNumberFormat="1" applyFont="1" applyAlignment="1">
      <alignment horizontal="left"/>
    </xf>
    <xf numFmtId="37" fontId="9" fillId="0" borderId="0" xfId="0" applyNumberFormat="1" applyFont="1" applyBorder="1" applyProtection="1"/>
    <xf numFmtId="6" fontId="28" fillId="0" borderId="0" xfId="12" applyNumberFormat="1" applyFont="1"/>
    <xf numFmtId="6" fontId="28" fillId="0" borderId="0" xfId="12" applyNumberFormat="1" applyFont="1" applyBorder="1"/>
    <xf numFmtId="164" fontId="9" fillId="0" borderId="0" xfId="11" applyNumberFormat="1" applyFont="1"/>
    <xf numFmtId="164" fontId="9" fillId="0" borderId="0" xfId="11" applyNumberFormat="1" applyFont="1" applyAlignment="1"/>
    <xf numFmtId="6" fontId="9" fillId="0" borderId="1" xfId="12" applyNumberFormat="1" applyFont="1" applyFill="1" applyBorder="1" applyProtection="1"/>
    <xf numFmtId="5" fontId="9" fillId="0" borderId="1" xfId="0" applyNumberFormat="1" applyFont="1" applyFill="1" applyBorder="1" applyProtection="1"/>
    <xf numFmtId="0" fontId="9" fillId="0" borderId="0" xfId="0" applyNumberFormat="1" applyFont="1" applyFill="1" applyAlignment="1">
      <alignment horizontal="left"/>
    </xf>
    <xf numFmtId="37" fontId="29" fillId="0" borderId="0" xfId="0" applyNumberFormat="1" applyFont="1" applyProtection="1"/>
    <xf numFmtId="166" fontId="29" fillId="0" borderId="0" xfId="0" applyNumberFormat="1" applyFont="1" applyProtection="1"/>
    <xf numFmtId="5" fontId="9" fillId="13" borderId="0" xfId="0" applyNumberFormat="1" applyFont="1" applyFill="1" applyProtection="1"/>
    <xf numFmtId="5" fontId="9" fillId="15" borderId="0" xfId="0" applyNumberFormat="1" applyFont="1" applyFill="1" applyProtection="1"/>
    <xf numFmtId="169" fontId="0" fillId="0" borderId="0" xfId="0" applyNumberFormat="1"/>
    <xf numFmtId="37" fontId="9" fillId="0" borderId="0" xfId="0" applyNumberFormat="1" applyFont="1" applyProtection="1"/>
    <xf numFmtId="166" fontId="9" fillId="0" borderId="0" xfId="0" applyNumberFormat="1" applyFont="1" applyAlignment="1" applyProtection="1">
      <alignment horizontal="center"/>
    </xf>
    <xf numFmtId="5" fontId="26" fillId="0" borderId="8" xfId="0" applyNumberFormat="1" applyFont="1" applyBorder="1" applyProtection="1"/>
    <xf numFmtId="6" fontId="9" fillId="16" borderId="1" xfId="12" applyNumberFormat="1" applyFont="1" applyFill="1" applyBorder="1" applyProtection="1"/>
    <xf numFmtId="5" fontId="26" fillId="0" borderId="0" xfId="0" applyNumberFormat="1" applyFont="1" applyBorder="1" applyProtection="1"/>
    <xf numFmtId="5" fontId="26" fillId="0" borderId="0" xfId="0" applyNumberFormat="1" applyFont="1" applyProtection="1"/>
    <xf numFmtId="6" fontId="9" fillId="16" borderId="0" xfId="12" applyNumberFormat="1" applyFont="1" applyFill="1" applyBorder="1" applyProtection="1"/>
    <xf numFmtId="1" fontId="9" fillId="0" borderId="0" xfId="0" quotePrefix="1" applyNumberFormat="1" applyFont="1"/>
    <xf numFmtId="0" fontId="9" fillId="0" borderId="0" xfId="11" applyNumberFormat="1" applyFont="1" applyProtection="1"/>
    <xf numFmtId="6" fontId="9" fillId="0" borderId="0" xfId="12" applyNumberFormat="1" applyFont="1" applyProtection="1"/>
    <xf numFmtId="6" fontId="9" fillId="0" borderId="0" xfId="12" applyNumberFormat="1" applyFont="1" applyBorder="1" applyProtection="1"/>
    <xf numFmtId="6" fontId="9" fillId="0" borderId="0" xfId="12" quotePrefix="1" applyNumberFormat="1" applyFont="1" applyProtection="1"/>
    <xf numFmtId="5" fontId="30" fillId="0" borderId="0" xfId="12" applyNumberFormat="1" applyFont="1" applyProtection="1"/>
    <xf numFmtId="5" fontId="30" fillId="0" borderId="0" xfId="12" applyNumberFormat="1" applyFont="1" applyBorder="1" applyProtection="1"/>
    <xf numFmtId="5" fontId="9" fillId="0" borderId="0" xfId="11" applyNumberFormat="1" applyFont="1"/>
    <xf numFmtId="0" fontId="9" fillId="13" borderId="0" xfId="0" applyNumberFormat="1" applyFont="1" applyFill="1" applyAlignment="1">
      <alignment horizontal="left"/>
    </xf>
    <xf numFmtId="0" fontId="9" fillId="13" borderId="0" xfId="11" applyNumberFormat="1" applyFont="1" applyFill="1" applyProtection="1"/>
    <xf numFmtId="6" fontId="9" fillId="13" borderId="1" xfId="12" applyNumberFormat="1" applyFont="1" applyFill="1" applyBorder="1" applyProtection="1"/>
    <xf numFmtId="6" fontId="9" fillId="1" borderId="0" xfId="12" applyNumberFormat="1" applyFont="1" applyFill="1" applyProtection="1"/>
    <xf numFmtId="6" fontId="9" fillId="1" borderId="0" xfId="12" applyNumberFormat="1" applyFont="1" applyFill="1" applyBorder="1" applyProtection="1"/>
    <xf numFmtId="5" fontId="9" fillId="13" borderId="1" xfId="12" applyNumberFormat="1" applyFont="1" applyFill="1" applyBorder="1" applyProtection="1"/>
    <xf numFmtId="1" fontId="9" fillId="1" borderId="0" xfId="0" applyNumberFormat="1" applyFont="1" applyFill="1" applyProtection="1"/>
    <xf numFmtId="0" fontId="31" fillId="0" borderId="0" xfId="0" applyFont="1"/>
    <xf numFmtId="6" fontId="26" fillId="0" borderId="0" xfId="12" applyNumberFormat="1" applyFont="1" applyBorder="1" applyProtection="1"/>
    <xf numFmtId="6" fontId="9" fillId="0" borderId="0" xfId="11" applyNumberFormat="1" applyFont="1"/>
    <xf numFmtId="5" fontId="9" fillId="0" borderId="0" xfId="12" applyNumberFormat="1" applyFont="1" applyProtection="1"/>
    <xf numFmtId="0" fontId="9" fillId="0" borderId="0" xfId="0" applyNumberFormat="1" applyFont="1" applyProtection="1"/>
    <xf numFmtId="0" fontId="9" fillId="0" borderId="0" xfId="11" applyNumberFormat="1" applyFont="1"/>
    <xf numFmtId="0" fontId="0" fillId="13" borderId="0" xfId="0" applyFill="1"/>
    <xf numFmtId="6" fontId="9" fillId="0" borderId="0" xfId="12" applyNumberFormat="1" applyFont="1" applyFill="1" applyBorder="1" applyProtection="1"/>
    <xf numFmtId="0" fontId="0" fillId="0" borderId="0" xfId="0" applyFill="1"/>
    <xf numFmtId="6" fontId="9" fillId="0" borderId="0" xfId="12" applyNumberFormat="1" applyFont="1"/>
    <xf numFmtId="0" fontId="9" fillId="0" borderId="0" xfId="12" applyNumberFormat="1" applyFont="1"/>
    <xf numFmtId="0" fontId="9" fillId="0" borderId="0" xfId="12" applyNumberFormat="1" applyFont="1" applyProtection="1"/>
    <xf numFmtId="0" fontId="28" fillId="0" borderId="0" xfId="12" applyNumberFormat="1" applyFont="1" applyBorder="1" applyProtection="1"/>
    <xf numFmtId="164" fontId="28" fillId="0" borderId="0" xfId="12" applyNumberFormat="1" applyFont="1" applyProtection="1"/>
    <xf numFmtId="164" fontId="9" fillId="0" borderId="0" xfId="0" applyNumberFormat="1" applyFont="1"/>
    <xf numFmtId="164" fontId="9" fillId="13" borderId="0" xfId="0" applyNumberFormat="1" applyFont="1" applyFill="1"/>
    <xf numFmtId="164" fontId="9" fillId="15" borderId="0" xfId="0" applyNumberFormat="1" applyFont="1" applyFill="1"/>
    <xf numFmtId="0" fontId="9" fillId="15" borderId="0" xfId="0" applyNumberFormat="1" applyFont="1" applyFill="1"/>
    <xf numFmtId="1" fontId="28" fillId="0" borderId="0" xfId="12" applyNumberFormat="1" applyFont="1" applyAlignment="1" applyProtection="1"/>
    <xf numFmtId="1" fontId="9" fillId="0" borderId="0" xfId="12" applyNumberFormat="1" applyFont="1"/>
    <xf numFmtId="1" fontId="9" fillId="0" borderId="0" xfId="12" applyNumberFormat="1" applyFont="1" applyBorder="1"/>
    <xf numFmtId="1" fontId="28" fillId="0" borderId="0" xfId="12" applyNumberFormat="1" applyFont="1" applyProtection="1"/>
    <xf numFmtId="1" fontId="0" fillId="0" borderId="0" xfId="0" applyNumberFormat="1" applyFill="1" applyBorder="1"/>
    <xf numFmtId="1" fontId="28" fillId="0" borderId="0" xfId="11" applyNumberFormat="1" applyFont="1" applyProtection="1"/>
    <xf numFmtId="1" fontId="0" fillId="0" borderId="0" xfId="0" applyNumberFormat="1" applyBorder="1"/>
    <xf numFmtId="1" fontId="7" fillId="0" borderId="0" xfId="11" applyNumberFormat="1" applyFont="1"/>
    <xf numFmtId="1" fontId="28" fillId="0" borderId="0" xfId="11" applyNumberFormat="1" applyFont="1"/>
    <xf numFmtId="1" fontId="9" fillId="13" borderId="0" xfId="0" applyNumberFormat="1" applyFont="1" applyFill="1"/>
    <xf numFmtId="1" fontId="9" fillId="15" borderId="0" xfId="0" applyNumberFormat="1" applyFont="1" applyFill="1"/>
    <xf numFmtId="1" fontId="9" fillId="0" borderId="0" xfId="11" applyNumberFormat="1" applyFont="1" applyAlignment="1" applyProtection="1">
      <alignment horizontal="center"/>
    </xf>
    <xf numFmtId="1" fontId="9" fillId="0" borderId="0" xfId="0" applyNumberFormat="1" applyFont="1" applyAlignment="1">
      <alignment horizontal="left"/>
    </xf>
    <xf numFmtId="1" fontId="28" fillId="15" borderId="0" xfId="11" applyNumberFormat="1" applyFont="1" applyFill="1" applyProtection="1"/>
    <xf numFmtId="0" fontId="28" fillId="0" borderId="0" xfId="11" applyNumberFormat="1" applyFont="1" applyAlignment="1" applyProtection="1"/>
    <xf numFmtId="0" fontId="28" fillId="0" borderId="0" xfId="11" applyNumberFormat="1" applyFont="1" applyAlignment="1"/>
    <xf numFmtId="164" fontId="9" fillId="0" borderId="0" xfId="12" applyNumberFormat="1" applyFont="1"/>
    <xf numFmtId="164" fontId="28" fillId="0" borderId="0" xfId="12" applyNumberFormat="1" applyFont="1" applyBorder="1" applyProtection="1"/>
    <xf numFmtId="0" fontId="9" fillId="14" borderId="4" xfId="0" applyFont="1" applyFill="1" applyBorder="1" applyAlignment="1">
      <alignment horizontal="center"/>
    </xf>
    <xf numFmtId="164" fontId="28" fillId="0" borderId="0" xfId="11" applyNumberFormat="1" applyFont="1"/>
    <xf numFmtId="1" fontId="9" fillId="15" borderId="0" xfId="12" applyNumberFormat="1" applyFont="1" applyFill="1"/>
    <xf numFmtId="1" fontId="9" fillId="0" borderId="0" xfId="11" applyNumberFormat="1" applyFont="1" applyAlignment="1" applyProtection="1"/>
    <xf numFmtId="2" fontId="9" fillId="0" borderId="0" xfId="0" applyNumberFormat="1" applyFont="1"/>
    <xf numFmtId="1" fontId="28" fillId="15" borderId="0" xfId="12" applyNumberFormat="1" applyFont="1" applyFill="1" applyAlignment="1" applyProtection="1"/>
    <xf numFmtId="164" fontId="9" fillId="0" borderId="0" xfId="12" applyNumberFormat="1" applyFont="1" applyProtection="1"/>
    <xf numFmtId="164" fontId="9" fillId="15" borderId="0" xfId="12" applyNumberFormat="1" applyFont="1" applyFill="1" applyProtection="1"/>
    <xf numFmtId="164" fontId="9" fillId="0" borderId="0" xfId="0" applyNumberFormat="1" applyFont="1" applyAlignment="1">
      <alignment horizontal="left"/>
    </xf>
    <xf numFmtId="1" fontId="9" fillId="0" borderId="0" xfId="11" applyNumberFormat="1" applyFont="1" applyFill="1"/>
    <xf numFmtId="38" fontId="7" fillId="0" borderId="0" xfId="11" applyNumberFormat="1" applyFont="1"/>
    <xf numFmtId="38" fontId="7" fillId="0" borderId="0" xfId="11" applyNumberFormat="1" applyFont="1" applyProtection="1"/>
    <xf numFmtId="38" fontId="7" fillId="0" borderId="0" xfId="11" applyNumberFormat="1" applyFont="1" applyAlignment="1">
      <alignment horizontal="left"/>
    </xf>
    <xf numFmtId="1" fontId="7" fillId="0" borderId="0" xfId="11" applyNumberFormat="1" applyFont="1" applyProtection="1"/>
    <xf numFmtId="1" fontId="7" fillId="0" borderId="0" xfId="11" applyNumberFormat="1" applyFont="1" applyBorder="1" applyProtection="1"/>
    <xf numFmtId="38" fontId="7" fillId="0" borderId="0" xfId="11" applyNumberFormat="1" applyFont="1" applyBorder="1" applyProtection="1"/>
    <xf numFmtId="37" fontId="7" fillId="0" borderId="0" xfId="0" applyNumberFormat="1" applyFont="1" applyProtection="1"/>
    <xf numFmtId="1" fontId="7" fillId="0" borderId="0" xfId="0" applyNumberFormat="1" applyFont="1" applyBorder="1" applyProtection="1"/>
    <xf numFmtId="37" fontId="7" fillId="0" borderId="0" xfId="0" applyNumberFormat="1" applyFont="1" applyBorder="1" applyProtection="1"/>
    <xf numFmtId="170" fontId="7" fillId="0" borderId="0" xfId="0" applyNumberFormat="1" applyFont="1" applyProtection="1"/>
    <xf numFmtId="1" fontId="32" fillId="0" borderId="0" xfId="0" applyNumberFormat="1" applyFont="1" applyProtection="1"/>
    <xf numFmtId="37" fontId="32" fillId="0" borderId="0" xfId="0" applyNumberFormat="1" applyFont="1" applyProtection="1"/>
    <xf numFmtId="1" fontId="32" fillId="0" borderId="0" xfId="0" applyNumberFormat="1" applyFont="1" applyBorder="1" applyProtection="1"/>
    <xf numFmtId="37" fontId="32" fillId="0" borderId="0" xfId="0" applyNumberFormat="1" applyFont="1" applyBorder="1" applyProtection="1"/>
    <xf numFmtId="1" fontId="33" fillId="0" borderId="0" xfId="0" applyNumberFormat="1" applyFont="1" applyProtection="1"/>
    <xf numFmtId="37" fontId="33" fillId="0" borderId="0" xfId="0" applyNumberFormat="1" applyFont="1" applyProtection="1"/>
    <xf numFmtId="1" fontId="33" fillId="0" borderId="0" xfId="0" applyNumberFormat="1" applyFont="1" applyBorder="1" applyProtection="1"/>
    <xf numFmtId="171" fontId="7" fillId="0" borderId="0" xfId="0" applyNumberFormat="1" applyFont="1" applyProtection="1"/>
    <xf numFmtId="5" fontId="9" fillId="0" borderId="0" xfId="0" applyNumberFormat="1" applyFont="1" applyBorder="1"/>
    <xf numFmtId="5" fontId="7" fillId="0" borderId="0" xfId="0" applyNumberFormat="1" applyFont="1"/>
    <xf numFmtId="173" fontId="9" fillId="0" borderId="0" xfId="0" applyNumberFormat="1" applyFont="1"/>
    <xf numFmtId="14" fontId="24" fillId="0" borderId="9" xfId="0" applyNumberFormat="1" applyFont="1" applyBorder="1" applyProtection="1"/>
    <xf numFmtId="166" fontId="9" fillId="0" borderId="10" xfId="0" applyNumberFormat="1" applyFont="1" applyBorder="1" applyAlignment="1" applyProtection="1">
      <alignment horizontal="center"/>
    </xf>
    <xf numFmtId="166" fontId="24" fillId="0" borderId="9" xfId="0" applyNumberFormat="1" applyFont="1" applyBorder="1" applyProtection="1"/>
    <xf numFmtId="0" fontId="9" fillId="0" borderId="11" xfId="0" applyFont="1" applyBorder="1" applyAlignment="1">
      <alignment horizontal="center"/>
    </xf>
    <xf numFmtId="166" fontId="24" fillId="0" borderId="12" xfId="0" applyNumberFormat="1" applyFont="1" applyBorder="1" applyProtection="1"/>
    <xf numFmtId="173" fontId="9" fillId="0" borderId="0" xfId="0" applyNumberFormat="1" applyFont="1" applyBorder="1" applyProtection="1"/>
    <xf numFmtId="166" fontId="9" fillId="0" borderId="13" xfId="0" applyNumberFormat="1" applyFont="1" applyBorder="1" applyAlignment="1" applyProtection="1">
      <alignment horizontal="center"/>
    </xf>
    <xf numFmtId="166" fontId="9" fillId="0" borderId="12" xfId="0" applyNumberFormat="1" applyFont="1" applyBorder="1" applyProtection="1"/>
    <xf numFmtId="5" fontId="24" fillId="0" borderId="0" xfId="0" applyNumberFormat="1" applyFont="1" applyBorder="1" applyAlignment="1" applyProtection="1">
      <alignment horizontal="center"/>
    </xf>
    <xf numFmtId="166" fontId="24" fillId="0" borderId="13" xfId="0" applyNumberFormat="1" applyFont="1" applyBorder="1" applyAlignment="1" applyProtection="1">
      <alignment horizontal="center"/>
    </xf>
    <xf numFmtId="166" fontId="24" fillId="0" borderId="0" xfId="0" applyNumberFormat="1" applyFont="1" applyBorder="1" applyAlignment="1" applyProtection="1">
      <alignment horizontal="center"/>
    </xf>
    <xf numFmtId="0" fontId="9" fillId="0" borderId="7" xfId="0" applyFont="1" applyBorder="1"/>
    <xf numFmtId="6" fontId="9" fillId="0" borderId="11" xfId="0" applyNumberFormat="1" applyFont="1" applyBorder="1"/>
    <xf numFmtId="5" fontId="9" fillId="0" borderId="11" xfId="0" applyNumberFormat="1" applyFont="1" applyBorder="1"/>
    <xf numFmtId="0" fontId="9" fillId="0" borderId="11" xfId="0" applyFont="1" applyBorder="1"/>
    <xf numFmtId="0" fontId="9" fillId="0" borderId="12" xfId="0" applyFont="1" applyBorder="1"/>
    <xf numFmtId="38" fontId="9" fillId="0" borderId="11" xfId="0" applyNumberFormat="1" applyFont="1" applyBorder="1"/>
    <xf numFmtId="0" fontId="3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/>
    <xf numFmtId="0" fontId="7" fillId="0" borderId="0" xfId="0" applyFont="1"/>
    <xf numFmtId="5" fontId="9" fillId="0" borderId="0" xfId="0" applyNumberFormat="1" applyFont="1" applyFill="1" applyBorder="1" applyProtection="1"/>
    <xf numFmtId="37" fontId="9" fillId="0" borderId="0" xfId="0" applyNumberFormat="1" applyFont="1" applyBorder="1"/>
    <xf numFmtId="0" fontId="9" fillId="0" borderId="14" xfId="0" applyFont="1" applyBorder="1"/>
    <xf numFmtId="5" fontId="9" fillId="0" borderId="15" xfId="0" applyNumberFormat="1" applyFont="1" applyBorder="1"/>
    <xf numFmtId="0" fontId="9" fillId="0" borderId="16" xfId="0" applyFont="1" applyBorder="1"/>
    <xf numFmtId="5" fontId="9" fillId="0" borderId="17" xfId="0" applyNumberFormat="1" applyFont="1" applyBorder="1"/>
    <xf numFmtId="0" fontId="35" fillId="0" borderId="0" xfId="0" applyFont="1" applyBorder="1" applyAlignment="1"/>
    <xf numFmtId="0" fontId="9" fillId="14" borderId="0" xfId="0" applyFont="1" applyFill="1" applyBorder="1"/>
    <xf numFmtId="5" fontId="9" fillId="0" borderId="0" xfId="0" applyNumberFormat="1" applyFont="1" applyBorder="1" applyAlignment="1">
      <alignment horizontal="left"/>
    </xf>
    <xf numFmtId="5" fontId="24" fillId="0" borderId="0" xfId="0" applyNumberFormat="1" applyFont="1" applyBorder="1"/>
    <xf numFmtId="0" fontId="0" fillId="0" borderId="18" xfId="0" applyBorder="1"/>
    <xf numFmtId="0" fontId="9" fillId="0" borderId="18" xfId="0" applyFont="1" applyBorder="1" applyAlignment="1">
      <alignment horizontal="right"/>
    </xf>
    <xf numFmtId="5" fontId="9" fillId="0" borderId="18" xfId="0" applyNumberFormat="1" applyFont="1" applyBorder="1"/>
    <xf numFmtId="0" fontId="9" fillId="0" borderId="18" xfId="0" applyFont="1" applyBorder="1"/>
    <xf numFmtId="5" fontId="9" fillId="0" borderId="18" xfId="0" applyNumberFormat="1" applyFont="1" applyBorder="1" applyAlignment="1">
      <alignment horizontal="left"/>
    </xf>
    <xf numFmtId="0" fontId="35" fillId="0" borderId="0" xfId="0" applyFont="1" applyBorder="1"/>
    <xf numFmtId="0" fontId="9" fillId="0" borderId="18" xfId="0" applyFont="1" applyBorder="1" applyAlignment="1">
      <alignment horizontal="left"/>
    </xf>
    <xf numFmtId="5" fontId="9" fillId="0" borderId="18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5" fontId="9" fillId="0" borderId="0" xfId="0" applyNumberFormat="1" applyFont="1" applyBorder="1" applyAlignment="1">
      <alignment horizontal="right"/>
    </xf>
    <xf numFmtId="0" fontId="13" fillId="0" borderId="0" xfId="0" applyFont="1"/>
    <xf numFmtId="0" fontId="13" fillId="0" borderId="18" xfId="0" applyFont="1" applyBorder="1"/>
    <xf numFmtId="0" fontId="20" fillId="0" borderId="0" xfId="0" applyFont="1" applyFill="1" applyAlignment="1">
      <alignment horizontal="left"/>
    </xf>
    <xf numFmtId="1" fontId="9" fillId="0" borderId="0" xfId="0" applyNumberFormat="1" applyFont="1" applyFill="1" applyBorder="1"/>
    <xf numFmtId="0" fontId="21" fillId="0" borderId="0" xfId="0" applyFont="1" applyFill="1"/>
    <xf numFmtId="164" fontId="9" fillId="0" borderId="0" xfId="0" applyNumberFormat="1" applyFont="1" applyFill="1" applyProtection="1"/>
    <xf numFmtId="0" fontId="20" fillId="0" borderId="0" xfId="0" applyFont="1" applyFill="1" applyBorder="1" applyAlignment="1">
      <alignment horizontal="left"/>
    </xf>
    <xf numFmtId="1" fontId="9" fillId="0" borderId="0" xfId="11" applyNumberFormat="1" applyFont="1" applyFill="1" applyBorder="1"/>
    <xf numFmtId="0" fontId="21" fillId="0" borderId="0" xfId="0" applyFont="1" applyFill="1" applyBorder="1"/>
    <xf numFmtId="164" fontId="9" fillId="0" borderId="0" xfId="0" applyNumberFormat="1" applyFont="1" applyFill="1" applyBorder="1" applyProtection="1"/>
    <xf numFmtId="0" fontId="9" fillId="0" borderId="0" xfId="0" quotePrefix="1" applyFont="1" applyFill="1" applyBorder="1"/>
    <xf numFmtId="0" fontId="9" fillId="0" borderId="0" xfId="0" quotePrefix="1" applyFont="1" applyFill="1" applyBorder="1" applyAlignment="1">
      <alignment horizontal="left"/>
    </xf>
    <xf numFmtId="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5" fontId="21" fillId="0" borderId="0" xfId="0" applyNumberFormat="1" applyFont="1" applyFill="1" applyBorder="1" applyAlignment="1">
      <alignment horizontal="center"/>
    </xf>
    <xf numFmtId="6" fontId="9" fillId="0" borderId="0" xfId="0" applyNumberFormat="1" applyFont="1" applyFill="1" applyBorder="1"/>
    <xf numFmtId="37" fontId="9" fillId="0" borderId="0" xfId="0" applyNumberFormat="1" applyFont="1" applyFill="1" applyBorder="1"/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38" fontId="20" fillId="0" borderId="0" xfId="0" applyNumberFormat="1" applyFont="1" applyBorder="1"/>
    <xf numFmtId="0" fontId="21" fillId="0" borderId="0" xfId="0" applyFont="1" applyBorder="1"/>
    <xf numFmtId="1" fontId="20" fillId="0" borderId="0" xfId="0" applyNumberFormat="1" applyFont="1" applyBorder="1"/>
    <xf numFmtId="38" fontId="9" fillId="0" borderId="0" xfId="0" applyNumberFormat="1" applyFont="1" applyBorder="1"/>
    <xf numFmtId="38" fontId="0" fillId="0" borderId="0" xfId="0" applyNumberFormat="1" applyBorder="1"/>
    <xf numFmtId="10" fontId="9" fillId="0" borderId="0" xfId="0" applyNumberFormat="1" applyFont="1" applyBorder="1"/>
    <xf numFmtId="166" fontId="24" fillId="0" borderId="0" xfId="0" applyNumberFormat="1" applyFont="1" applyFill="1" applyBorder="1" applyAlignment="1" applyProtection="1">
      <alignment horizontal="center"/>
    </xf>
    <xf numFmtId="166" fontId="24" fillId="0" borderId="0" xfId="0" applyNumberFormat="1" applyFont="1" applyFill="1" applyBorder="1" applyProtection="1"/>
    <xf numFmtId="166" fontId="9" fillId="0" borderId="0" xfId="0" applyNumberFormat="1" applyFont="1" applyFill="1" applyBorder="1" applyProtection="1"/>
    <xf numFmtId="166" fontId="9" fillId="0" borderId="0" xfId="0" applyNumberFormat="1" applyFont="1" applyFill="1" applyBorder="1" applyAlignment="1" applyProtection="1">
      <alignment horizontal="center"/>
    </xf>
    <xf numFmtId="164" fontId="28" fillId="0" borderId="0" xfId="11" applyNumberFormat="1" applyFont="1" applyFill="1" applyBorder="1"/>
    <xf numFmtId="5" fontId="9" fillId="0" borderId="0" xfId="0" applyNumberFormat="1" applyFont="1" applyFill="1" applyBorder="1" applyAlignment="1">
      <alignment horizontal="left"/>
    </xf>
    <xf numFmtId="5" fontId="24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6" fontId="36" fillId="0" borderId="0" xfId="0" applyNumberFormat="1" applyFont="1" applyFill="1" applyBorder="1"/>
    <xf numFmtId="5" fontId="9" fillId="0" borderId="0" xfId="0" applyNumberFormat="1" applyFont="1" applyFill="1" applyBorder="1" applyAlignment="1">
      <alignment horizontal="right"/>
    </xf>
    <xf numFmtId="0" fontId="35" fillId="0" borderId="0" xfId="0" applyFont="1" applyFill="1" applyBorder="1"/>
    <xf numFmtId="0" fontId="13" fillId="0" borderId="0" xfId="0" applyFont="1" applyFill="1" applyBorder="1"/>
    <xf numFmtId="166" fontId="26" fillId="0" borderId="0" xfId="0" applyNumberFormat="1" applyFont="1" applyFill="1" applyBorder="1" applyProtection="1"/>
    <xf numFmtId="165" fontId="9" fillId="0" borderId="0" xfId="11" applyNumberFormat="1" applyFont="1" applyFill="1" applyBorder="1" applyProtection="1"/>
    <xf numFmtId="1" fontId="9" fillId="0" borderId="0" xfId="11" applyNumberFormat="1" applyFont="1" applyFill="1" applyBorder="1" applyProtection="1"/>
    <xf numFmtId="165" fontId="9" fillId="0" borderId="0" xfId="11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167" fontId="26" fillId="0" borderId="0" xfId="11" applyNumberFormat="1" applyFont="1" applyFill="1" applyBorder="1"/>
    <xf numFmtId="166" fontId="26" fillId="0" borderId="0" xfId="11" applyNumberFormat="1" applyFont="1" applyFill="1" applyBorder="1" applyProtection="1"/>
    <xf numFmtId="5" fontId="26" fillId="0" borderId="0" xfId="0" applyNumberFormat="1" applyFont="1" applyFill="1" applyBorder="1" applyProtection="1"/>
    <xf numFmtId="0" fontId="9" fillId="0" borderId="0" xfId="0" applyNumberFormat="1" applyFont="1" applyFill="1" applyBorder="1"/>
    <xf numFmtId="166" fontId="26" fillId="0" borderId="0" xfId="11" applyNumberFormat="1" applyFont="1" applyFill="1" applyBorder="1"/>
    <xf numFmtId="167" fontId="9" fillId="0" borderId="0" xfId="11" applyNumberFormat="1" applyFont="1" applyFill="1" applyBorder="1" applyProtection="1"/>
    <xf numFmtId="167" fontId="27" fillId="0" borderId="0" xfId="11" applyNumberFormat="1" applyFont="1" applyFill="1" applyBorder="1" applyProtection="1"/>
    <xf numFmtId="1" fontId="9" fillId="0" borderId="0" xfId="0" quotePrefix="1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Continuous"/>
    </xf>
    <xf numFmtId="166" fontId="27" fillId="0" borderId="0" xfId="11" applyNumberFormat="1" applyFont="1" applyFill="1" applyBorder="1" applyProtection="1"/>
    <xf numFmtId="0" fontId="21" fillId="0" borderId="0" xfId="0" applyFont="1" applyFill="1" applyBorder="1" applyAlignment="1">
      <alignment horizontal="center"/>
    </xf>
    <xf numFmtId="169" fontId="0" fillId="0" borderId="0" xfId="0" applyNumberFormat="1" applyFill="1" applyBorder="1"/>
    <xf numFmtId="166" fontId="7" fillId="0" borderId="0" xfId="0" applyNumberFormat="1" applyFont="1" applyFill="1" applyProtection="1"/>
    <xf numFmtId="166" fontId="9" fillId="0" borderId="0" xfId="0" applyNumberFormat="1" applyFont="1" applyFill="1" applyProtection="1"/>
    <xf numFmtId="189" fontId="46" fillId="17" borderId="19" xfId="0" applyNumberFormat="1" applyFont="1" applyFill="1" applyBorder="1" applyAlignment="1" applyProtection="1">
      <alignment horizontal="center"/>
    </xf>
    <xf numFmtId="167" fontId="47" fillId="0" borderId="0" xfId="11" applyNumberFormat="1" applyFont="1" applyFill="1" applyBorder="1" applyProtection="1"/>
    <xf numFmtId="188" fontId="46" fillId="13" borderId="19" xfId="0" applyNumberFormat="1" applyFont="1" applyFill="1" applyBorder="1" applyAlignment="1" applyProtection="1">
      <alignment horizontal="center"/>
    </xf>
    <xf numFmtId="14" fontId="45" fillId="18" borderId="20" xfId="0" applyNumberFormat="1" applyFont="1" applyFill="1" applyBorder="1" applyAlignment="1">
      <alignment horizontal="left"/>
    </xf>
    <xf numFmtId="190" fontId="45" fillId="18" borderId="21" xfId="0" applyNumberFormat="1" applyFont="1" applyFill="1" applyBorder="1" applyAlignment="1">
      <alignment horizontal="left"/>
    </xf>
    <xf numFmtId="190" fontId="9" fillId="18" borderId="22" xfId="0" applyNumberFormat="1" applyFont="1" applyFill="1" applyBorder="1" applyAlignment="1">
      <alignment horizontal="left"/>
    </xf>
    <xf numFmtId="0" fontId="49" fillId="19" borderId="0" xfId="0" applyFont="1" applyFill="1" applyBorder="1"/>
    <xf numFmtId="191" fontId="46" fillId="13" borderId="19" xfId="0" applyNumberFormat="1" applyFont="1" applyFill="1" applyBorder="1" applyAlignment="1" applyProtection="1">
      <alignment horizontal="center"/>
    </xf>
    <xf numFmtId="0" fontId="20" fillId="0" borderId="0" xfId="0" applyFont="1" applyFill="1" applyBorder="1" applyAlignment="1">
      <alignment horizontal="right"/>
    </xf>
    <xf numFmtId="165" fontId="48" fillId="0" borderId="0" xfId="11" applyNumberFormat="1" applyFont="1" applyFill="1" applyBorder="1" applyAlignment="1" applyProtection="1">
      <alignment horizontal="center"/>
    </xf>
    <xf numFmtId="0" fontId="49" fillId="0" borderId="0" xfId="0" applyFont="1" applyFill="1" applyBorder="1"/>
    <xf numFmtId="165" fontId="48" fillId="0" borderId="0" xfId="11" applyNumberFormat="1" applyFont="1" applyFill="1" applyBorder="1" applyProtection="1"/>
    <xf numFmtId="166" fontId="48" fillId="0" borderId="0" xfId="0" applyNumberFormat="1" applyFont="1" applyFill="1" applyBorder="1" applyProtection="1"/>
    <xf numFmtId="187" fontId="20" fillId="13" borderId="19" xfId="0" applyNumberFormat="1" applyFont="1" applyFill="1" applyBorder="1" applyAlignment="1">
      <alignment horizontal="left"/>
    </xf>
    <xf numFmtId="1" fontId="9" fillId="18" borderId="23" xfId="11" applyNumberFormat="1" applyFont="1" applyFill="1" applyBorder="1"/>
    <xf numFmtId="0" fontId="9" fillId="18" borderId="24" xfId="0" applyFont="1" applyFill="1" applyBorder="1"/>
    <xf numFmtId="1" fontId="9" fillId="18" borderId="24" xfId="0" applyNumberFormat="1" applyFont="1" applyFill="1" applyBorder="1"/>
    <xf numFmtId="0" fontId="0" fillId="18" borderId="24" xfId="0" applyFill="1" applyBorder="1"/>
    <xf numFmtId="0" fontId="9" fillId="18" borderId="25" xfId="0" applyFont="1" applyFill="1" applyBorder="1"/>
    <xf numFmtId="1" fontId="9" fillId="18" borderId="26" xfId="11" applyNumberFormat="1" applyFont="1" applyFill="1" applyBorder="1"/>
    <xf numFmtId="0" fontId="17" fillId="18" borderId="0" xfId="0" applyFont="1" applyFill="1" applyBorder="1" applyAlignment="1">
      <alignment horizontal="left"/>
    </xf>
    <xf numFmtId="1" fontId="17" fillId="18" borderId="0" xfId="0" applyNumberFormat="1" applyFont="1" applyFill="1" applyBorder="1" applyAlignment="1">
      <alignment horizontal="left"/>
    </xf>
    <xf numFmtId="0" fontId="0" fillId="18" borderId="0" xfId="0" applyFill="1" applyBorder="1"/>
    <xf numFmtId="0" fontId="17" fillId="18" borderId="27" xfId="0" applyFont="1" applyFill="1" applyBorder="1" applyAlignment="1">
      <alignment horizontal="left"/>
    </xf>
    <xf numFmtId="1" fontId="9" fillId="18" borderId="28" xfId="11" applyNumberFormat="1" applyFont="1" applyFill="1" applyBorder="1"/>
    <xf numFmtId="0" fontId="9" fillId="18" borderId="29" xfId="0" applyFont="1" applyFill="1" applyBorder="1"/>
    <xf numFmtId="1" fontId="9" fillId="18" borderId="29" xfId="0" applyNumberFormat="1" applyFont="1" applyFill="1" applyBorder="1"/>
    <xf numFmtId="1" fontId="9" fillId="18" borderId="29" xfId="11" applyNumberFormat="1" applyFont="1" applyFill="1" applyBorder="1"/>
    <xf numFmtId="0" fontId="0" fillId="18" borderId="29" xfId="0" applyFill="1" applyBorder="1"/>
    <xf numFmtId="0" fontId="9" fillId="18" borderId="30" xfId="0" applyFont="1" applyFill="1" applyBorder="1"/>
    <xf numFmtId="165" fontId="58" fillId="19" borderId="0" xfId="11" applyNumberFormat="1" applyFont="1" applyFill="1" applyBorder="1" applyProtection="1"/>
    <xf numFmtId="0" fontId="58" fillId="19" borderId="0" xfId="0" applyFont="1" applyFill="1" applyBorder="1"/>
    <xf numFmtId="166" fontId="58" fillId="19" borderId="0" xfId="0" applyNumberFormat="1" applyFont="1" applyFill="1" applyBorder="1" applyProtection="1"/>
    <xf numFmtId="167" fontId="58" fillId="19" borderId="0" xfId="11" applyNumberFormat="1" applyFont="1" applyFill="1" applyBorder="1"/>
    <xf numFmtId="167" fontId="58" fillId="19" borderId="0" xfId="11" applyNumberFormat="1" applyFont="1" applyFill="1" applyBorder="1" applyProtection="1"/>
    <xf numFmtId="5" fontId="26" fillId="0" borderId="0" xfId="0" applyNumberFormat="1" applyFont="1" applyFill="1" applyProtection="1"/>
    <xf numFmtId="6" fontId="9" fillId="0" borderId="0" xfId="0" applyNumberFormat="1" applyFont="1" applyFill="1" applyBorder="1" applyAlignment="1">
      <alignment horizontal="left"/>
    </xf>
    <xf numFmtId="5" fontId="7" fillId="0" borderId="0" xfId="0" applyNumberFormat="1" applyFont="1" applyBorder="1" applyProtection="1"/>
    <xf numFmtId="5" fontId="7" fillId="0" borderId="0" xfId="0" applyNumberFormat="1" applyFont="1" applyFill="1" applyBorder="1" applyProtection="1"/>
    <xf numFmtId="5" fontId="20" fillId="0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6" fontId="9" fillId="0" borderId="0" xfId="0" applyNumberFormat="1" applyFont="1" applyFill="1" applyBorder="1" applyAlignment="1" applyProtection="1">
      <alignment horizontal="right"/>
    </xf>
    <xf numFmtId="5" fontId="9" fillId="0" borderId="0" xfId="0" applyNumberFormat="1" applyFont="1" applyFill="1" applyBorder="1" applyAlignment="1" applyProtection="1">
      <alignment horizontal="right"/>
    </xf>
    <xf numFmtId="38" fontId="9" fillId="0" borderId="0" xfId="0" applyNumberFormat="1" applyFont="1" applyFill="1" applyBorder="1" applyAlignment="1" applyProtection="1">
      <alignment horizontal="right"/>
    </xf>
    <xf numFmtId="166" fontId="9" fillId="0" borderId="0" xfId="0" applyNumberFormat="1" applyFont="1" applyFill="1" applyBorder="1" applyAlignment="1" applyProtection="1">
      <alignment horizontal="right"/>
    </xf>
    <xf numFmtId="5" fontId="9" fillId="0" borderId="13" xfId="0" applyNumberFormat="1" applyFont="1" applyFill="1" applyBorder="1"/>
    <xf numFmtId="5" fontId="26" fillId="0" borderId="31" xfId="0" applyNumberFormat="1" applyFont="1" applyBorder="1" applyProtection="1"/>
    <xf numFmtId="6" fontId="9" fillId="13" borderId="32" xfId="12" applyNumberFormat="1" applyFont="1" applyFill="1" applyBorder="1" applyProtection="1"/>
    <xf numFmtId="5" fontId="26" fillId="0" borderId="16" xfId="0" applyNumberFormat="1" applyFont="1" applyBorder="1" applyProtection="1"/>
    <xf numFmtId="5" fontId="9" fillId="0" borderId="13" xfId="0" applyNumberFormat="1" applyFont="1" applyFill="1" applyBorder="1" applyProtection="1"/>
    <xf numFmtId="5" fontId="9" fillId="0" borderId="0" xfId="0" applyNumberFormat="1" applyFont="1" applyFill="1" applyBorder="1" applyAlignment="1" applyProtection="1"/>
    <xf numFmtId="6" fontId="36" fillId="0" borderId="0" xfId="0" applyNumberFormat="1" applyFont="1" applyFill="1"/>
    <xf numFmtId="0" fontId="9" fillId="0" borderId="18" xfId="0" applyFont="1" applyFill="1" applyBorder="1" applyAlignment="1">
      <alignment horizontal="right"/>
    </xf>
    <xf numFmtId="5" fontId="9" fillId="0" borderId="18" xfId="0" applyNumberFormat="1" applyFont="1" applyFill="1" applyBorder="1"/>
    <xf numFmtId="5" fontId="9" fillId="0" borderId="12" xfId="0" applyNumberFormat="1" applyFont="1" applyBorder="1"/>
    <xf numFmtId="5" fontId="9" fillId="0" borderId="12" xfId="0" applyNumberFormat="1" applyFont="1" applyBorder="1" applyProtection="1"/>
    <xf numFmtId="5" fontId="9" fillId="0" borderId="14" xfId="0" applyNumberFormat="1" applyFont="1" applyBorder="1"/>
    <xf numFmtId="5" fontId="9" fillId="13" borderId="0" xfId="0" applyNumberFormat="1" applyFont="1" applyFill="1" applyBorder="1" applyProtection="1"/>
    <xf numFmtId="37" fontId="38" fillId="0" borderId="0" xfId="0" applyNumberFormat="1" applyFont="1" applyFill="1" applyBorder="1"/>
    <xf numFmtId="5" fontId="9" fillId="0" borderId="0" xfId="0" quotePrefix="1" applyNumberFormat="1" applyFont="1" applyFill="1" applyBorder="1" applyAlignment="1">
      <alignment horizontal="center"/>
    </xf>
    <xf numFmtId="173" fontId="9" fillId="0" borderId="0" xfId="0" applyNumberFormat="1" applyFont="1" applyFill="1" applyBorder="1"/>
    <xf numFmtId="173" fontId="9" fillId="0" borderId="0" xfId="0" applyNumberFormat="1" applyFont="1" applyBorder="1"/>
    <xf numFmtId="5" fontId="7" fillId="0" borderId="0" xfId="0" applyNumberFormat="1" applyFont="1" applyFill="1"/>
    <xf numFmtId="192" fontId="20" fillId="20" borderId="0" xfId="0" applyNumberFormat="1" applyFont="1" applyFill="1" applyBorder="1" applyAlignment="1">
      <alignment horizontal="center"/>
    </xf>
    <xf numFmtId="6" fontId="9" fillId="13" borderId="0" xfId="12" applyNumberFormat="1" applyFont="1" applyFill="1" applyBorder="1" applyProtection="1"/>
    <xf numFmtId="5" fontId="9" fillId="13" borderId="0" xfId="12" applyNumberFormat="1" applyFont="1" applyFill="1" applyBorder="1" applyProtection="1"/>
    <xf numFmtId="5" fontId="9" fillId="21" borderId="0" xfId="0" applyNumberFormat="1" applyFont="1" applyFill="1"/>
    <xf numFmtId="0" fontId="17" fillId="21" borderId="0" xfId="0" applyFont="1" applyFill="1" applyBorder="1" applyAlignment="1">
      <alignment horizontal="left"/>
    </xf>
    <xf numFmtId="0" fontId="9" fillId="21" borderId="0" xfId="0" applyFont="1" applyFill="1"/>
    <xf numFmtId="165" fontId="9" fillId="21" borderId="0" xfId="11" applyNumberFormat="1" applyFont="1" applyFill="1" applyBorder="1" applyProtection="1"/>
    <xf numFmtId="166" fontId="26" fillId="21" borderId="0" xfId="0" applyNumberFormat="1" applyFont="1" applyFill="1" applyBorder="1" applyProtection="1"/>
    <xf numFmtId="0" fontId="9" fillId="21" borderId="0" xfId="0" applyFont="1" applyFill="1" applyBorder="1"/>
    <xf numFmtId="167" fontId="26" fillId="21" borderId="0" xfId="11" applyNumberFormat="1" applyFont="1" applyFill="1" applyBorder="1"/>
    <xf numFmtId="167" fontId="9" fillId="21" borderId="0" xfId="11" applyNumberFormat="1" applyFont="1" applyFill="1" applyBorder="1" applyProtection="1"/>
    <xf numFmtId="166" fontId="9" fillId="21" borderId="0" xfId="0" applyNumberFormat="1" applyFont="1" applyFill="1" applyProtection="1"/>
    <xf numFmtId="5" fontId="9" fillId="21" borderId="0" xfId="0" applyNumberFormat="1" applyFont="1" applyFill="1" applyProtection="1"/>
    <xf numFmtId="5" fontId="26" fillId="21" borderId="0" xfId="0" applyNumberFormat="1" applyFont="1" applyFill="1" applyBorder="1" applyProtection="1"/>
    <xf numFmtId="164" fontId="9" fillId="21" borderId="0" xfId="0" applyNumberFormat="1" applyFont="1" applyFill="1"/>
    <xf numFmtId="1" fontId="28" fillId="21" borderId="0" xfId="11" applyNumberFormat="1" applyFont="1" applyFill="1"/>
    <xf numFmtId="0" fontId="0" fillId="21" borderId="0" xfId="0" applyFill="1"/>
    <xf numFmtId="0" fontId="9" fillId="21" borderId="6" xfId="0" applyFont="1" applyFill="1" applyBorder="1" applyAlignment="1">
      <alignment horizontal="left"/>
    </xf>
    <xf numFmtId="6" fontId="9" fillId="21" borderId="1" xfId="12" applyNumberFormat="1" applyFont="1" applyFill="1" applyBorder="1" applyProtection="1"/>
    <xf numFmtId="5" fontId="26" fillId="21" borderId="8" xfId="0" applyNumberFormat="1" applyFont="1" applyFill="1" applyBorder="1" applyProtection="1"/>
    <xf numFmtId="5" fontId="26" fillId="21" borderId="1" xfId="0" applyNumberFormat="1" applyFont="1" applyFill="1" applyBorder="1" applyProtection="1"/>
    <xf numFmtId="5" fontId="26" fillId="21" borderId="16" xfId="0" applyNumberFormat="1" applyFont="1" applyFill="1" applyBorder="1" applyProtection="1"/>
    <xf numFmtId="5" fontId="9" fillId="21" borderId="1" xfId="0" applyNumberFormat="1" applyFont="1" applyFill="1" applyBorder="1" applyProtection="1"/>
    <xf numFmtId="5" fontId="26" fillId="0" borderId="1" xfId="12" applyNumberFormat="1" applyFont="1" applyBorder="1" applyProtection="1"/>
    <xf numFmtId="6" fontId="26" fillId="0" borderId="0" xfId="12" applyNumberFormat="1" applyFont="1" applyFill="1" applyBorder="1" applyProtection="1"/>
    <xf numFmtId="5" fontId="26" fillId="0" borderId="1" xfId="12" applyNumberFormat="1" applyFont="1" applyFill="1" applyBorder="1" applyProtection="1"/>
    <xf numFmtId="1" fontId="9" fillId="0" borderId="0" xfId="12" applyNumberFormat="1" applyFont="1" applyFill="1" applyBorder="1"/>
    <xf numFmtId="5" fontId="9" fillId="0" borderId="0" xfId="11" applyNumberFormat="1" applyFont="1" applyFill="1" applyBorder="1" applyProtection="1"/>
    <xf numFmtId="6" fontId="28" fillId="0" borderId="0" xfId="12" applyNumberFormat="1" applyFont="1" applyFill="1" applyBorder="1" applyProtection="1"/>
    <xf numFmtId="6" fontId="9" fillId="0" borderId="0" xfId="12" quotePrefix="1" applyNumberFormat="1" applyFont="1" applyFill="1" applyBorder="1" applyProtection="1"/>
    <xf numFmtId="1" fontId="28" fillId="0" borderId="0" xfId="12" applyNumberFormat="1" applyFont="1" applyFill="1" applyBorder="1" applyAlignment="1" applyProtection="1"/>
    <xf numFmtId="1" fontId="28" fillId="0" borderId="0" xfId="11" applyNumberFormat="1" applyFont="1" applyFill="1" applyBorder="1"/>
    <xf numFmtId="1" fontId="28" fillId="0" borderId="0" xfId="11" applyNumberFormat="1" applyFont="1" applyFill="1" applyBorder="1" applyProtection="1"/>
    <xf numFmtId="0" fontId="9" fillId="0" borderId="0" xfId="0" applyNumberFormat="1" applyFont="1" applyFill="1" applyBorder="1" applyAlignment="1">
      <alignment horizontal="left"/>
    </xf>
    <xf numFmtId="0" fontId="28" fillId="0" borderId="0" xfId="11" applyNumberFormat="1" applyFont="1" applyFill="1" applyBorder="1" applyAlignment="1" applyProtection="1"/>
    <xf numFmtId="164" fontId="9" fillId="0" borderId="0" xfId="11" applyNumberFormat="1" applyFont="1" applyFill="1" applyBorder="1" applyProtection="1"/>
    <xf numFmtId="164" fontId="9" fillId="0" borderId="0" xfId="11" applyNumberFormat="1" applyFont="1" applyFill="1" applyBorder="1" applyAlignment="1" applyProtection="1"/>
    <xf numFmtId="1" fontId="28" fillId="0" borderId="0" xfId="11" applyNumberFormat="1" applyFont="1" applyFill="1" applyBorder="1" applyAlignment="1" applyProtection="1"/>
    <xf numFmtId="0" fontId="9" fillId="0" borderId="0" xfId="12" applyNumberFormat="1" applyFont="1" applyFill="1" applyBorder="1" applyProtection="1"/>
    <xf numFmtId="164" fontId="9" fillId="0" borderId="0" xfId="12" applyNumberFormat="1" applyFont="1" applyFill="1" applyBorder="1" applyProtection="1"/>
    <xf numFmtId="2" fontId="9" fillId="0" borderId="0" xfId="12" applyNumberFormat="1" applyFont="1" applyFill="1" applyBorder="1" applyProtection="1"/>
    <xf numFmtId="2" fontId="9" fillId="0" borderId="0" xfId="0" applyNumberFormat="1" applyFont="1" applyFill="1" applyBorder="1" applyProtection="1"/>
    <xf numFmtId="2" fontId="9" fillId="0" borderId="0" xfId="11" applyNumberFormat="1" applyFont="1" applyFill="1" applyBorder="1" applyProtection="1"/>
    <xf numFmtId="2" fontId="9" fillId="0" borderId="0" xfId="11" applyNumberFormat="1" applyFont="1" applyFill="1" applyBorder="1" applyAlignment="1" applyProtection="1"/>
    <xf numFmtId="0" fontId="9" fillId="0" borderId="0" xfId="0" quotePrefix="1" applyNumberFormat="1" applyFont="1" applyFill="1" applyBorder="1" applyAlignment="1">
      <alignment horizontal="left"/>
    </xf>
    <xf numFmtId="1" fontId="9" fillId="0" borderId="0" xfId="12" applyNumberFormat="1" applyFont="1" applyFill="1" applyBorder="1" applyProtection="1"/>
    <xf numFmtId="1" fontId="9" fillId="0" borderId="0" xfId="11" applyNumberFormat="1" applyFont="1" applyFill="1" applyBorder="1" applyAlignment="1" applyProtection="1"/>
    <xf numFmtId="0" fontId="9" fillId="0" borderId="0" xfId="11" applyNumberFormat="1" applyFont="1" applyFill="1" applyBorder="1" applyProtection="1"/>
    <xf numFmtId="6" fontId="9" fillId="0" borderId="0" xfId="12" applyNumberFormat="1" applyFont="1" applyFill="1" applyBorder="1"/>
    <xf numFmtId="0" fontId="9" fillId="0" borderId="0" xfId="11" applyNumberFormat="1" applyFont="1" applyFill="1" applyBorder="1"/>
    <xf numFmtId="6" fontId="9" fillId="0" borderId="0" xfId="12" quotePrefix="1" applyNumberFormat="1" applyFont="1" applyFill="1" applyBorder="1"/>
    <xf numFmtId="1" fontId="9" fillId="0" borderId="0" xfId="0" quotePrefix="1" applyNumberFormat="1" applyFont="1" applyFill="1" applyBorder="1" applyProtection="1"/>
    <xf numFmtId="1" fontId="9" fillId="0" borderId="0" xfId="0" quotePrefix="1" applyNumberFormat="1" applyFont="1" applyFill="1" applyBorder="1"/>
    <xf numFmtId="1" fontId="9" fillId="0" borderId="0" xfId="11" applyNumberFormat="1" applyFont="1" applyFill="1" applyBorder="1" applyAlignment="1">
      <alignment wrapText="1"/>
    </xf>
    <xf numFmtId="1" fontId="9" fillId="0" borderId="0" xfId="11" applyNumberFormat="1" applyFont="1" applyFill="1" applyBorder="1" applyAlignment="1">
      <alignment horizontal="center"/>
    </xf>
    <xf numFmtId="164" fontId="9" fillId="0" borderId="0" xfId="0" applyNumberFormat="1" applyFont="1" applyFill="1"/>
    <xf numFmtId="191" fontId="46" fillId="0" borderId="0" xfId="0" applyNumberFormat="1" applyFont="1" applyFill="1" applyBorder="1" applyAlignment="1" applyProtection="1">
      <alignment horizontal="center"/>
    </xf>
    <xf numFmtId="167" fontId="58" fillId="0" borderId="0" xfId="11" applyNumberFormat="1" applyFont="1" applyFill="1" applyBorder="1" applyProtection="1"/>
    <xf numFmtId="5" fontId="9" fillId="0" borderId="0" xfId="0" quotePrefix="1" applyNumberFormat="1" applyFont="1" applyFill="1" applyBorder="1" applyProtection="1"/>
    <xf numFmtId="0" fontId="20" fillId="0" borderId="6" xfId="0" applyFont="1" applyBorder="1" applyAlignment="1">
      <alignment horizontal="left"/>
    </xf>
    <xf numFmtId="1" fontId="20" fillId="0" borderId="6" xfId="0" applyNumberFormat="1" applyFont="1" applyBorder="1" applyAlignment="1">
      <alignment horizontal="left"/>
    </xf>
    <xf numFmtId="1" fontId="20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21" borderId="6" xfId="0" applyFont="1" applyFill="1" applyBorder="1" applyAlignment="1">
      <alignment horizontal="left"/>
    </xf>
    <xf numFmtId="0" fontId="68" fillId="0" borderId="0" xfId="0" applyFont="1" applyBorder="1"/>
    <xf numFmtId="0" fontId="20" fillId="0" borderId="6" xfId="0" applyFont="1" applyBorder="1"/>
    <xf numFmtId="0" fontId="20" fillId="0" borderId="0" xfId="0" applyFont="1" applyBorder="1"/>
    <xf numFmtId="1" fontId="20" fillId="0" borderId="6" xfId="0" applyNumberFormat="1" applyFont="1" applyBorder="1"/>
    <xf numFmtId="1" fontId="20" fillId="0" borderId="0" xfId="0" applyNumberFormat="1" applyFont="1"/>
    <xf numFmtId="0" fontId="20" fillId="0" borderId="0" xfId="0" applyFont="1"/>
    <xf numFmtId="187" fontId="20" fillId="14" borderId="0" xfId="0" quotePrefix="1" applyNumberFormat="1" applyFont="1" applyFill="1" applyAlignment="1">
      <alignment horizontal="left"/>
    </xf>
    <xf numFmtId="0" fontId="20" fillId="0" borderId="0" xfId="0" applyFont="1" applyFill="1"/>
    <xf numFmtId="169" fontId="68" fillId="0" borderId="0" xfId="0" applyNumberFormat="1" applyFont="1" applyFill="1" applyBorder="1"/>
    <xf numFmtId="0" fontId="20" fillId="0" borderId="7" xfId="0" applyFont="1" applyBorder="1" applyAlignment="1">
      <alignment horizontal="center"/>
    </xf>
    <xf numFmtId="1" fontId="20" fillId="0" borderId="4" xfId="0" applyNumberFormat="1" applyFont="1" applyBorder="1"/>
    <xf numFmtId="0" fontId="20" fillId="0" borderId="0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21" borderId="4" xfId="0" applyFont="1" applyFill="1" applyBorder="1" applyAlignment="1">
      <alignment horizontal="center"/>
    </xf>
    <xf numFmtId="0" fontId="68" fillId="0" borderId="4" xfId="0" applyFont="1" applyBorder="1"/>
    <xf numFmtId="0" fontId="20" fillId="0" borderId="4" xfId="0" applyFont="1" applyBorder="1"/>
    <xf numFmtId="1" fontId="20" fillId="0" borderId="4" xfId="0" applyNumberFormat="1" applyFont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20" fillId="15" borderId="33" xfId="0" applyFont="1" applyFill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15" borderId="3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21" borderId="6" xfId="0" applyFont="1" applyFill="1" applyBorder="1" applyAlignment="1">
      <alignment horizontal="center"/>
    </xf>
    <xf numFmtId="0" fontId="68" fillId="0" borderId="6" xfId="0" applyFont="1" applyBorder="1"/>
    <xf numFmtId="0" fontId="20" fillId="0" borderId="6" xfId="0" applyFont="1" applyFill="1" applyBorder="1" applyAlignment="1">
      <alignment horizontal="center"/>
    </xf>
    <xf numFmtId="1" fontId="20" fillId="0" borderId="6" xfId="0" applyNumberFormat="1" applyFont="1" applyBorder="1" applyAlignment="1">
      <alignment horizontal="center"/>
    </xf>
    <xf numFmtId="0" fontId="20" fillId="14" borderId="6" xfId="0" applyFont="1" applyFill="1" applyBorder="1" applyAlignment="1">
      <alignment horizontal="center"/>
    </xf>
    <xf numFmtId="0" fontId="20" fillId="13" borderId="6" xfId="0" applyFont="1" applyFill="1" applyBorder="1" applyAlignment="1">
      <alignment horizontal="center"/>
    </xf>
    <xf numFmtId="0" fontId="20" fillId="14" borderId="6" xfId="0" quotePrefix="1" applyFont="1" applyFill="1" applyBorder="1" applyAlignment="1">
      <alignment horizontal="center"/>
    </xf>
    <xf numFmtId="0" fontId="20" fillId="15" borderId="36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15" borderId="16" xfId="0" applyFont="1" applyFill="1" applyBorder="1" applyAlignment="1">
      <alignment horizontal="center"/>
    </xf>
    <xf numFmtId="5" fontId="26" fillId="0" borderId="8" xfId="0" quotePrefix="1" applyNumberFormat="1" applyFont="1" applyBorder="1" applyProtection="1"/>
    <xf numFmtId="5" fontId="26" fillId="0" borderId="1" xfId="0" quotePrefix="1" applyNumberFormat="1" applyFont="1" applyBorder="1" applyProtection="1"/>
    <xf numFmtId="5" fontId="26" fillId="0" borderId="0" xfId="0" quotePrefix="1" applyNumberFormat="1" applyFont="1" applyBorder="1" applyProtection="1"/>
    <xf numFmtId="5" fontId="9" fillId="4" borderId="0" xfId="0" applyNumberFormat="1" applyFont="1" applyFill="1" applyBorder="1"/>
    <xf numFmtId="166" fontId="9" fillId="4" borderId="12" xfId="0" applyNumberFormat="1" applyFont="1" applyFill="1" applyBorder="1" applyProtection="1"/>
    <xf numFmtId="5" fontId="9" fillId="4" borderId="0" xfId="0" quotePrefix="1" applyNumberFormat="1" applyFont="1" applyFill="1" applyBorder="1" applyProtection="1"/>
    <xf numFmtId="5" fontId="9" fillId="4" borderId="13" xfId="0" applyNumberFormat="1" applyFont="1" applyFill="1" applyBorder="1"/>
    <xf numFmtId="5" fontId="9" fillId="4" borderId="12" xfId="0" applyNumberFormat="1" applyFont="1" applyFill="1" applyBorder="1" applyProtection="1"/>
    <xf numFmtId="0" fontId="9" fillId="0" borderId="11" xfId="0" quotePrefix="1" applyFont="1" applyBorder="1"/>
    <xf numFmtId="15" fontId="9" fillId="0" borderId="37" xfId="0" applyNumberFormat="1" applyFont="1" applyBorder="1" applyAlignment="1" applyProtection="1">
      <alignment horizontal="center"/>
    </xf>
    <xf numFmtId="6" fontId="9" fillId="0" borderId="7" xfId="0" applyNumberFormat="1" applyFont="1" applyBorder="1"/>
    <xf numFmtId="5" fontId="9" fillId="0" borderId="7" xfId="0" applyNumberFormat="1" applyFont="1" applyBorder="1"/>
    <xf numFmtId="0" fontId="9" fillId="0" borderId="7" xfId="0" quotePrefix="1" applyFont="1" applyBorder="1"/>
    <xf numFmtId="5" fontId="9" fillId="0" borderId="7" xfId="0" applyNumberFormat="1" applyFont="1" applyBorder="1" applyProtection="1"/>
    <xf numFmtId="0" fontId="9" fillId="0" borderId="35" xfId="0" applyFont="1" applyBorder="1"/>
    <xf numFmtId="0" fontId="20" fillId="4" borderId="0" xfId="0" applyFont="1" applyFill="1" applyBorder="1"/>
    <xf numFmtId="5" fontId="20" fillId="4" borderId="38" xfId="0" applyNumberFormat="1" applyFont="1" applyFill="1" applyBorder="1"/>
    <xf numFmtId="0" fontId="9" fillId="0" borderId="39" xfId="0" applyFont="1" applyBorder="1"/>
    <xf numFmtId="5" fontId="9" fillId="0" borderId="40" xfId="0" applyNumberFormat="1" applyFont="1" applyBorder="1"/>
    <xf numFmtId="0" fontId="9" fillId="0" borderId="12" xfId="0" applyFont="1" applyFill="1" applyBorder="1"/>
    <xf numFmtId="5" fontId="9" fillId="0" borderId="12" xfId="0" applyNumberFormat="1" applyFont="1" applyFill="1" applyBorder="1"/>
    <xf numFmtId="0" fontId="9" fillId="0" borderId="14" xfId="0" applyFont="1" applyFill="1" applyBorder="1"/>
    <xf numFmtId="5" fontId="9" fillId="0" borderId="41" xfId="0" applyNumberFormat="1" applyFont="1" applyFill="1" applyBorder="1"/>
    <xf numFmtId="5" fontId="9" fillId="0" borderId="14" xfId="0" applyNumberFormat="1" applyFont="1" applyFill="1" applyBorder="1"/>
    <xf numFmtId="5" fontId="9" fillId="0" borderId="42" xfId="0" applyNumberFormat="1" applyFont="1" applyFill="1" applyBorder="1"/>
    <xf numFmtId="166" fontId="24" fillId="0" borderId="0" xfId="0" applyNumberFormat="1" applyFont="1" applyBorder="1" applyProtection="1"/>
    <xf numFmtId="166" fontId="9" fillId="0" borderId="0" xfId="0" applyNumberFormat="1" applyFont="1" applyBorder="1" applyAlignment="1" applyProtection="1">
      <alignment horizontal="center"/>
    </xf>
    <xf numFmtId="173" fontId="9" fillId="0" borderId="13" xfId="0" applyNumberFormat="1" applyFont="1" applyFill="1" applyBorder="1"/>
    <xf numFmtId="5" fontId="9" fillId="0" borderId="0" xfId="0" quotePrefix="1" applyNumberFormat="1" applyFont="1" applyFill="1" applyBorder="1"/>
    <xf numFmtId="166" fontId="24" fillId="0" borderId="43" xfId="0" applyNumberFormat="1" applyFont="1" applyBorder="1" applyAlignment="1" applyProtection="1">
      <alignment horizontal="center"/>
    </xf>
    <xf numFmtId="0" fontId="9" fillId="0" borderId="44" xfId="0" applyFont="1" applyBorder="1"/>
    <xf numFmtId="5" fontId="9" fillId="0" borderId="44" xfId="0" applyNumberFormat="1" applyFont="1" applyFill="1" applyBorder="1"/>
    <xf numFmtId="0" fontId="9" fillId="0" borderId="44" xfId="0" applyFont="1" applyFill="1" applyBorder="1"/>
    <xf numFmtId="0" fontId="9" fillId="4" borderId="44" xfId="0" applyFont="1" applyFill="1" applyBorder="1"/>
    <xf numFmtId="5" fontId="9" fillId="0" borderId="44" xfId="0" applyNumberFormat="1" applyFont="1" applyBorder="1"/>
    <xf numFmtId="5" fontId="9" fillId="4" borderId="44" xfId="0" applyNumberFormat="1" applyFont="1" applyFill="1" applyBorder="1"/>
    <xf numFmtId="5" fontId="9" fillId="0" borderId="45" xfId="0" applyNumberFormat="1" applyFont="1" applyFill="1" applyBorder="1"/>
    <xf numFmtId="5" fontId="9" fillId="0" borderId="46" xfId="0" applyNumberFormat="1" applyFont="1" applyBorder="1"/>
    <xf numFmtId="173" fontId="9" fillId="0" borderId="0" xfId="0" quotePrefix="1" applyNumberFormat="1" applyFont="1" applyFill="1" applyBorder="1" applyProtection="1"/>
    <xf numFmtId="5" fontId="9" fillId="0" borderId="0" xfId="0" quotePrefix="1" applyNumberFormat="1" applyFont="1" applyFill="1" applyBorder="1" applyAlignment="1"/>
    <xf numFmtId="5" fontId="20" fillId="0" borderId="7" xfId="0" applyNumberFormat="1" applyFont="1" applyFill="1" applyBorder="1"/>
    <xf numFmtId="166" fontId="9" fillId="0" borderId="12" xfId="0" applyNumberFormat="1" applyFont="1" applyFill="1" applyBorder="1" applyProtection="1"/>
    <xf numFmtId="5" fontId="9" fillId="0" borderId="12" xfId="0" applyNumberFormat="1" applyFont="1" applyFill="1" applyBorder="1" applyProtection="1"/>
    <xf numFmtId="5" fontId="20" fillId="0" borderId="39" xfId="0" applyNumberFormat="1" applyFont="1" applyFill="1" applyBorder="1"/>
    <xf numFmtId="5" fontId="20" fillId="0" borderId="11" xfId="0" applyNumberFormat="1" applyFont="1" applyFill="1" applyBorder="1"/>
    <xf numFmtId="5" fontId="20" fillId="4" borderId="47" xfId="0" applyNumberFormat="1" applyFont="1" applyFill="1" applyBorder="1"/>
    <xf numFmtId="5" fontId="9" fillId="0" borderId="0" xfId="0" applyNumberFormat="1" applyFont="1" applyFill="1" applyBorder="1" applyAlignment="1"/>
    <xf numFmtId="5" fontId="9" fillId="0" borderId="0" xfId="0" quotePrefix="1" applyNumberFormat="1" applyFont="1" applyFill="1" applyBorder="1" applyAlignment="1" applyProtection="1"/>
    <xf numFmtId="38" fontId="7" fillId="22" borderId="0" xfId="11" applyNumberFormat="1" applyFont="1" applyFill="1" applyProtection="1"/>
    <xf numFmtId="37" fontId="7" fillId="22" borderId="0" xfId="0" applyNumberFormat="1" applyFont="1" applyFill="1" applyProtection="1"/>
    <xf numFmtId="37" fontId="7" fillId="22" borderId="0" xfId="0" applyNumberFormat="1" applyFont="1" applyFill="1"/>
    <xf numFmtId="38" fontId="7" fillId="22" borderId="0" xfId="0" applyNumberFormat="1" applyFont="1" applyFill="1"/>
    <xf numFmtId="5" fontId="7" fillId="22" borderId="0" xfId="0" applyNumberFormat="1" applyFont="1" applyFill="1"/>
    <xf numFmtId="6" fontId="7" fillId="22" borderId="0" xfId="12" applyNumberFormat="1" applyFont="1" applyFill="1"/>
    <xf numFmtId="192" fontId="20" fillId="0" borderId="0" xfId="0" applyNumberFormat="1" applyFont="1" applyFill="1" applyBorder="1" applyAlignment="1">
      <alignment horizontal="center"/>
    </xf>
    <xf numFmtId="192" fontId="20" fillId="0" borderId="0" xfId="0" applyNumberFormat="1" applyFont="1" applyFill="1" applyBorder="1" applyAlignment="1" applyProtection="1">
      <alignment horizontal="center"/>
    </xf>
    <xf numFmtId="0" fontId="9" fillId="0" borderId="13" xfId="0" applyFont="1" applyFill="1" applyBorder="1"/>
    <xf numFmtId="5" fontId="20" fillId="4" borderId="0" xfId="0" applyNumberFormat="1" applyFont="1" applyFill="1" applyBorder="1"/>
    <xf numFmtId="0" fontId="22" fillId="0" borderId="0" xfId="0" applyFont="1" applyFill="1" applyBorder="1"/>
    <xf numFmtId="6" fontId="7" fillId="0" borderId="0" xfId="0" applyNumberFormat="1" applyFont="1" applyFill="1" applyBorder="1" applyAlignment="1">
      <alignment horizontal="center"/>
    </xf>
    <xf numFmtId="38" fontId="9" fillId="0" borderId="0" xfId="11" applyNumberFormat="1" applyFont="1" applyFill="1" applyBorder="1"/>
    <xf numFmtId="0" fontId="37" fillId="0" borderId="0" xfId="0" applyFont="1" applyFill="1" applyBorder="1"/>
    <xf numFmtId="166" fontId="38" fillId="0" borderId="0" xfId="0" applyNumberFormat="1" applyFont="1" applyFill="1" applyBorder="1"/>
    <xf numFmtId="0" fontId="38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37" fontId="37" fillId="0" borderId="0" xfId="0" applyNumberFormat="1" applyFont="1" applyFill="1" applyBorder="1"/>
    <xf numFmtId="0" fontId="39" fillId="0" borderId="0" xfId="0" applyFont="1" applyFill="1" applyBorder="1"/>
    <xf numFmtId="37" fontId="39" fillId="0" borderId="0" xfId="0" applyNumberFormat="1" applyFont="1" applyFill="1" applyBorder="1"/>
    <xf numFmtId="0" fontId="40" fillId="0" borderId="0" xfId="0" applyFont="1" applyFill="1" applyBorder="1"/>
    <xf numFmtId="5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5" fontId="24" fillId="0" borderId="0" xfId="0" applyNumberFormat="1" applyFont="1" applyFill="1" applyBorder="1" applyAlignment="1">
      <alignment horizontal="center"/>
    </xf>
    <xf numFmtId="5" fontId="2" fillId="0" borderId="0" xfId="35" applyNumberFormat="1" applyFill="1" applyBorder="1"/>
    <xf numFmtId="38" fontId="7" fillId="0" borderId="0" xfId="11" applyNumberFormat="1" applyFont="1" applyBorder="1"/>
    <xf numFmtId="15" fontId="9" fillId="0" borderId="0" xfId="0" applyNumberFormat="1" applyFont="1" applyBorder="1" applyAlignment="1">
      <alignment horizontal="center"/>
    </xf>
    <xf numFmtId="37" fontId="9" fillId="0" borderId="0" xfId="0" applyNumberFormat="1" applyFont="1" applyFill="1" applyBorder="1" applyAlignment="1" applyProtection="1">
      <alignment horizontal="right"/>
    </xf>
    <xf numFmtId="6" fontId="0" fillId="0" borderId="0" xfId="0" applyNumberFormat="1"/>
    <xf numFmtId="6" fontId="9" fillId="0" borderId="0" xfId="0" applyNumberFormat="1" applyFont="1" applyProtection="1"/>
    <xf numFmtId="5" fontId="20" fillId="0" borderId="0" xfId="0" applyNumberFormat="1" applyFont="1" applyFill="1"/>
    <xf numFmtId="5" fontId="20" fillId="0" borderId="0" xfId="0" applyNumberFormat="1" applyFont="1" applyFill="1" applyBorder="1"/>
    <xf numFmtId="6" fontId="20" fillId="0" borderId="48" xfId="0" applyNumberFormat="1" applyFont="1" applyBorder="1"/>
    <xf numFmtId="6" fontId="20" fillId="0" borderId="5" xfId="0" applyNumberFormat="1" applyFont="1" applyBorder="1"/>
    <xf numFmtId="5" fontId="20" fillId="0" borderId="15" xfId="0" applyNumberFormat="1" applyFont="1" applyFill="1" applyBorder="1"/>
    <xf numFmtId="5" fontId="20" fillId="0" borderId="17" xfId="0" applyNumberFormat="1" applyFont="1" applyFill="1" applyBorder="1"/>
    <xf numFmtId="9" fontId="9" fillId="0" borderId="0" xfId="40" applyFont="1" applyBorder="1" applyProtection="1"/>
    <xf numFmtId="9" fontId="9" fillId="0" borderId="0" xfId="40" applyFont="1" applyBorder="1"/>
    <xf numFmtId="0" fontId="20" fillId="0" borderId="0" xfId="0" applyFont="1" applyFill="1" applyAlignment="1">
      <alignment horizontal="center"/>
    </xf>
    <xf numFmtId="6" fontId="9" fillId="0" borderId="0" xfId="12" applyNumberFormat="1" applyFont="1" applyFill="1" applyProtection="1"/>
    <xf numFmtId="5" fontId="26" fillId="0" borderId="0" xfId="0" quotePrefix="1" applyNumberFormat="1" applyFont="1" applyFill="1" applyBorder="1" applyProtection="1"/>
    <xf numFmtId="164" fontId="28" fillId="0" borderId="0" xfId="11" applyNumberFormat="1" applyFont="1" applyFill="1"/>
    <xf numFmtId="5" fontId="9" fillId="13" borderId="32" xfId="0" applyNumberFormat="1" applyFont="1" applyFill="1" applyBorder="1" applyProtection="1"/>
    <xf numFmtId="1" fontId="9" fillId="0" borderId="0" xfId="12" applyNumberFormat="1" applyFont="1" applyFill="1"/>
    <xf numFmtId="173" fontId="9" fillId="0" borderId="13" xfId="0" applyNumberFormat="1" applyFont="1" applyFill="1" applyBorder="1" applyProtection="1"/>
    <xf numFmtId="173" fontId="9" fillId="0" borderId="0" xfId="0" applyNumberFormat="1" applyFont="1" applyFill="1" applyBorder="1" applyProtection="1"/>
    <xf numFmtId="173" fontId="26" fillId="0" borderId="0" xfId="0" quotePrefix="1" applyNumberFormat="1" applyFont="1" applyBorder="1" applyProtection="1"/>
    <xf numFmtId="173" fontId="26" fillId="0" borderId="0" xfId="0" applyNumberFormat="1" applyFont="1" applyBorder="1" applyProtection="1"/>
    <xf numFmtId="206" fontId="9" fillId="0" borderId="0" xfId="11" applyNumberFormat="1" applyFont="1" applyAlignment="1">
      <alignment horizontal="left"/>
    </xf>
    <xf numFmtId="206" fontId="9" fillId="0" borderId="0" xfId="11" applyNumberFormat="1" applyFont="1" applyProtection="1"/>
    <xf numFmtId="206" fontId="26" fillId="0" borderId="0" xfId="11" quotePrefix="1" applyNumberFormat="1" applyFont="1" applyBorder="1" applyProtection="1"/>
    <xf numFmtId="206" fontId="26" fillId="0" borderId="0" xfId="11" applyNumberFormat="1" applyFont="1" applyBorder="1" applyProtection="1"/>
    <xf numFmtId="206" fontId="9" fillId="0" borderId="0" xfId="11" applyNumberFormat="1" applyFont="1" applyBorder="1" applyProtection="1"/>
    <xf numFmtId="206" fontId="26" fillId="21" borderId="0" xfId="11" applyNumberFormat="1" applyFont="1" applyFill="1" applyBorder="1" applyProtection="1"/>
    <xf numFmtId="206" fontId="0" fillId="0" borderId="0" xfId="11" applyNumberFormat="1" applyFont="1" applyBorder="1"/>
    <xf numFmtId="206" fontId="26" fillId="0" borderId="0" xfId="11" applyNumberFormat="1" applyFont="1" applyFill="1" applyProtection="1"/>
    <xf numFmtId="206" fontId="9" fillId="16" borderId="0" xfId="11" applyNumberFormat="1" applyFont="1" applyFill="1" applyBorder="1" applyProtection="1"/>
    <xf numFmtId="206" fontId="9" fillId="15" borderId="0" xfId="11" applyNumberFormat="1" applyFont="1" applyFill="1" applyBorder="1" applyProtection="1"/>
    <xf numFmtId="206" fontId="9" fillId="0" borderId="0" xfId="11" applyNumberFormat="1" applyFont="1"/>
    <xf numFmtId="206" fontId="9" fillId="15" borderId="0" xfId="11" applyNumberFormat="1" applyFont="1" applyFill="1" applyProtection="1"/>
    <xf numFmtId="206" fontId="0" fillId="0" borderId="0" xfId="11" applyNumberFormat="1" applyFont="1"/>
    <xf numFmtId="166" fontId="27" fillId="0" borderId="0" xfId="0" applyNumberFormat="1" applyFont="1" applyFill="1" applyBorder="1" applyProtection="1"/>
    <xf numFmtId="173" fontId="9" fillId="0" borderId="44" xfId="0" applyNumberFormat="1" applyFont="1" applyFill="1" applyBorder="1"/>
    <xf numFmtId="172" fontId="26" fillId="0" borderId="0" xfId="11" applyNumberFormat="1" applyFont="1" applyBorder="1" applyProtection="1"/>
    <xf numFmtId="0" fontId="20" fillId="11" borderId="28" xfId="0" applyFont="1" applyFill="1" applyBorder="1" applyAlignment="1">
      <alignment horizontal="center"/>
    </xf>
    <xf numFmtId="0" fontId="20" fillId="11" borderId="49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20" fillId="13" borderId="49" xfId="0" applyFont="1" applyFill="1" applyBorder="1" applyAlignment="1">
      <alignment horizontal="center"/>
    </xf>
    <xf numFmtId="0" fontId="9" fillId="0" borderId="50" xfId="0" applyFont="1" applyFill="1" applyBorder="1"/>
    <xf numFmtId="0" fontId="9" fillId="0" borderId="7" xfId="0" applyFont="1" applyFill="1" applyBorder="1"/>
    <xf numFmtId="0" fontId="9" fillId="0" borderId="50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6" fontId="9" fillId="0" borderId="7" xfId="0" applyNumberFormat="1" applyFont="1" applyFill="1" applyBorder="1"/>
    <xf numFmtId="5" fontId="9" fillId="0" borderId="7" xfId="0" applyNumberFormat="1" applyFont="1" applyFill="1" applyBorder="1"/>
    <xf numFmtId="6" fontId="9" fillId="0" borderId="7" xfId="0" applyNumberFormat="1" applyFont="1" applyFill="1" applyBorder="1" applyAlignment="1"/>
    <xf numFmtId="0" fontId="20" fillId="0" borderId="7" xfId="0" applyFont="1" applyFill="1" applyBorder="1"/>
    <xf numFmtId="0" fontId="20" fillId="13" borderId="26" xfId="0" applyFont="1" applyFill="1" applyBorder="1" applyAlignment="1">
      <alignment horizontal="center"/>
    </xf>
    <xf numFmtId="0" fontId="20" fillId="13" borderId="51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/>
    </xf>
    <xf numFmtId="0" fontId="20" fillId="11" borderId="51" xfId="0" applyFont="1" applyFill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206" fontId="9" fillId="0" borderId="13" xfId="11" applyNumberFormat="1" applyFont="1" applyFill="1" applyBorder="1"/>
    <xf numFmtId="173" fontId="9" fillId="0" borderId="12" xfId="0" applyNumberFormat="1" applyFont="1" applyBorder="1" applyProtection="1"/>
    <xf numFmtId="6" fontId="9" fillId="23" borderId="1" xfId="12" applyNumberFormat="1" applyFont="1" applyFill="1" applyBorder="1" applyProtection="1"/>
    <xf numFmtId="206" fontId="9" fillId="13" borderId="1" xfId="0" applyNumberFormat="1" applyFont="1" applyFill="1" applyBorder="1" applyProtection="1"/>
    <xf numFmtId="38" fontId="20" fillId="0" borderId="34" xfId="0" applyNumberFormat="1" applyFont="1" applyBorder="1" applyAlignment="1">
      <alignment horizontal="center"/>
    </xf>
    <xf numFmtId="38" fontId="20" fillId="0" borderId="33" xfId="0" applyNumberFormat="1" applyFont="1" applyBorder="1" applyAlignment="1">
      <alignment horizontal="center"/>
    </xf>
    <xf numFmtId="38" fontId="20" fillId="0" borderId="4" xfId="0" applyNumberFormat="1" applyFont="1" applyFill="1" applyBorder="1" applyAlignment="1" applyProtection="1">
      <alignment horizontal="center"/>
    </xf>
    <xf numFmtId="38" fontId="20" fillId="0" borderId="33" xfId="0" applyNumberFormat="1" applyFont="1" applyFill="1" applyBorder="1" applyAlignment="1" applyProtection="1">
      <alignment horizontal="center"/>
    </xf>
    <xf numFmtId="38" fontId="20" fillId="0" borderId="34" xfId="0" applyNumberFormat="1" applyFont="1" applyFill="1" applyBorder="1" applyAlignment="1" applyProtection="1">
      <alignment horizontal="right"/>
    </xf>
    <xf numFmtId="38" fontId="20" fillId="0" borderId="33" xfId="0" applyNumberFormat="1" applyFont="1" applyFill="1" applyBorder="1" applyAlignment="1" applyProtection="1">
      <alignment horizontal="right"/>
    </xf>
    <xf numFmtId="38" fontId="20" fillId="0" borderId="7" xfId="0" applyNumberFormat="1" applyFont="1" applyBorder="1" applyAlignment="1">
      <alignment horizontal="center"/>
    </xf>
    <xf numFmtId="38" fontId="20" fillId="0" borderId="52" xfId="0" applyNumberFormat="1" applyFont="1" applyBorder="1" applyAlignment="1">
      <alignment horizontal="center"/>
    </xf>
    <xf numFmtId="38" fontId="20" fillId="0" borderId="0" xfId="0" applyNumberFormat="1" applyFont="1" applyFill="1" applyBorder="1" applyAlignment="1" applyProtection="1">
      <alignment horizontal="center"/>
    </xf>
    <xf numFmtId="38" fontId="20" fillId="0" borderId="52" xfId="0" applyNumberFormat="1" applyFont="1" applyFill="1" applyBorder="1" applyAlignment="1" applyProtection="1">
      <alignment horizontal="center"/>
    </xf>
    <xf numFmtId="38" fontId="20" fillId="0" borderId="7" xfId="0" applyNumberFormat="1" applyFont="1" applyFill="1" applyBorder="1" applyAlignment="1" applyProtection="1">
      <alignment horizontal="right"/>
    </xf>
    <xf numFmtId="38" fontId="20" fillId="0" borderId="52" xfId="0" applyNumberFormat="1" applyFont="1" applyFill="1" applyBorder="1" applyAlignment="1" applyProtection="1">
      <alignment horizontal="right"/>
    </xf>
    <xf numFmtId="38" fontId="20" fillId="0" borderId="0" xfId="0" applyNumberFormat="1" applyFont="1" applyBorder="1" applyAlignment="1">
      <alignment horizontal="center"/>
    </xf>
    <xf numFmtId="38" fontId="20" fillId="0" borderId="7" xfId="0" applyNumberFormat="1" applyFont="1" applyFill="1" applyBorder="1" applyAlignment="1">
      <alignment horizontal="center"/>
    </xf>
    <xf numFmtId="38" fontId="20" fillId="0" borderId="52" xfId="0" applyNumberFormat="1" applyFont="1" applyFill="1" applyBorder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>
      <alignment horizontal="center"/>
    </xf>
    <xf numFmtId="38" fontId="20" fillId="0" borderId="36" xfId="0" applyNumberFormat="1" applyFont="1" applyFill="1" applyBorder="1" applyAlignment="1">
      <alignment horizontal="center"/>
    </xf>
    <xf numFmtId="38" fontId="9" fillId="0" borderId="6" xfId="0" applyNumberFormat="1" applyFont="1" applyBorder="1"/>
    <xf numFmtId="38" fontId="4" fillId="0" borderId="36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 applyProtection="1">
      <alignment horizontal="right"/>
    </xf>
    <xf numFmtId="38" fontId="20" fillId="0" borderId="36" xfId="0" applyNumberFormat="1" applyFont="1" applyFill="1" applyBorder="1" applyAlignment="1" applyProtection="1">
      <alignment horizontal="right"/>
    </xf>
    <xf numFmtId="6" fontId="26" fillId="17" borderId="1" xfId="12" applyNumberFormat="1" applyFont="1" applyFill="1" applyBorder="1" applyProtection="1"/>
    <xf numFmtId="6" fontId="26" fillId="13" borderId="1" xfId="12" applyNumberFormat="1" applyFont="1" applyFill="1" applyBorder="1" applyProtection="1"/>
    <xf numFmtId="5" fontId="26" fillId="13" borderId="1" xfId="0" applyNumberFormat="1" applyFont="1" applyFill="1" applyBorder="1" applyProtection="1"/>
    <xf numFmtId="5" fontId="26" fillId="13" borderId="1" xfId="12" applyNumberFormat="1" applyFont="1" applyFill="1" applyBorder="1" applyProtection="1"/>
    <xf numFmtId="0" fontId="59" fillId="19" borderId="53" xfId="0" applyFont="1" applyFill="1" applyBorder="1" applyAlignment="1">
      <alignment horizontal="center" vertical="center"/>
    </xf>
    <xf numFmtId="0" fontId="60" fillId="19" borderId="54" xfId="0" applyFont="1" applyFill="1" applyBorder="1" applyAlignment="1">
      <alignment horizontal="center" vertical="center"/>
    </xf>
    <xf numFmtId="6" fontId="20" fillId="4" borderId="53" xfId="0" applyNumberFormat="1" applyFont="1" applyFill="1" applyBorder="1" applyAlignment="1" applyProtection="1">
      <alignment horizontal="center"/>
    </xf>
    <xf numFmtId="6" fontId="20" fillId="4" borderId="55" xfId="0" applyNumberFormat="1" applyFont="1" applyFill="1" applyBorder="1" applyAlignment="1" applyProtection="1">
      <alignment horizontal="center"/>
    </xf>
    <xf numFmtId="0" fontId="21" fillId="11" borderId="23" xfId="0" applyFont="1" applyFill="1" applyBorder="1" applyAlignment="1">
      <alignment horizontal="center"/>
    </xf>
    <xf numFmtId="0" fontId="21" fillId="11" borderId="24" xfId="0" applyFont="1" applyFill="1" applyBorder="1" applyAlignment="1">
      <alignment horizontal="center"/>
    </xf>
    <xf numFmtId="0" fontId="20" fillId="13" borderId="23" xfId="0" applyFont="1" applyFill="1" applyBorder="1" applyAlignment="1">
      <alignment horizontal="center"/>
    </xf>
    <xf numFmtId="0" fontId="20" fillId="13" borderId="25" xfId="0" applyFont="1" applyFill="1" applyBorder="1" applyAlignment="1">
      <alignment horizontal="center"/>
    </xf>
    <xf numFmtId="0" fontId="20" fillId="13" borderId="53" xfId="0" applyFont="1" applyFill="1" applyBorder="1" applyAlignment="1">
      <alignment horizontal="center"/>
    </xf>
    <xf numFmtId="0" fontId="20" fillId="13" borderId="55" xfId="0" applyFont="1" applyFill="1" applyBorder="1" applyAlignment="1">
      <alignment horizontal="center"/>
    </xf>
    <xf numFmtId="0" fontId="21" fillId="11" borderId="53" xfId="0" applyFont="1" applyFill="1" applyBorder="1" applyAlignment="1">
      <alignment horizontal="center"/>
    </xf>
    <xf numFmtId="0" fontId="21" fillId="11" borderId="55" xfId="0" applyFont="1" applyFill="1" applyBorder="1" applyAlignment="1">
      <alignment horizontal="center"/>
    </xf>
  </cellXfs>
  <cellStyles count="64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" xfId="13"/>
    <cellStyle name="Date-day" xfId="14"/>
    <cellStyle name="Date-month" xfId="15"/>
    <cellStyle name="Date-short" xfId="16"/>
    <cellStyle name="Date-year" xfId="17"/>
    <cellStyle name="Day" xfId="18"/>
    <cellStyle name="Entry" xfId="19"/>
    <cellStyle name="Fixed" xfId="20"/>
    <cellStyle name="Gas" xfId="21"/>
    <cellStyle name="Grey" xfId="22"/>
    <cellStyle name="HEADER" xfId="23"/>
    <cellStyle name="Heading1" xfId="24"/>
    <cellStyle name="Heading2" xfId="25"/>
    <cellStyle name="HIGHLIGHT" xfId="26"/>
    <cellStyle name="Large12" xfId="27"/>
    <cellStyle name="Large14" xfId="28"/>
    <cellStyle name="Large16" xfId="29"/>
    <cellStyle name="Link in" xfId="30"/>
    <cellStyle name="Link out" xfId="31"/>
    <cellStyle name="MTD" xfId="32"/>
    <cellStyle name="New" xfId="33"/>
    <cellStyle name="Normal" xfId="0" builtinId="0"/>
    <cellStyle name="Normal - Style1" xfId="34"/>
    <cellStyle name="Normal_Interest Recon" xfId="35"/>
    <cellStyle name="Normal_New Summary" xfId="36"/>
    <cellStyle name="Not_yet_active" xfId="37"/>
    <cellStyle name="Output" xfId="38" builtinId="21" customBuiltin="1"/>
    <cellStyle name="Outstanding" xfId="39"/>
    <cellStyle name="Percent" xfId="40" builtinId="5"/>
    <cellStyle name="Percent1" xfId="41"/>
    <cellStyle name="Percent2" xfId="42"/>
    <cellStyle name="Percent4" xfId="43"/>
    <cellStyle name="Power" xfId="44"/>
    <cellStyle name="Quarters" xfId="45"/>
    <cellStyle name="SBZero" xfId="46"/>
    <cellStyle name="Shaded" xfId="47"/>
    <cellStyle name="sum" xfId="48"/>
    <cellStyle name="Time-minutes" xfId="49"/>
    <cellStyle name="Time-seconds" xfId="50"/>
    <cellStyle name="Title" xfId="51" builtinId="15" customBuiltin="1"/>
    <cellStyle name="total" xfId="52"/>
    <cellStyle name="Transportation" xfId="53"/>
    <cellStyle name="Unprot" xfId="54"/>
    <cellStyle name="Unprot$" xfId="55"/>
    <cellStyle name="Unprotect" xfId="56"/>
    <cellStyle name="USD_day_analysis" xfId="57"/>
    <cellStyle name="Warning" xfId="58"/>
    <cellStyle name="Wrapped" xfId="59"/>
    <cellStyle name="xrate" xfId="60"/>
    <cellStyle name="year" xfId="61"/>
    <cellStyle name="Zero suppress" xfId="62"/>
    <cellStyle name="zpatchnumbers" xfId="6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102" Type="http://schemas.openxmlformats.org/officeDocument/2006/relationships/externalLink" Target="externalLinks/externalLink100.xml"/><Relationship Id="rId110" Type="http://schemas.openxmlformats.org/officeDocument/2006/relationships/externalLink" Target="externalLinks/externalLink108.xml"/><Relationship Id="rId11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11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11" Type="http://schemas.openxmlformats.org/officeDocument/2006/relationships/externalLink" Target="externalLinks/externalLink10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213360</xdr:colOff>
          <xdr:row>0</xdr:row>
          <xdr:rowOff>99060</xdr:rowOff>
        </xdr:from>
        <xdr:to>
          <xdr:col>4</xdr:col>
          <xdr:colOff>106680</xdr:colOff>
          <xdr:row>2</xdr:row>
          <xdr:rowOff>7620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281940</xdr:colOff>
          <xdr:row>0</xdr:row>
          <xdr:rowOff>83820</xdr:rowOff>
        </xdr:from>
        <xdr:to>
          <xdr:col>6</xdr:col>
          <xdr:colOff>419100</xdr:colOff>
          <xdr:row>2</xdr:row>
          <xdr:rowOff>7620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Unhide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586740</xdr:colOff>
          <xdr:row>0</xdr:row>
          <xdr:rowOff>68580</xdr:rowOff>
        </xdr:from>
        <xdr:to>
          <xdr:col>40</xdr:col>
          <xdr:colOff>647700</xdr:colOff>
          <xdr:row>2</xdr:row>
          <xdr:rowOff>7620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891540</xdr:colOff>
          <xdr:row>0</xdr:row>
          <xdr:rowOff>83820</xdr:rowOff>
        </xdr:from>
        <xdr:to>
          <xdr:col>42</xdr:col>
          <xdr:colOff>723900</xdr:colOff>
          <xdr:row>2</xdr:row>
          <xdr:rowOff>7620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Change Rho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274320</xdr:colOff>
          <xdr:row>9</xdr:row>
          <xdr:rowOff>121920</xdr:rowOff>
        </xdr:from>
        <xdr:to>
          <xdr:col>4</xdr:col>
          <xdr:colOff>762000</xdr:colOff>
          <xdr:row>14</xdr:row>
          <xdr:rowOff>152400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MONTH END LONDON CHANGE LINKS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1234440</xdr:colOff>
          <xdr:row>4</xdr:row>
          <xdr:rowOff>571500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GAS AND FIRM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1219200</xdr:colOff>
          <xdr:row>4</xdr:row>
          <xdr:rowOff>571500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GLOBAL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1219200</xdr:colOff>
          <xdr:row>4</xdr:row>
          <xdr:rowOff>571500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SINGAPORE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0</xdr:colOff>
          <xdr:row>4</xdr:row>
          <xdr:rowOff>0</xdr:rowOff>
        </xdr:from>
        <xdr:to>
          <xdr:col>48</xdr:col>
          <xdr:colOff>0</xdr:colOff>
          <xdr:row>4</xdr:row>
          <xdr:rowOff>571500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</xdr:colOff>
          <xdr:row>4</xdr:row>
          <xdr:rowOff>0</xdr:rowOff>
        </xdr:from>
        <xdr:to>
          <xdr:col>14</xdr:col>
          <xdr:colOff>22860</xdr:colOff>
          <xdr:row>5</xdr:row>
          <xdr:rowOff>7620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320040</xdr:colOff>
          <xdr:row>4</xdr:row>
          <xdr:rowOff>30480</xdr:rowOff>
        </xdr:from>
        <xdr:to>
          <xdr:col>16</xdr:col>
          <xdr:colOff>388620</xdr:colOff>
          <xdr:row>5</xdr:row>
          <xdr:rowOff>38100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EMERGING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617220</xdr:colOff>
          <xdr:row>4</xdr:row>
          <xdr:rowOff>0</xdr:rowOff>
        </xdr:from>
        <xdr:to>
          <xdr:col>18</xdr:col>
          <xdr:colOff>716280</xdr:colOff>
          <xdr:row>5</xdr:row>
          <xdr:rowOff>7620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INTEREST RATE/FX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144780</xdr:colOff>
          <xdr:row>4</xdr:row>
          <xdr:rowOff>0</xdr:rowOff>
        </xdr:from>
        <xdr:to>
          <xdr:col>22</xdr:col>
          <xdr:colOff>236220</xdr:colOff>
          <xdr:row>5</xdr:row>
          <xdr:rowOff>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SOUTHERN CONE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457200</xdr:colOff>
          <xdr:row>4</xdr:row>
          <xdr:rowOff>0</xdr:rowOff>
        </xdr:from>
        <xdr:to>
          <xdr:col>24</xdr:col>
          <xdr:colOff>716280</xdr:colOff>
          <xdr:row>4</xdr:row>
          <xdr:rowOff>579120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  POWER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7620</xdr:rowOff>
        </xdr:from>
        <xdr:to>
          <xdr:col>40</xdr:col>
          <xdr:colOff>441960</xdr:colOff>
          <xdr:row>5</xdr:row>
          <xdr:rowOff>15240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1028700</xdr:colOff>
          <xdr:row>4</xdr:row>
          <xdr:rowOff>7620</xdr:rowOff>
        </xdr:from>
        <xdr:to>
          <xdr:col>42</xdr:col>
          <xdr:colOff>784860</xdr:colOff>
          <xdr:row>5</xdr:row>
          <xdr:rowOff>15240</xdr:rowOff>
        </xdr:to>
        <xdr:sp macro="" textlink="">
          <xdr:nvSpPr>
            <xdr:cNvPr id="2082" name="Butto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PaperBook\Paper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a110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HENKKA113001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NY11300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OSSK11300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etchems113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Timber\DPR\1101\TimberNonAffDPR113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%20Steel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firm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EFM\2001\November\ForwardDPR11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OLTX110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Alberta\2001\0011\Report\ABpwrdpr1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HPLTransport11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Lonestar11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CAL11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NY11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oc11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TX-11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VNG%2011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SOCAL1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LumberBook\Lumber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ptions11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NEW-TX-11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ent11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EastGD11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Central11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options11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Texas11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llhead11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Katy-1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AHA-1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%2011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Mkt%201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2%201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North%201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Transport%2011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Gulf-1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gmt-110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-11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%20CG-11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dcon-1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OP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ntario110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WC%20CAL_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Perm_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Rox_Mgmt_11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SanJuan_1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Ftse11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ARUBA11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MW11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ATP11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PrePays\Nov01\1101_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ross_Commodity_Trading\CCT11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NGL\DPR\Ngl_110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3\DPR_POS\SpecIII_11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2\DPR\SpecII11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GLI\DPR\EGLI110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LNG\Risk\DPR\LNG_110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lastics\DPR\2001\1101pla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etChems\DPR\2001\1101bt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110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_prepay_110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1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NGDKRS11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RAC\DPR\BAS110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br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op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Risk\DPR\Emission_110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X_ROLL\1101_f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\DPR_POS\Spec11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Gas_Man\TRAN_STG\STORAGE\2001\1101\StorageBook%20110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CD110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cfrc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3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RESID-110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FGH-11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DIST-11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CRUDE-110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PETCHEM-110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ONDFUEL-11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RUDEARB-11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arthage11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AN$110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XOP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_Cash110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CTGR\DPR\1101ectg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East-NEW%20110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WTHR\2001\wthr11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KYO-11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Risk%20Management\Reporting%20Tests\Paper%20Roll%2011_200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TEXAS\P&amp;L_BYMO\2001\Nov\Intra-Texas%2011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teel%20Book%20Roll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aper%20Book%20Ro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Denver_110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1101a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FIN1101a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Iroll\1101_int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0\Advertising%20DPR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7\Controls%20Export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NIAMH1130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SD11300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11300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LT11300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HRISM113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Test Page"/>
      <sheetName val="Mgmt Report"/>
      <sheetName val="Export"/>
      <sheetName val="Report"/>
      <sheetName val="Deals"/>
      <sheetName val="DPR Support"/>
      <sheetName val="New Roll"/>
      <sheetName val="Index DPR Support"/>
      <sheetName val="Index New Roll"/>
      <sheetName val="Mgmt DPR Support"/>
      <sheetName val="Mgmt New Roll"/>
      <sheetName val="NBSX Ex Entry"/>
      <sheetName val="Curve Shift"/>
      <sheetName val="Today's Detail P&amp;L"/>
      <sheetName val="Today's P&amp;L Summary"/>
      <sheetName val="Today's Position Summary"/>
      <sheetName val="Today's Position"/>
      <sheetName val="Backward Roll"/>
      <sheetName val="Daily Position Roll"/>
      <sheetName val="Yesterday's Position"/>
      <sheetName val="Chng In Prices"/>
      <sheetName val="Positions"/>
      <sheetName val="Today's Prices"/>
      <sheetName val="Ystrdy's Prices"/>
      <sheetName val="Prudency"/>
      <sheetName val="Broker Fees"/>
      <sheetName val="Schedules"/>
      <sheetName val="Physical Index"/>
      <sheetName val="Originations"/>
      <sheetName val="MPR Daily Roll"/>
      <sheetName val="Interest Income"/>
      <sheetName val="Ex New Deals"/>
      <sheetName val="ORIG  CREDIT DETAIL"/>
      <sheetName val="IntraMonth Rolloff"/>
      <sheetName val="Spec. Pos. Shift"/>
      <sheetName val="Spec. Curve Shift"/>
      <sheetName val="5 Day P&amp;L Calc"/>
      <sheetName val="Pulp &amp; Paper P&amp;L"/>
      <sheetName val="Pulp &amp; Paper Position"/>
      <sheetName val="Pulp &amp; Paper Price"/>
      <sheetName val="Send Exec. Reports"/>
    </sheetNames>
    <sheetDataSet>
      <sheetData sheetId="0"/>
      <sheetData sheetId="1"/>
      <sheetData sheetId="2"/>
      <sheetData sheetId="3"/>
      <sheetData sheetId="4">
        <row r="24">
          <cell r="F24">
            <v>0</v>
          </cell>
        </row>
        <row r="26">
          <cell r="F26">
            <v>-117876.75</v>
          </cell>
        </row>
        <row r="27">
          <cell r="F27">
            <v>-2795709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-5826</v>
          </cell>
        </row>
        <row r="31">
          <cell r="F31">
            <v>1719491</v>
          </cell>
        </row>
        <row r="32">
          <cell r="F32">
            <v>36471</v>
          </cell>
        </row>
        <row r="33">
          <cell r="F33">
            <v>0</v>
          </cell>
        </row>
        <row r="34">
          <cell r="F34">
            <v>0</v>
          </cell>
        </row>
        <row r="36">
          <cell r="F36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9">
          <cell r="F49">
            <v>86602815</v>
          </cell>
        </row>
        <row r="50">
          <cell r="F50">
            <v>0</v>
          </cell>
        </row>
        <row r="51">
          <cell r="F51">
            <v>19848153.75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P1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notes"/>
      <sheetName val="Daily Macro"/>
      <sheetName val="Monthly Macro"/>
      <sheetName val="Print Macro"/>
    </sheetNames>
    <sheetDataSet>
      <sheetData sheetId="0">
        <row r="39">
          <cell r="AA39">
            <v>13145</v>
          </cell>
        </row>
        <row r="41">
          <cell r="AA41">
            <v>-517484.59380000009</v>
          </cell>
        </row>
        <row r="42">
          <cell r="AA42">
            <v>2274421.117499982</v>
          </cell>
        </row>
        <row r="43">
          <cell r="AA43">
            <v>-104713.83819999927</v>
          </cell>
        </row>
        <row r="44">
          <cell r="AA44">
            <v>-116322.33570000069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-3411</v>
          </cell>
        </row>
        <row r="51">
          <cell r="AA51">
            <v>0</v>
          </cell>
        </row>
        <row r="52">
          <cell r="AA52">
            <v>1033.4847000000002</v>
          </cell>
        </row>
        <row r="57">
          <cell r="AA57">
            <v>-1249658.9797999999</v>
          </cell>
        </row>
        <row r="58">
          <cell r="AA58">
            <v>322245.52450000006</v>
          </cell>
        </row>
        <row r="60">
          <cell r="AA60">
            <v>129439177.4411</v>
          </cell>
        </row>
        <row r="61">
          <cell r="AA61">
            <v>0</v>
          </cell>
        </row>
        <row r="62">
          <cell r="AA62">
            <v>209182834.10369998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-23.769608999999996</v>
          </cell>
        </row>
        <row r="42">
          <cell r="U42">
            <v>61.111867000000188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-2.9835999999999921E-3</v>
          </cell>
        </row>
        <row r="58">
          <cell r="U58">
            <v>3.4850200000000026E-2</v>
          </cell>
        </row>
        <row r="60">
          <cell r="U60">
            <v>892.32053780000001</v>
          </cell>
        </row>
        <row r="61">
          <cell r="U61">
            <v>0</v>
          </cell>
        </row>
        <row r="62">
          <cell r="U62">
            <v>-1839.9425406</v>
          </cell>
        </row>
        <row r="63">
          <cell r="U63">
            <v>-947.62200280000036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291.27290789999984</v>
          </cell>
        </row>
        <row r="42">
          <cell r="U42">
            <v>-724.79480509999757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-798.68521679999981</v>
          </cell>
        </row>
        <row r="46">
          <cell r="U46">
            <v>-215.3148569</v>
          </cell>
        </row>
        <row r="47">
          <cell r="U47">
            <v>832.01541869999994</v>
          </cell>
        </row>
        <row r="48">
          <cell r="U48">
            <v>0</v>
          </cell>
        </row>
        <row r="49">
          <cell r="U49">
            <v>-10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1.5488839000000003</v>
          </cell>
        </row>
        <row r="58">
          <cell r="U58">
            <v>-83.434887000000003</v>
          </cell>
        </row>
        <row r="60">
          <cell r="U60">
            <v>2385.5010791999994</v>
          </cell>
        </row>
        <row r="61">
          <cell r="U61">
            <v>0</v>
          </cell>
        </row>
        <row r="62">
          <cell r="U62">
            <v>-4226.9823022999981</v>
          </cell>
        </row>
        <row r="63">
          <cell r="U63">
            <v>-1841.4812230999962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-409.49645150000009</v>
          </cell>
        </row>
        <row r="42">
          <cell r="U42">
            <v>-1408.1755758000074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-19.475000000000001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-6.2606299999999906E-2</v>
          </cell>
        </row>
        <row r="58">
          <cell r="U58">
            <v>-2.7480037999999993</v>
          </cell>
        </row>
        <row r="60">
          <cell r="U60">
            <v>15499.493253500001</v>
          </cell>
        </row>
        <row r="61">
          <cell r="U61">
            <v>0</v>
          </cell>
        </row>
        <row r="62">
          <cell r="U62">
            <v>-23263.298983799999</v>
          </cell>
        </row>
        <row r="63">
          <cell r="U63">
            <v>-7763.8057303000041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FX download"/>
      <sheetName val="Report"/>
      <sheetName val="Summary"/>
      <sheetName val="Input"/>
      <sheetName val="Benzene"/>
      <sheetName val="Benz Financial"/>
      <sheetName val="FX"/>
      <sheetName val="Toluene"/>
      <sheetName val="Plastics"/>
      <sheetName val="MTBE"/>
      <sheetName val="Styrene"/>
      <sheetName val="PX"/>
      <sheetName val="Methanol"/>
      <sheetName val="Mixed Xylene"/>
      <sheetName val="Naphtha"/>
      <sheetName val="Oil"/>
      <sheetName val="Gasoline"/>
      <sheetName val="Module3"/>
      <sheetName val="Module4"/>
    </sheetNames>
    <sheetDataSet>
      <sheetData sheetId="0" refreshError="1"/>
      <sheetData sheetId="1" refreshError="1"/>
      <sheetData sheetId="2">
        <row r="39">
          <cell r="AN39">
            <v>0</v>
          </cell>
        </row>
        <row r="41">
          <cell r="AN41">
            <v>39.054111500000005</v>
          </cell>
        </row>
        <row r="42">
          <cell r="AN42">
            <v>104.0711443000001</v>
          </cell>
        </row>
        <row r="43">
          <cell r="AN43">
            <v>0</v>
          </cell>
        </row>
        <row r="44">
          <cell r="AN44">
            <v>0</v>
          </cell>
        </row>
        <row r="45">
          <cell r="AN45">
            <v>3.9559354999999998</v>
          </cell>
        </row>
        <row r="46">
          <cell r="AN46">
            <v>-5.7689800000000048E-2</v>
          </cell>
        </row>
        <row r="47">
          <cell r="AN47">
            <v>-0.83650180000000007</v>
          </cell>
        </row>
        <row r="48">
          <cell r="AN48">
            <v>0</v>
          </cell>
        </row>
        <row r="49">
          <cell r="AN49">
            <v>0</v>
          </cell>
        </row>
        <row r="51">
          <cell r="AN51">
            <v>0</v>
          </cell>
        </row>
        <row r="52">
          <cell r="AN52">
            <v>0</v>
          </cell>
        </row>
        <row r="60">
          <cell r="AN60">
            <v>-208.25609049999994</v>
          </cell>
        </row>
        <row r="61">
          <cell r="AN61">
            <v>0</v>
          </cell>
        </row>
        <row r="62">
          <cell r="AN62">
            <v>12674.647744888816</v>
          </cell>
        </row>
        <row r="63">
          <cell r="AN63">
            <v>12464.789912088812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Orig Sched"/>
      <sheetName val="Daily Macros"/>
      <sheetName val="Monthly Macros"/>
    </sheetNames>
    <sheetDataSet>
      <sheetData sheetId="0" refreshError="1"/>
      <sheetData sheetId="1">
        <row r="39">
          <cell r="W39">
            <v>0</v>
          </cell>
        </row>
        <row r="41">
          <cell r="W41">
            <v>0</v>
          </cell>
        </row>
        <row r="42">
          <cell r="W42">
            <v>0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AE57">
            <v>-9112.8255904999969</v>
          </cell>
        </row>
        <row r="58">
          <cell r="AE58">
            <v>938.05988239999988</v>
          </cell>
        </row>
        <row r="60">
          <cell r="W60">
            <v>0</v>
          </cell>
        </row>
        <row r="61">
          <cell r="W61">
            <v>0</v>
          </cell>
        </row>
        <row r="62">
          <cell r="W6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Input"/>
      <sheetName val="Post_IDs"/>
      <sheetName val="H"/>
      <sheetName val="Report"/>
      <sheetName val="Cold Rolled Coils"/>
      <sheetName val="Steel Pipes"/>
      <sheetName val="Hot Rolled Coils"/>
      <sheetName val="Slab"/>
      <sheetName val="Hot Rolled Plates"/>
      <sheetName val="Seamless Pipe"/>
      <sheetName val="Huntco HR"/>
      <sheetName val="Steel-Mill-SHRC"/>
      <sheetName val="Blythville Cold Rolled Mill"/>
      <sheetName val="Cold Rolled Mill-Basis"/>
      <sheetName val="Mgmt Trades JM"/>
      <sheetName val="Nat Gas Orig"/>
      <sheetName val="Steel-Huntco-SGAL"/>
      <sheetName val="Steel-SHRC-Finl"/>
      <sheetName val="Bly-SHRC"/>
      <sheetName val="Bly-SHRC-Bas"/>
      <sheetName val="Steel-Duferco"/>
      <sheetName val="Steel-Duferco 2"/>
      <sheetName val="Steel-Huntco-SC"/>
      <sheetName val="SHRC-Hou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AR39">
            <v>0</v>
          </cell>
        </row>
        <row r="41">
          <cell r="AR41">
            <v>-305.81308460000002</v>
          </cell>
        </row>
        <row r="42">
          <cell r="AR42">
            <v>-1988.3529842000019</v>
          </cell>
        </row>
        <row r="43">
          <cell r="AR43">
            <v>0</v>
          </cell>
        </row>
        <row r="44">
          <cell r="AR44">
            <v>0</v>
          </cell>
        </row>
        <row r="45">
          <cell r="AR45">
            <v>-23.741796199999996</v>
          </cell>
        </row>
        <row r="46">
          <cell r="AR46">
            <v>0</v>
          </cell>
        </row>
        <row r="47">
          <cell r="AR47">
            <v>-204.4219287</v>
          </cell>
        </row>
        <row r="48">
          <cell r="AR48">
            <v>0</v>
          </cell>
        </row>
        <row r="49">
          <cell r="AR49">
            <v>0</v>
          </cell>
        </row>
        <row r="51">
          <cell r="AR51">
            <v>0</v>
          </cell>
        </row>
        <row r="52">
          <cell r="AR52">
            <v>0</v>
          </cell>
        </row>
        <row r="57">
          <cell r="AR57">
            <v>-4568.1605799000008</v>
          </cell>
        </row>
        <row r="58">
          <cell r="AR58">
            <v>-290.78616749999981</v>
          </cell>
        </row>
        <row r="60">
          <cell r="AR60">
            <v>148790.96451229998</v>
          </cell>
        </row>
        <row r="61">
          <cell r="AR61">
            <v>0</v>
          </cell>
        </row>
        <row r="62">
          <cell r="AR62">
            <v>-77553.825313900001</v>
          </cell>
        </row>
        <row r="63">
          <cell r="AR63">
            <v>71237.139197900004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Report"/>
      <sheetName val="Detail Summary"/>
      <sheetName val="Input"/>
      <sheetName val="Top Pages"/>
      <sheetName val="Roll-1"/>
      <sheetName val="Roll-2"/>
      <sheetName val="Roll-3"/>
      <sheetName val="Roll-4"/>
      <sheetName val="Roll-5"/>
      <sheetName val="Orig Sched"/>
      <sheetName val="Daily Macro"/>
      <sheetName val="Monthly Macro"/>
    </sheetNames>
    <sheetDataSet>
      <sheetData sheetId="0" refreshError="1"/>
      <sheetData sheetId="1" refreshError="1"/>
      <sheetData sheetId="2">
        <row r="57">
          <cell r="M57">
            <v>-4.6345284000000007</v>
          </cell>
        </row>
        <row r="58">
          <cell r="M58">
            <v>0.90646370000000021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D"/>
      <sheetName val="Export"/>
      <sheetName val="Summary"/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Orig Sched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7">
          <cell r="BC57">
            <v>-4422.726099999999</v>
          </cell>
        </row>
        <row r="58">
          <cell r="BC58">
            <v>5774.6522999999997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5">
          <cell r="AZ35">
            <v>0</v>
          </cell>
        </row>
        <row r="37">
          <cell r="AZ37">
            <v>2357.4571056864534</v>
          </cell>
        </row>
        <row r="38">
          <cell r="AZ38">
            <v>57620.365657183233</v>
          </cell>
        </row>
        <row r="39">
          <cell r="AZ39">
            <v>0</v>
          </cell>
        </row>
        <row r="40">
          <cell r="AZ40">
            <v>0</v>
          </cell>
        </row>
        <row r="41">
          <cell r="AZ41">
            <v>-496.0737121706598</v>
          </cell>
        </row>
        <row r="42">
          <cell r="AZ42">
            <v>-23.363394430875765</v>
          </cell>
        </row>
        <row r="43">
          <cell r="AZ43">
            <v>214.35118576904699</v>
          </cell>
        </row>
        <row r="44">
          <cell r="AZ44">
            <v>0</v>
          </cell>
        </row>
        <row r="46">
          <cell r="AZ46">
            <v>-196.67154250000002</v>
          </cell>
        </row>
        <row r="47">
          <cell r="AZ47">
            <v>178.49559000000002</v>
          </cell>
        </row>
        <row r="49">
          <cell r="AZ49">
            <v>1.182343112304811E-15</v>
          </cell>
        </row>
        <row r="50">
          <cell r="AZ50">
            <v>-4.2088940494663696</v>
          </cell>
        </row>
        <row r="51">
          <cell r="AZ51">
            <v>389.45604177930306</v>
          </cell>
        </row>
        <row r="52">
          <cell r="AZ52">
            <v>44.998908251243193</v>
          </cell>
        </row>
        <row r="61">
          <cell r="AZ61">
            <v>829230.8099436732</v>
          </cell>
        </row>
        <row r="62">
          <cell r="AZ62">
            <v>0</v>
          </cell>
        </row>
        <row r="63">
          <cell r="AZ63">
            <v>875034.18980346387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77">
          <cell r="DT77">
            <v>-11095357.249017086</v>
          </cell>
          <cell r="DU77">
            <v>3030253.1882687858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>
        <row r="37">
          <cell r="AR37">
            <v>2067778.6399999997</v>
          </cell>
        </row>
        <row r="38">
          <cell r="AR38">
            <v>45945900.700000003</v>
          </cell>
        </row>
        <row r="39">
          <cell r="AR39">
            <v>0</v>
          </cell>
        </row>
        <row r="40">
          <cell r="AR40">
            <v>0</v>
          </cell>
        </row>
        <row r="41">
          <cell r="AR41">
            <v>111108.30999999998</v>
          </cell>
        </row>
        <row r="42">
          <cell r="AR42">
            <v>148036.97</v>
          </cell>
        </row>
        <row r="43">
          <cell r="AR43">
            <v>-205866</v>
          </cell>
        </row>
        <row r="44">
          <cell r="AR44">
            <v>0</v>
          </cell>
        </row>
        <row r="46">
          <cell r="AR46">
            <v>0</v>
          </cell>
        </row>
        <row r="49">
          <cell r="AR49">
            <v>0</v>
          </cell>
        </row>
        <row r="50">
          <cell r="AR50">
            <v>0</v>
          </cell>
        </row>
        <row r="51">
          <cell r="AR51">
            <v>-47759</v>
          </cell>
        </row>
        <row r="52">
          <cell r="AR52">
            <v>74020.720000000016</v>
          </cell>
        </row>
        <row r="61">
          <cell r="AR61">
            <v>151969109</v>
          </cell>
        </row>
        <row r="62">
          <cell r="AR62">
            <v>0</v>
          </cell>
        </row>
        <row r="63">
          <cell r="AR63">
            <v>96394097.51819998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4">
          <cell r="FX114">
            <v>4486869.3944345685</v>
          </cell>
          <cell r="FY114">
            <v>-314807.25005188963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-2.0000000000000001E-4</v>
          </cell>
        </row>
        <row r="43">
          <cell r="AE43">
            <v>1.2999999999999616E-3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4.0130999999999997</v>
          </cell>
        </row>
        <row r="57">
          <cell r="AE57">
            <v>-3507.4103</v>
          </cell>
        </row>
        <row r="58">
          <cell r="AE58">
            <v>1191.5803000000001</v>
          </cell>
        </row>
        <row r="60">
          <cell r="AE60">
            <v>517418.18719999999</v>
          </cell>
        </row>
        <row r="61">
          <cell r="AE61">
            <v>0</v>
          </cell>
        </row>
        <row r="62">
          <cell r="AE62">
            <v>17595012.884499997</v>
          </cell>
        </row>
        <row r="63">
          <cell r="AE63">
            <v>18112431.071699999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 RHO DRIFT"/>
      <sheetName val="Export"/>
      <sheetName val="Power Summary"/>
      <sheetName val="SUMMARY"/>
      <sheetName val="Sum Trader"/>
      <sheetName val="Currency"/>
      <sheetName val="West Canada Power P&amp;L"/>
      <sheetName val="West Can USD vs CDN"/>
      <sheetName val="Alberta Pwr USD"/>
      <sheetName val="Alberta Pwr CDN"/>
      <sheetName val="Origination"/>
    </sheetNames>
    <sheetDataSet>
      <sheetData sheetId="0" refreshError="1"/>
      <sheetData sheetId="1" refreshError="1"/>
      <sheetData sheetId="2">
        <row r="35">
          <cell r="AN35">
            <v>0</v>
          </cell>
        </row>
        <row r="37">
          <cell r="AN37">
            <v>2663039.3074710998</v>
          </cell>
        </row>
        <row r="38">
          <cell r="AN38">
            <v>2858529.695855692</v>
          </cell>
        </row>
        <row r="39">
          <cell r="AN39">
            <v>0</v>
          </cell>
        </row>
        <row r="40">
          <cell r="AN40">
            <v>-1376861.3914570655</v>
          </cell>
        </row>
        <row r="41">
          <cell r="AN41">
            <v>189159.54222323521</v>
          </cell>
        </row>
        <row r="42">
          <cell r="AN42">
            <v>473703.23994195141</v>
          </cell>
        </row>
        <row r="43">
          <cell r="AN43">
            <v>-467888.31403625279</v>
          </cell>
        </row>
        <row r="44">
          <cell r="AN44">
            <v>0</v>
          </cell>
        </row>
        <row r="46">
          <cell r="AN46">
            <v>-6313.7427083986695</v>
          </cell>
        </row>
        <row r="47">
          <cell r="AN47">
            <v>452981.87292228563</v>
          </cell>
        </row>
        <row r="49">
          <cell r="AN49">
            <v>0</v>
          </cell>
        </row>
        <row r="50">
          <cell r="AN50">
            <v>-464707.74773060437</v>
          </cell>
        </row>
        <row r="51">
          <cell r="AN51">
            <v>110108.10387585587</v>
          </cell>
        </row>
        <row r="52">
          <cell r="AN52">
            <v>505516.87608762109</v>
          </cell>
        </row>
        <row r="61">
          <cell r="AN61">
            <v>336367927.70249963</v>
          </cell>
        </row>
        <row r="62">
          <cell r="AN62">
            <v>0</v>
          </cell>
        </row>
        <row r="63">
          <cell r="AN63">
            <v>-17844054.273511741</v>
          </cell>
        </row>
      </sheetData>
      <sheetData sheetId="3" refreshError="1"/>
      <sheetData sheetId="4">
        <row r="61">
          <cell r="GA61">
            <v>-2868609.367973262</v>
          </cell>
          <cell r="GB61">
            <v>1236457.1721839588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9.0000000000000019E-4</v>
          </cell>
        </row>
        <row r="43">
          <cell r="K43">
            <v>-1E-4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-39.862700000000004</v>
          </cell>
        </row>
        <row r="57">
          <cell r="K57">
            <v>2624.2066999999997</v>
          </cell>
        </row>
        <row r="58">
          <cell r="K58">
            <v>9813.0914000000012</v>
          </cell>
        </row>
        <row r="60">
          <cell r="K60">
            <v>5554723.2667000005</v>
          </cell>
        </row>
        <row r="61">
          <cell r="K61">
            <v>0</v>
          </cell>
        </row>
        <row r="62">
          <cell r="K62">
            <v>5001461.4335999992</v>
          </cell>
        </row>
        <row r="63">
          <cell r="K63">
            <v>10556184.700299999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Pages"/>
      <sheetName val="Input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145832</v>
          </cell>
        </row>
        <row r="41">
          <cell r="K41">
            <v>-92157.1538</v>
          </cell>
        </row>
        <row r="42">
          <cell r="K42">
            <v>-1501724.0182</v>
          </cell>
        </row>
        <row r="43">
          <cell r="K43">
            <v>57467.885600000009</v>
          </cell>
        </row>
        <row r="44">
          <cell r="K44">
            <v>-7619.3841000000002</v>
          </cell>
        </row>
        <row r="45">
          <cell r="K45">
            <v>7022.8276000000014</v>
          </cell>
        </row>
        <row r="46">
          <cell r="K46">
            <v>-15800.0141</v>
          </cell>
        </row>
        <row r="47">
          <cell r="K47">
            <v>-13169.884999999998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-1393.8735999999999</v>
          </cell>
        </row>
        <row r="57">
          <cell r="K57">
            <v>104261.18740000001</v>
          </cell>
        </row>
        <row r="58">
          <cell r="K58">
            <v>-38670.158599999995</v>
          </cell>
        </row>
        <row r="60">
          <cell r="K60">
            <v>-15572311.105699999</v>
          </cell>
        </row>
        <row r="61">
          <cell r="K61">
            <v>0</v>
          </cell>
        </row>
        <row r="62">
          <cell r="K62">
            <v>-3818296.8194000004</v>
          </cell>
        </row>
        <row r="63">
          <cell r="K63">
            <v>-19390607.925100002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5"/>
      <sheetName val="Roll-16"/>
      <sheetName val="WeaponX"/>
      <sheetName val="WT CAL Physical"/>
      <sheetName val="WT Cal Sum"/>
      <sheetName val="OA Flash-WT CAL"/>
      <sheetName val="AA"/>
      <sheetName val="Daily Macros"/>
      <sheetName val="Monthly Macros"/>
    </sheetNames>
    <sheetDataSet>
      <sheetData sheetId="0"/>
      <sheetData sheetId="1">
        <row r="39">
          <cell r="O39">
            <v>0</v>
          </cell>
        </row>
        <row r="41">
          <cell r="O41">
            <v>-3507655</v>
          </cell>
        </row>
        <row r="42">
          <cell r="O42">
            <v>0</v>
          </cell>
        </row>
        <row r="43">
          <cell r="O43">
            <v>91948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Q57">
            <v>-497044.43310000008</v>
          </cell>
        </row>
        <row r="58">
          <cell r="Q58">
            <v>-34322.660899999995</v>
          </cell>
        </row>
        <row r="60">
          <cell r="O60">
            <v>-3415707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-3415707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ValueOrig Sch."/>
      <sheetName val="Daily Macro"/>
      <sheetName val="Monthly Macro"/>
    </sheetNames>
    <sheetDataSet>
      <sheetData sheetId="0">
        <row r="39">
          <cell r="AA39">
            <v>5513</v>
          </cell>
        </row>
        <row r="41">
          <cell r="AA41">
            <v>357973.7417999999</v>
          </cell>
        </row>
        <row r="42">
          <cell r="AA42">
            <v>1886949.1185000017</v>
          </cell>
        </row>
        <row r="43">
          <cell r="AA43">
            <v>-2958942.7981000002</v>
          </cell>
        </row>
        <row r="44">
          <cell r="AA44">
            <v>-18922.97390000007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-3883.5</v>
          </cell>
        </row>
        <row r="51">
          <cell r="AA51">
            <v>0</v>
          </cell>
        </row>
        <row r="52">
          <cell r="AA52">
            <v>-635.27119999999991</v>
          </cell>
        </row>
        <row r="57">
          <cell r="AA57">
            <v>-487734.44499999995</v>
          </cell>
        </row>
        <row r="58">
          <cell r="AA58">
            <v>68334.1973</v>
          </cell>
        </row>
        <row r="60">
          <cell r="AA60">
            <v>20991858.589899998</v>
          </cell>
        </row>
        <row r="61">
          <cell r="AA61">
            <v>0</v>
          </cell>
        </row>
        <row r="62">
          <cell r="AA62">
            <v>108932748.58789995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Copy"/>
      <sheetName val="Break Out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Physical T-Port"/>
      <sheetName val="T-Port Phys Summary"/>
      <sheetName val="Total Phys Summary"/>
      <sheetName val="Demand Charges"/>
      <sheetName val="Orig Sched"/>
      <sheetName val="OA Flash Central"/>
      <sheetName val="Daily Macro"/>
      <sheetName val="Monthly Macro"/>
    </sheetNames>
    <sheetDataSet>
      <sheetData sheetId="0"/>
      <sheetData sheetId="1"/>
      <sheetData sheetId="2">
        <row r="39">
          <cell r="AQ39">
            <v>3340</v>
          </cell>
        </row>
        <row r="41">
          <cell r="AQ41">
            <v>-401422.64289999998</v>
          </cell>
        </row>
        <row r="42">
          <cell r="AQ42">
            <v>-2099522.0655999254</v>
          </cell>
        </row>
        <row r="43">
          <cell r="AQ43">
            <v>2785905.4594000019</v>
          </cell>
        </row>
        <row r="44">
          <cell r="AQ44">
            <v>-193141.04029999994</v>
          </cell>
        </row>
        <row r="45">
          <cell r="AQ45">
            <v>80122.020400000009</v>
          </cell>
        </row>
        <row r="46">
          <cell r="AQ46">
            <v>14798.096599999999</v>
          </cell>
        </row>
        <row r="47">
          <cell r="AQ47">
            <v>-117781.21880000002</v>
          </cell>
        </row>
        <row r="48">
          <cell r="AQ48">
            <v>0</v>
          </cell>
        </row>
        <row r="49">
          <cell r="AQ49">
            <v>-5429</v>
          </cell>
        </row>
        <row r="51">
          <cell r="AQ51">
            <v>0</v>
          </cell>
        </row>
        <row r="52">
          <cell r="AQ52">
            <v>-27199.632700000002</v>
          </cell>
        </row>
        <row r="57">
          <cell r="I57">
            <v>49943.222800000018</v>
          </cell>
          <cell r="K57">
            <v>-370615.69539999997</v>
          </cell>
          <cell r="AQ57">
            <v>14799967.005499998</v>
          </cell>
        </row>
        <row r="58">
          <cell r="I58">
            <v>-9911.2735999999968</v>
          </cell>
          <cell r="K58">
            <v>58140.698700000008</v>
          </cell>
          <cell r="AQ58">
            <v>-1746640.2179999999</v>
          </cell>
        </row>
        <row r="60">
          <cell r="AQ60">
            <v>-484692056.40549994</v>
          </cell>
        </row>
        <row r="61">
          <cell r="AQ61">
            <v>0</v>
          </cell>
        </row>
        <row r="62">
          <cell r="AQ62">
            <v>724321044.81789982</v>
          </cell>
        </row>
        <row r="63">
          <cell r="AQ63">
            <v>239628988.04589993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Diffex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TEXAS Physical"/>
      <sheetName val="Phys Sum-TEXAS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5965</v>
          </cell>
        </row>
        <row r="41">
          <cell r="AQ41">
            <v>804470.03970000008</v>
          </cell>
        </row>
        <row r="42">
          <cell r="AQ42">
            <v>7945899.148500002</v>
          </cell>
        </row>
        <row r="43">
          <cell r="AQ43">
            <v>-7825680.0954999905</v>
          </cell>
        </row>
        <row r="44">
          <cell r="AQ44">
            <v>-7438878.0267999992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-6324</v>
          </cell>
        </row>
        <row r="51">
          <cell r="AQ51">
            <v>0</v>
          </cell>
        </row>
        <row r="52">
          <cell r="AQ52">
            <v>468.95979999999997</v>
          </cell>
        </row>
        <row r="57">
          <cell r="AQ57">
            <v>-180349.67339999997</v>
          </cell>
        </row>
        <row r="58">
          <cell r="AQ58">
            <v>92330.044499999989</v>
          </cell>
        </row>
        <row r="60">
          <cell r="AQ60">
            <v>34456256.556399994</v>
          </cell>
        </row>
        <row r="61">
          <cell r="AQ61">
            <v>0</v>
          </cell>
        </row>
        <row r="62">
          <cell r="AQ62">
            <v>124954746.3321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WeaponX"/>
      <sheetName val="VNG Physical"/>
      <sheetName val="Combined Summary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445690.19449999998</v>
          </cell>
        </row>
        <row r="42">
          <cell r="AC42">
            <v>-74215.850699999981</v>
          </cell>
        </row>
        <row r="43">
          <cell r="AC43">
            <v>-212602.32950000002</v>
          </cell>
        </row>
        <row r="44">
          <cell r="AC44">
            <v>-31281.327400000002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-137.2388</v>
          </cell>
        </row>
        <row r="57">
          <cell r="AC57">
            <v>-1558.0715000000009</v>
          </cell>
        </row>
        <row r="58">
          <cell r="AC58">
            <v>-1757.7275999999999</v>
          </cell>
        </row>
        <row r="60">
          <cell r="AC60">
            <v>-272945.69429999992</v>
          </cell>
        </row>
        <row r="61">
          <cell r="AC61">
            <v>0</v>
          </cell>
        </row>
        <row r="62">
          <cell r="AC62">
            <v>5967418.6947999969</v>
          </cell>
        </row>
        <row r="63">
          <cell r="AC63">
            <v>5694473.0004999964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  <sheetName val="Report"/>
      <sheetName val="Postid"/>
      <sheetName val="Top Pages"/>
      <sheetName val="Input"/>
      <sheetName val="Roll-1"/>
      <sheetName val="Roll-6"/>
      <sheetName val="Roll-7"/>
      <sheetName val="Roll-8"/>
      <sheetName val="Roll-9"/>
      <sheetName val="Roll-10"/>
      <sheetName val="Roll-12"/>
      <sheetName val="Roll-13"/>
      <sheetName val="Roll-14"/>
      <sheetName val="Roll-15"/>
      <sheetName val="Roll-16"/>
      <sheetName val="Daily Macros"/>
      <sheetName val="Monthly Macros"/>
      <sheetName val="WeaponX"/>
      <sheetName val="WT SOCAL Physical"/>
      <sheetName val="WT SOCAL Sum"/>
      <sheetName val="OA Flash"/>
      <sheetName val="OA Flash-WT SOCAL"/>
    </sheetNames>
    <sheetDataSet>
      <sheetData sheetId="0"/>
      <sheetData sheetId="1">
        <row r="39">
          <cell r="X39">
            <v>37943.480000000003</v>
          </cell>
        </row>
        <row r="41">
          <cell r="X41">
            <v>-485313.40260000009</v>
          </cell>
        </row>
        <row r="42">
          <cell r="X42">
            <v>589992.02910000924</v>
          </cell>
        </row>
        <row r="43">
          <cell r="X43">
            <v>-186132.34170000005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-72318</v>
          </cell>
        </row>
        <row r="51">
          <cell r="X51">
            <v>0</v>
          </cell>
        </row>
        <row r="52">
          <cell r="X52">
            <v>689.74660000000029</v>
          </cell>
        </row>
        <row r="57">
          <cell r="X57">
            <v>2166.5157999999706</v>
          </cell>
        </row>
        <row r="58">
          <cell r="X58">
            <v>-133178.0049</v>
          </cell>
        </row>
        <row r="60">
          <cell r="X60">
            <v>-74890987.799500018</v>
          </cell>
        </row>
        <row r="61">
          <cell r="X61">
            <v>0</v>
          </cell>
        </row>
        <row r="62">
          <cell r="X62">
            <v>211803967.46800002</v>
          </cell>
        </row>
        <row r="63">
          <cell r="X63">
            <v>136912979.23540002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Report"/>
      <sheetName val="Test Page"/>
      <sheetName val="Mgmt Report"/>
      <sheetName val="5 day P&amp;L Calc"/>
      <sheetName val="Today's P&amp;L Summary"/>
      <sheetName val="Today's Detail P&amp;L"/>
      <sheetName val="Daily Position Roll"/>
      <sheetName val="Today's Position Summary"/>
      <sheetName val="Today's Position"/>
      <sheetName val="Yesterday's Position"/>
      <sheetName val="Backward Roll"/>
      <sheetName val="DPR Support"/>
      <sheetName val="New Roll"/>
      <sheetName val="Management DPR Support"/>
      <sheetName val="Management New Roll"/>
      <sheetName val="Schedules"/>
      <sheetName val="Deals"/>
      <sheetName val="CME Ex Entry"/>
      <sheetName val="Today's Prices"/>
      <sheetName val="Ystrdy's Prices"/>
      <sheetName val="Chng In Prices"/>
      <sheetName val="Positions"/>
      <sheetName val="Curve Shift"/>
      <sheetName val="Broker Fees"/>
      <sheetName val="Originations"/>
      <sheetName val="Prudency"/>
      <sheetName val="MPR Daily Roll"/>
      <sheetName val="Interest Income"/>
      <sheetName val="Ex New Deals"/>
      <sheetName val="Export"/>
    </sheetNames>
    <sheetDataSet>
      <sheetData sheetId="0"/>
      <sheetData sheetId="1">
        <row r="24">
          <cell r="E24">
            <v>0</v>
          </cell>
        </row>
        <row r="26">
          <cell r="E26">
            <v>0</v>
          </cell>
        </row>
        <row r="27">
          <cell r="E27">
            <v>-0.32140000000000002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605.28740000000005</v>
          </cell>
        </row>
        <row r="33">
          <cell r="E33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6">
          <cell r="E46">
            <v>29.4757</v>
          </cell>
        </row>
        <row r="47">
          <cell r="E47">
            <v>13.0997</v>
          </cell>
        </row>
        <row r="49">
          <cell r="E49">
            <v>514145.58</v>
          </cell>
        </row>
        <row r="50">
          <cell r="E50">
            <v>0</v>
          </cell>
        </row>
        <row r="51">
          <cell r="E51">
            <v>-1840958.5754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Input"/>
      <sheetName val="Report"/>
      <sheetName val="Larry's Page"/>
      <sheetName val="JA P&amp;L"/>
      <sheetName val="Top Pages"/>
      <sheetName val="Roll-1"/>
      <sheetName val="Roll-2"/>
      <sheetName val="Roll-3"/>
      <sheetName val="Roll-4"/>
      <sheetName val="Daily Macro"/>
      <sheetName val="Monthly Macro"/>
      <sheetName val="TopPageMacro"/>
      <sheetName val="P_LReportsMacro"/>
    </sheetNames>
    <sheetDataSet>
      <sheetData sheetId="0"/>
      <sheetData sheetId="1"/>
      <sheetData sheetId="2">
        <row r="19">
          <cell r="N19">
            <v>84725</v>
          </cell>
        </row>
        <row r="21">
          <cell r="N21">
            <v>-4576541.2997999992</v>
          </cell>
        </row>
        <row r="22">
          <cell r="N22">
            <v>2472562.6320999973</v>
          </cell>
        </row>
        <row r="23">
          <cell r="N23">
            <v>-1464461.9158999976</v>
          </cell>
        </row>
        <row r="24">
          <cell r="N24">
            <v>0</v>
          </cell>
        </row>
        <row r="25">
          <cell r="N25">
            <v>2492007.2476999997</v>
          </cell>
        </row>
        <row r="26">
          <cell r="N26">
            <v>5116278.4093000004</v>
          </cell>
        </row>
        <row r="27">
          <cell r="N27">
            <v>-5381547.1711999988</v>
          </cell>
        </row>
        <row r="28">
          <cell r="N28">
            <v>1</v>
          </cell>
        </row>
        <row r="29">
          <cell r="N29">
            <v>-85795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19226.339599999985</v>
          </cell>
        </row>
        <row r="38">
          <cell r="N38">
            <v>98188.741699999999</v>
          </cell>
        </row>
        <row r="40">
          <cell r="N40">
            <v>48531483.254699998</v>
          </cell>
        </row>
        <row r="41">
          <cell r="N41">
            <v>0</v>
          </cell>
        </row>
        <row r="42">
          <cell r="N42">
            <v>29473663.931499995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0</v>
          </cell>
        </row>
        <row r="57">
          <cell r="K57">
            <v>0</v>
          </cell>
        </row>
        <row r="58">
          <cell r="K58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-1708683.6276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/>
      <sheetData sheetId="2">
        <row r="39">
          <cell r="AG39">
            <v>2345</v>
          </cell>
        </row>
        <row r="41">
          <cell r="AG41">
            <v>831946.85349999997</v>
          </cell>
        </row>
        <row r="42">
          <cell r="AG42">
            <v>931776.5922999999</v>
          </cell>
        </row>
        <row r="43">
          <cell r="AG43">
            <v>939226.90370000014</v>
          </cell>
        </row>
        <row r="44">
          <cell r="AG44">
            <v>2968210.3142000004</v>
          </cell>
        </row>
        <row r="45">
          <cell r="AG45">
            <v>74541.34120000001</v>
          </cell>
        </row>
        <row r="46">
          <cell r="AG46">
            <v>73912.748100000012</v>
          </cell>
        </row>
        <row r="47">
          <cell r="AG47">
            <v>-101908.57520000001</v>
          </cell>
        </row>
        <row r="48">
          <cell r="AG48">
            <v>0</v>
          </cell>
        </row>
        <row r="49">
          <cell r="AG49">
            <v>-3050</v>
          </cell>
        </row>
        <row r="51">
          <cell r="AG51">
            <v>0</v>
          </cell>
        </row>
        <row r="52">
          <cell r="AG52">
            <v>-88097.323399999979</v>
          </cell>
        </row>
        <row r="57">
          <cell r="AG57">
            <v>50630.645800000013</v>
          </cell>
        </row>
        <row r="58">
          <cell r="AG58">
            <v>1613.6589999999997</v>
          </cell>
        </row>
        <row r="60">
          <cell r="AG60">
            <v>4189995.2971999994</v>
          </cell>
        </row>
        <row r="61">
          <cell r="AG61">
            <v>0</v>
          </cell>
        </row>
        <row r="62">
          <cell r="AG62">
            <v>29949600.916699994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Explanations"/>
      <sheetName val="Orig Sched"/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Roll-4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E39">
            <v>70</v>
          </cell>
        </row>
        <row r="41">
          <cell r="AE41">
            <v>-758588.06090000004</v>
          </cell>
        </row>
        <row r="42">
          <cell r="AE42">
            <v>4097077.1749999998</v>
          </cell>
        </row>
        <row r="43">
          <cell r="AE43">
            <v>72251.371899999984</v>
          </cell>
        </row>
        <row r="44">
          <cell r="AE44">
            <v>-1008171.7511</v>
          </cell>
        </row>
        <row r="45">
          <cell r="AE45">
            <v>51398.040299999986</v>
          </cell>
        </row>
        <row r="46">
          <cell r="AE46">
            <v>68900.349800000011</v>
          </cell>
        </row>
        <row r="47">
          <cell r="AE47">
            <v>-131023.69679999999</v>
          </cell>
        </row>
        <row r="48">
          <cell r="AE48">
            <v>-155966.84590000001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-13497.658500000003</v>
          </cell>
        </row>
        <row r="58">
          <cell r="AE58">
            <v>-6131.0961000000007</v>
          </cell>
        </row>
        <row r="60">
          <cell r="AE60">
            <v>-3364775.6217999998</v>
          </cell>
        </row>
        <row r="61">
          <cell r="AE61">
            <v>0</v>
          </cell>
        </row>
        <row r="62">
          <cell r="AE62">
            <v>53064744.566399999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Summary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C39">
            <v>0</v>
          </cell>
        </row>
        <row r="41">
          <cell r="AC41">
            <v>759479.82959999971</v>
          </cell>
        </row>
        <row r="42">
          <cell r="AC42">
            <v>1200231.7762999984</v>
          </cell>
        </row>
        <row r="43">
          <cell r="AC43">
            <v>-419053.71959999995</v>
          </cell>
        </row>
        <row r="44">
          <cell r="AC44">
            <v>103097.79190000003</v>
          </cell>
        </row>
        <row r="45">
          <cell r="AC45">
            <v>-443568.03920000006</v>
          </cell>
        </row>
        <row r="46">
          <cell r="AC46">
            <v>55216.395999999979</v>
          </cell>
        </row>
        <row r="47">
          <cell r="AC47">
            <v>547384.11249999981</v>
          </cell>
        </row>
        <row r="48">
          <cell r="AC48">
            <v>0</v>
          </cell>
        </row>
        <row r="49">
          <cell r="AC49">
            <v>-4173</v>
          </cell>
        </row>
        <row r="51">
          <cell r="AC51">
            <v>0</v>
          </cell>
        </row>
        <row r="52">
          <cell r="AC52">
            <v>-135828.465</v>
          </cell>
        </row>
        <row r="57">
          <cell r="AC57">
            <v>219803.23019999996</v>
          </cell>
        </row>
        <row r="58">
          <cell r="AC58">
            <v>-35026.629699999998</v>
          </cell>
        </row>
        <row r="60">
          <cell r="AC60">
            <v>-7371570.2137999982</v>
          </cell>
        </row>
        <row r="61">
          <cell r="AC61">
            <v>3</v>
          </cell>
        </row>
        <row r="62">
          <cell r="AC62">
            <v>74814937.407800034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Roll-1"/>
      <sheetName val="JA P&amp;L"/>
      <sheetName val="Top Pages"/>
      <sheetName val="Roll-2"/>
      <sheetName val="Roll-4"/>
      <sheetName val="Roll-3"/>
      <sheetName val="Daily Macro"/>
      <sheetName val="Monthly Macro"/>
      <sheetName val="TopPageMacro"/>
      <sheetName val="P_LReportsMacro"/>
    </sheetNames>
    <sheetDataSet>
      <sheetData sheetId="0"/>
      <sheetData sheetId="1">
        <row r="19">
          <cell r="N19">
            <v>34500</v>
          </cell>
        </row>
        <row r="21">
          <cell r="N21">
            <v>-235126.97830000008</v>
          </cell>
        </row>
        <row r="22">
          <cell r="N22">
            <v>3777941.5986000001</v>
          </cell>
        </row>
        <row r="23">
          <cell r="N23">
            <v>9325167.9735000003</v>
          </cell>
        </row>
        <row r="24">
          <cell r="N24">
            <v>379036.43340000138</v>
          </cell>
        </row>
        <row r="25">
          <cell r="N25">
            <v>-6193435.5106999995</v>
          </cell>
        </row>
        <row r="26">
          <cell r="N26">
            <v>-527754.72069999971</v>
          </cell>
        </row>
        <row r="27">
          <cell r="N27">
            <v>1576242.1184999999</v>
          </cell>
        </row>
        <row r="28">
          <cell r="N28">
            <v>0</v>
          </cell>
        </row>
        <row r="29">
          <cell r="N29">
            <v>-26985.43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-21542.981300000007</v>
          </cell>
        </row>
        <row r="38">
          <cell r="N38">
            <v>-12626.935300000003</v>
          </cell>
        </row>
        <row r="40">
          <cell r="N40">
            <v>-11729071.0766</v>
          </cell>
        </row>
        <row r="41">
          <cell r="N41">
            <v>0</v>
          </cell>
        </row>
        <row r="42">
          <cell r="N42">
            <v>40755954.689999998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Peoples Unwind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7.7699999975971878E-2</v>
          </cell>
        </row>
        <row r="43">
          <cell r="AE43">
            <v>-1.9999999999999998E-4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-14.062700000000003</v>
          </cell>
        </row>
        <row r="57">
          <cell r="AE57">
            <v>8912.7518</v>
          </cell>
        </row>
        <row r="58">
          <cell r="AE58">
            <v>-2898.3835000000017</v>
          </cell>
        </row>
        <row r="60">
          <cell r="AE60">
            <v>-1118569.3469</v>
          </cell>
        </row>
        <row r="61">
          <cell r="AE61">
            <v>0</v>
          </cell>
        </row>
        <row r="62">
          <cell r="AE62">
            <v>51740514.20040001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WeaponX"/>
      <sheetName val="Upstream LLC Physical"/>
      <sheetName val="Summary-Upstream"/>
      <sheetName val="Weapon X exclud."/>
      <sheetName val="SWING"/>
      <sheetName val="MTD All Curveshift"/>
      <sheetName val="Explanation"/>
      <sheetName val="OA Flash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Old-do not use"/>
      <sheetName val="Daily Macros"/>
      <sheetName val="Monthly Macros"/>
    </sheetNames>
    <sheetDataSet>
      <sheetData sheetId="0"/>
      <sheetData sheetId="1">
        <row r="39">
          <cell r="AQ39">
            <v>19250</v>
          </cell>
        </row>
        <row r="41">
          <cell r="AQ41">
            <v>11295.436400000006</v>
          </cell>
        </row>
        <row r="42">
          <cell r="AQ42">
            <v>1369217.7471</v>
          </cell>
        </row>
        <row r="43">
          <cell r="AQ43">
            <v>13268.687200000002</v>
          </cell>
        </row>
        <row r="44">
          <cell r="AQ44">
            <v>8102.0030999999999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101.25770000000001</v>
          </cell>
        </row>
        <row r="57">
          <cell r="AQ57">
            <v>-191.92049999999998</v>
          </cell>
        </row>
        <row r="58">
          <cell r="AQ58">
            <v>1012.2582</v>
          </cell>
        </row>
        <row r="60">
          <cell r="AQ60">
            <v>841302.63820000004</v>
          </cell>
        </row>
        <row r="61">
          <cell r="AQ61">
            <v>0</v>
          </cell>
        </row>
        <row r="62">
          <cell r="AQ62">
            <v>2106158.588500001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245827.89169999998</v>
          </cell>
        </row>
        <row r="42">
          <cell r="AQ42">
            <v>736560.0214999998</v>
          </cell>
        </row>
        <row r="43">
          <cell r="AQ43">
            <v>-123012.2862</v>
          </cell>
        </row>
        <row r="44">
          <cell r="AQ44">
            <v>-37596.417599999972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-6283.3468000000003</v>
          </cell>
        </row>
        <row r="57">
          <cell r="AQ57">
            <v>7796.6543000000011</v>
          </cell>
        </row>
        <row r="58">
          <cell r="AQ58">
            <v>-913.13860000000011</v>
          </cell>
        </row>
        <row r="60">
          <cell r="AQ60">
            <v>393200.9657</v>
          </cell>
        </row>
        <row r="61">
          <cell r="AQ61">
            <v>0</v>
          </cell>
        </row>
        <row r="62">
          <cell r="AQ62">
            <v>3502068.1886999994</v>
          </cell>
        </row>
        <row r="63">
          <cell r="AQ63">
            <v>3895269.1543999999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Waha Physical"/>
      <sheetName val="Phys Sum-Waha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1160.7750000000001</v>
          </cell>
        </row>
        <row r="41">
          <cell r="AQ41">
            <v>10522.256100000001</v>
          </cell>
        </row>
        <row r="42">
          <cell r="AQ42">
            <v>36960.9306</v>
          </cell>
        </row>
        <row r="43">
          <cell r="AQ43">
            <v>-11348.2983</v>
          </cell>
        </row>
        <row r="44">
          <cell r="AQ44">
            <v>-2578.4759999999951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0.32980000000000054</v>
          </cell>
        </row>
        <row r="57">
          <cell r="AQ57">
            <v>2.3519999999999994</v>
          </cell>
        </row>
        <row r="58">
          <cell r="AQ58">
            <v>25.069500000000001</v>
          </cell>
        </row>
        <row r="60">
          <cell r="AQ60">
            <v>44379.400300000001</v>
          </cell>
        </row>
        <row r="61">
          <cell r="AQ61">
            <v>0</v>
          </cell>
        </row>
        <row r="62">
          <cell r="AQ62">
            <v>464519.11690000002</v>
          </cell>
        </row>
        <row r="63">
          <cell r="AQ63">
            <v>508898.51719999994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Sheet1"/>
      <sheetName val="Repor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Top Pages"/>
      <sheetName val="Module1"/>
      <sheetName val="Module2"/>
    </sheetNames>
    <sheetDataSet>
      <sheetData sheetId="0"/>
      <sheetData sheetId="1"/>
      <sheetData sheetId="2">
        <row r="39">
          <cell r="AA39">
            <v>2501.9259999999999</v>
          </cell>
        </row>
        <row r="41">
          <cell r="AA41">
            <v>57275.091929999995</v>
          </cell>
        </row>
        <row r="42">
          <cell r="AA42">
            <v>61898.634880000012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5047.9957499999982</v>
          </cell>
        </row>
        <row r="46">
          <cell r="AA46">
            <v>-28787.826809999999</v>
          </cell>
        </row>
        <row r="47">
          <cell r="AA47">
            <v>6695.5221599999995</v>
          </cell>
        </row>
        <row r="48">
          <cell r="AA48">
            <v>0</v>
          </cell>
        </row>
        <row r="49">
          <cell r="AA49">
            <v>-377.976765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-9367.7182000000012</v>
          </cell>
        </row>
        <row r="58">
          <cell r="AA58">
            <v>1317.5873999999999</v>
          </cell>
        </row>
        <row r="60">
          <cell r="AA60">
            <v>689654.96549087029</v>
          </cell>
        </row>
        <row r="61">
          <cell r="AA61">
            <v>0</v>
          </cell>
        </row>
        <row r="62">
          <cell r="AA62">
            <v>1218685.3397996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Procedures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OA Flash"/>
      <sheetName val="OA Flash-Gulf3"/>
      <sheetName val="OA Flash-Gulf4"/>
      <sheetName val="OA Flash-Gulf Totals"/>
      <sheetName val="WeaponX"/>
      <sheetName val="Gulf3 Physical"/>
      <sheetName val="Gulf3 Sum"/>
      <sheetName val="Vicki's Summary"/>
      <sheetName val="Gulf4 Physical"/>
      <sheetName val="Gulf5 Sum"/>
      <sheetName val="Mkt3 Summ"/>
      <sheetName val="Gulf4 Summ"/>
      <sheetName val="Scott's Summary"/>
      <sheetName val="Chuck's Summary"/>
      <sheetName val="Total Summary "/>
      <sheetName val="YTD"/>
      <sheetName val="Andersen"/>
      <sheetName val="Daily Macros"/>
      <sheetName val="Monthly Macros"/>
    </sheetNames>
    <sheetDataSet>
      <sheetData sheetId="0"/>
      <sheetData sheetId="1">
        <row r="39">
          <cell r="AQ39">
            <v>6537</v>
          </cell>
        </row>
        <row r="41">
          <cell r="AQ41">
            <v>693936.04059999995</v>
          </cell>
        </row>
        <row r="42">
          <cell r="AQ42">
            <v>2444296.4503999995</v>
          </cell>
        </row>
        <row r="43">
          <cell r="AQ43">
            <v>-3556807.9388000006</v>
          </cell>
        </row>
        <row r="44">
          <cell r="AQ44">
            <v>-7398092.0424999995</v>
          </cell>
        </row>
        <row r="45">
          <cell r="AQ45">
            <v>0.93959999999999999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-8.1506000000000043</v>
          </cell>
        </row>
        <row r="57">
          <cell r="AQ57">
            <v>-44.955599999999968</v>
          </cell>
        </row>
        <row r="58">
          <cell r="AQ58">
            <v>430.95919999999995</v>
          </cell>
        </row>
        <row r="60">
          <cell r="AQ60">
            <v>352562.74280000007</v>
          </cell>
        </row>
        <row r="61">
          <cell r="AQ61">
            <v>0</v>
          </cell>
        </row>
        <row r="62">
          <cell r="AQ62">
            <v>-6674882.6097999997</v>
          </cell>
        </row>
        <row r="63">
          <cell r="AQ63">
            <v>-6322318.8670000006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New England Physical"/>
      <sheetName val="New England Sum"/>
      <sheetName val="CNG Physical"/>
      <sheetName val="CNG Sum"/>
      <sheetName val="TCO Physical"/>
      <sheetName val="TCO Sum"/>
      <sheetName val="Total Summary"/>
      <sheetName val="P&amp;L Reasonablity Verbage"/>
      <sheetName val="Explanation"/>
      <sheetName val="OA Flash"/>
      <sheetName val="OA Flash-New Eng"/>
      <sheetName val="OA Flash-TCO"/>
      <sheetName val="OA Flash-Mkt Totals"/>
      <sheetName val="CurveShift.xls"/>
      <sheetName val="ChangeDealReport.xls"/>
      <sheetName val="CounterPartySummary.xls"/>
      <sheetName val="NewDealReport.xls"/>
      <sheetName val="ExpenseComparison.xls"/>
      <sheetName val="RevenueComparison.xls"/>
      <sheetName val="EOLNEWDEALS"/>
      <sheetName val="Daily Macros"/>
      <sheetName val="Monthly Macros"/>
    </sheetNames>
    <sheetDataSet>
      <sheetData sheetId="0"/>
      <sheetData sheetId="1">
        <row r="39">
          <cell r="AQ39">
            <v>9293</v>
          </cell>
        </row>
        <row r="41">
          <cell r="AQ41">
            <v>-80199.625699999931</v>
          </cell>
        </row>
        <row r="42">
          <cell r="AQ42">
            <v>-471168.69980000047</v>
          </cell>
        </row>
        <row r="43">
          <cell r="AQ43">
            <v>491400.51330000005</v>
          </cell>
        </row>
        <row r="44">
          <cell r="AQ44">
            <v>2762557.2122</v>
          </cell>
        </row>
        <row r="45">
          <cell r="AQ45">
            <v>114805.80699999999</v>
          </cell>
        </row>
        <row r="46">
          <cell r="AQ46">
            <v>-14142.289999999999</v>
          </cell>
        </row>
        <row r="47">
          <cell r="AQ47">
            <v>-142667.19740000003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37100.719300000004</v>
          </cell>
        </row>
        <row r="57">
          <cell r="AQ57">
            <v>1847.5807000000004</v>
          </cell>
        </row>
        <row r="58">
          <cell r="AQ58">
            <v>6603.7543999999998</v>
          </cell>
        </row>
        <row r="60">
          <cell r="AQ60">
            <v>4386606.3768000007</v>
          </cell>
        </row>
        <row r="61">
          <cell r="AQ61">
            <v>1</v>
          </cell>
        </row>
        <row r="62">
          <cell r="AQ62">
            <v>10250757.267199995</v>
          </cell>
        </row>
        <row r="63">
          <cell r="AQ63">
            <v>14637364.643999999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WeaponX"/>
      <sheetName val="Gulf 2 Physical"/>
      <sheetName val="Gulf2 Summ"/>
      <sheetName val="OA Flash Gulf2"/>
      <sheetName val="Daily Macros"/>
      <sheetName val="Monthly Macros"/>
    </sheetNames>
    <sheetDataSet>
      <sheetData sheetId="0"/>
      <sheetData sheetId="1">
        <row r="39">
          <cell r="W39">
            <v>6875</v>
          </cell>
        </row>
        <row r="41">
          <cell r="W41">
            <v>272805.38410000008</v>
          </cell>
        </row>
        <row r="42">
          <cell r="W42">
            <v>570967.01980000013</v>
          </cell>
        </row>
        <row r="43">
          <cell r="W43">
            <v>-93230.02720000004</v>
          </cell>
        </row>
        <row r="44">
          <cell r="W44">
            <v>-2961484.4507999998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-0.33479999999999777</v>
          </cell>
        </row>
        <row r="57">
          <cell r="W57">
            <v>-29.25409999999999</v>
          </cell>
        </row>
        <row r="58">
          <cell r="W58">
            <v>339.63330000000008</v>
          </cell>
        </row>
        <row r="60">
          <cell r="W60">
            <v>917574.46790000005</v>
          </cell>
        </row>
        <row r="61">
          <cell r="W61">
            <v>0</v>
          </cell>
        </row>
        <row r="62">
          <cell r="W62">
            <v>5979634.5305999992</v>
          </cell>
        </row>
        <row r="63">
          <cell r="W63">
            <v>6897208.9985000007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Gulf1 Reconcile"/>
      <sheetName val="New York Reconcile"/>
      <sheetName val="Daily Macros"/>
      <sheetName val="Monthly Macros"/>
    </sheetNames>
    <sheetDataSet>
      <sheetData sheetId="0"/>
      <sheetData sheetId="1">
        <row r="39">
          <cell r="AG39">
            <v>43239</v>
          </cell>
        </row>
        <row r="41">
          <cell r="AG41">
            <v>-2356495.6796999993</v>
          </cell>
        </row>
        <row r="42">
          <cell r="AG42">
            <v>-1873309.9117000047</v>
          </cell>
        </row>
        <row r="43">
          <cell r="AG43">
            <v>-2898193.2904000003</v>
          </cell>
        </row>
        <row r="44">
          <cell r="AG44">
            <v>-5990427.1747000003</v>
          </cell>
        </row>
        <row r="45">
          <cell r="AG45">
            <v>-1.4200000000000001E-2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-1911.2679999999996</v>
          </cell>
        </row>
        <row r="57">
          <cell r="AG57">
            <v>-9893.6338999999953</v>
          </cell>
        </row>
        <row r="58">
          <cell r="AG58">
            <v>-28695.147500000006</v>
          </cell>
        </row>
        <row r="60">
          <cell r="AG60">
            <v>-13653720.489700001</v>
          </cell>
        </row>
        <row r="61">
          <cell r="AG61">
            <v>-9</v>
          </cell>
        </row>
        <row r="62">
          <cell r="AG62">
            <v>65746606.793800026</v>
          </cell>
        </row>
        <row r="63">
          <cell r="AG63">
            <v>52092877.404100016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Roll-35"/>
      <sheetName val="Roll-36"/>
      <sheetName val="Roll-37"/>
      <sheetName val="Roll-38"/>
      <sheetName val="Roll-39"/>
      <sheetName val="Roll-40"/>
      <sheetName val="Roll-41"/>
      <sheetName val="Roll-42"/>
      <sheetName val="WeaponX"/>
      <sheetName val="East TP1 Physical"/>
      <sheetName val="TP1 Sum"/>
      <sheetName val="East TP2 Physical"/>
      <sheetName val="TP2 Sum"/>
      <sheetName val="East TP3 Physical"/>
      <sheetName val="TP3 Sum"/>
      <sheetName val="Total Summary"/>
      <sheetName val="Trans Hedge Sum"/>
      <sheetName val="CES-ENTGY"/>
      <sheetName val="ST-HATT"/>
      <sheetName val="CES-TVSG"/>
      <sheetName val="CES-LGS"/>
      <sheetName val="ST-NAP"/>
      <sheetName val="OA Flash"/>
      <sheetName val="OA Flash-TP1"/>
      <sheetName val="OA Flash-TP2"/>
      <sheetName val="OA Flash-TP3"/>
      <sheetName val="OA Flash-Entergy"/>
      <sheetName val="OA Flash-Hatt"/>
      <sheetName val="OA Flash-TVSG"/>
      <sheetName val="OA Flash-LGS"/>
      <sheetName val="OA Flash-Nap"/>
      <sheetName val="AA Explanations"/>
      <sheetName val="Daily Macros"/>
      <sheetName val="Monthly Macros"/>
    </sheetNames>
    <sheetDataSet>
      <sheetData sheetId="0"/>
      <sheetData sheetId="1">
        <row r="39">
          <cell r="CI39">
            <v>8343</v>
          </cell>
        </row>
        <row r="41">
          <cell r="CI41">
            <v>166136.68709999998</v>
          </cell>
        </row>
        <row r="42">
          <cell r="CI42">
            <v>2618482.608800001</v>
          </cell>
        </row>
        <row r="43">
          <cell r="CI43">
            <v>-43020.554400000001</v>
          </cell>
        </row>
        <row r="44">
          <cell r="CI44">
            <v>24313.973600000001</v>
          </cell>
        </row>
        <row r="45">
          <cell r="CI45">
            <v>32661.297199999994</v>
          </cell>
        </row>
        <row r="46">
          <cell r="CI46">
            <v>-7933.157799999999</v>
          </cell>
        </row>
        <row r="47">
          <cell r="CI47">
            <v>-59647.5818</v>
          </cell>
        </row>
        <row r="48">
          <cell r="CI48">
            <v>0</v>
          </cell>
        </row>
        <row r="49">
          <cell r="CI49">
            <v>0</v>
          </cell>
        </row>
        <row r="51">
          <cell r="CI51">
            <v>0</v>
          </cell>
        </row>
        <row r="52">
          <cell r="CI52">
            <v>-20971.226900000001</v>
          </cell>
        </row>
        <row r="57">
          <cell r="CI57">
            <v>-3857.231400000001</v>
          </cell>
        </row>
        <row r="58">
          <cell r="CI58">
            <v>48519.385699999999</v>
          </cell>
        </row>
        <row r="60">
          <cell r="CI60">
            <v>27853374.355300002</v>
          </cell>
        </row>
        <row r="61">
          <cell r="CI61">
            <v>0</v>
          </cell>
        </row>
        <row r="62">
          <cell r="CI62">
            <v>-5233673.9508999977</v>
          </cell>
        </row>
        <row r="63">
          <cell r="CI63">
            <v>22619701.277500007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6"/>
      <sheetName val="Roll-17"/>
      <sheetName val="Roll-18"/>
      <sheetName val="Roll-19"/>
      <sheetName val="Roll-20"/>
      <sheetName val="Roll-21"/>
      <sheetName val="WeaponX"/>
      <sheetName val="Other(old)"/>
      <sheetName val="Gulf NGPL Physical"/>
      <sheetName val="Phys Sum-Gulf NGPL"/>
      <sheetName val="NGPL Storage"/>
      <sheetName val="Gulf Physical"/>
      <sheetName val="Phys Sum-Gulf"/>
      <sheetName val="Total Physical"/>
      <sheetName val="OA Flash"/>
      <sheetName val="P&amp;L Summary"/>
      <sheetName val="Daily Macros"/>
      <sheetName val="Monthly Macros"/>
    </sheetNames>
    <sheetDataSet>
      <sheetData sheetId="0"/>
      <sheetData sheetId="1">
        <row r="39">
          <cell r="AS39">
            <v>10300</v>
          </cell>
        </row>
        <row r="41">
          <cell r="AS41">
            <v>-483321.21309999999</v>
          </cell>
        </row>
        <row r="42">
          <cell r="AS42">
            <v>1701833.4058000001</v>
          </cell>
        </row>
        <row r="43">
          <cell r="AS43">
            <v>97168.114199999996</v>
          </cell>
        </row>
        <row r="44">
          <cell r="AS44">
            <v>65489.990399999995</v>
          </cell>
        </row>
        <row r="45">
          <cell r="AS45">
            <v>0</v>
          </cell>
        </row>
        <row r="46">
          <cell r="AS46">
            <v>0</v>
          </cell>
        </row>
        <row r="47">
          <cell r="AS47">
            <v>0</v>
          </cell>
        </row>
        <row r="48">
          <cell r="AS48">
            <v>0</v>
          </cell>
        </row>
        <row r="49">
          <cell r="AS49">
            <v>0</v>
          </cell>
        </row>
        <row r="51">
          <cell r="AS51">
            <v>0</v>
          </cell>
        </row>
        <row r="52">
          <cell r="AS52">
            <v>195.84980000000002</v>
          </cell>
        </row>
        <row r="57">
          <cell r="AS57">
            <v>797.48259999999971</v>
          </cell>
        </row>
        <row r="58">
          <cell r="AS58">
            <v>9169.681700000001</v>
          </cell>
        </row>
        <row r="60">
          <cell r="AS60">
            <v>6653966.5502000004</v>
          </cell>
        </row>
        <row r="61">
          <cell r="AS61">
            <v>0</v>
          </cell>
        </row>
        <row r="62">
          <cell r="AS62">
            <v>24631192.089899998</v>
          </cell>
        </row>
        <row r="63">
          <cell r="AS63">
            <v>31285158.2119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Mgmt"/>
      <sheetName val="OA Flash"/>
      <sheetName val="Orig Sched"/>
      <sheetName val="Daily Macros"/>
      <sheetName val="Monthly Macros"/>
    </sheetNames>
    <sheetDataSet>
      <sheetData sheetId="0"/>
      <sheetData sheetId="1"/>
      <sheetData sheetId="2">
        <row r="39">
          <cell r="Q39">
            <v>0</v>
          </cell>
        </row>
        <row r="41">
          <cell r="Q41">
            <v>853192.28630000027</v>
          </cell>
        </row>
        <row r="42">
          <cell r="Q42">
            <v>2373418.843600003</v>
          </cell>
        </row>
        <row r="43">
          <cell r="Q43">
            <v>-468391.95779999992</v>
          </cell>
        </row>
        <row r="44">
          <cell r="Q44">
            <v>-2937385.3595999996</v>
          </cell>
        </row>
        <row r="45">
          <cell r="Q45">
            <v>245068.42340000003</v>
          </cell>
        </row>
        <row r="46">
          <cell r="Q46">
            <v>-141851.0759</v>
          </cell>
        </row>
        <row r="47">
          <cell r="Q47">
            <v>-200007.67810000002</v>
          </cell>
        </row>
        <row r="48">
          <cell r="Q48">
            <v>0</v>
          </cell>
        </row>
        <row r="49">
          <cell r="Q49">
            <v>-620</v>
          </cell>
        </row>
        <row r="51">
          <cell r="Q51">
            <v>0</v>
          </cell>
        </row>
        <row r="52">
          <cell r="Q52">
            <v>36505.169599999994</v>
          </cell>
        </row>
        <row r="57">
          <cell r="Q57">
            <v>-42792.414899999989</v>
          </cell>
        </row>
        <row r="58">
          <cell r="Q58">
            <v>30706.598299999998</v>
          </cell>
        </row>
        <row r="60">
          <cell r="Q60">
            <v>9431320.0572999995</v>
          </cell>
        </row>
        <row r="61">
          <cell r="Q61">
            <v>2</v>
          </cell>
        </row>
        <row r="62">
          <cell r="Q62">
            <v>75923494.710899994</v>
          </cell>
        </row>
        <row r="63">
          <cell r="Q63">
            <v>85354816.768199995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15"/>
      <sheetName val="Roll-16"/>
      <sheetName val="WeaponX"/>
      <sheetName val="Central Mich Physical"/>
      <sheetName val="Phys Sum-Market Mich"/>
      <sheetName val="Ont Weapon X"/>
      <sheetName val="Ont Phys"/>
      <sheetName val="Ont Phys Sum"/>
      <sheetName val="Total Phys Sum"/>
      <sheetName val="Ont OA Flash"/>
      <sheetName val="OA Flash"/>
      <sheetName val="Demand Charges-Ont"/>
      <sheetName val="Positions"/>
      <sheetName val="Daily Macros"/>
      <sheetName val="Monthly Macros"/>
    </sheetNames>
    <sheetDataSet>
      <sheetData sheetId="0">
        <row r="39">
          <cell r="AQ39">
            <v>0</v>
          </cell>
        </row>
        <row r="41">
          <cell r="AQ41">
            <v>-818272.23249999993</v>
          </cell>
        </row>
        <row r="42">
          <cell r="AQ42">
            <v>1560917.3156999997</v>
          </cell>
        </row>
        <row r="43">
          <cell r="AQ43">
            <v>-547780.8899999999</v>
          </cell>
        </row>
        <row r="44">
          <cell r="AQ44">
            <v>-8227514.4324000012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50.483699999999999</v>
          </cell>
        </row>
        <row r="57">
          <cell r="AQ57">
            <v>-6.7749000000000024</v>
          </cell>
        </row>
        <row r="58">
          <cell r="AQ58">
            <v>-112.4462</v>
          </cell>
        </row>
        <row r="60">
          <cell r="AQ60">
            <v>26362.791100000031</v>
          </cell>
        </row>
        <row r="61">
          <cell r="AQ61">
            <v>0</v>
          </cell>
        </row>
        <row r="62">
          <cell r="AQ62">
            <v>-5622465.6174999978</v>
          </cell>
        </row>
        <row r="63">
          <cell r="AQ63">
            <v>-5596102.8471999969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Top Pages"/>
      <sheetName val="Report"/>
      <sheetName val="Input"/>
      <sheetName val="Roll-1"/>
      <sheetName val="Roll-2"/>
      <sheetName val="Roll-3"/>
      <sheetName val="Roll-4"/>
      <sheetName val="Roll-5"/>
      <sheetName val="WeaponX"/>
      <sheetName val="OA Flash"/>
      <sheetName val="Central Mich CG Physical"/>
      <sheetName val="Phys Sum-Market CG"/>
      <sheetName val="Demand Charge"/>
      <sheetName val="Daily Macros"/>
      <sheetName val="Monthly Macros"/>
    </sheetNames>
    <sheetDataSet>
      <sheetData sheetId="0"/>
      <sheetData sheetId="1"/>
      <sheetData sheetId="2">
        <row r="39">
          <cell r="AQ39">
            <v>0</v>
          </cell>
        </row>
        <row r="41">
          <cell r="AQ41">
            <v>869321.28800000006</v>
          </cell>
        </row>
        <row r="42">
          <cell r="AQ42">
            <v>2276978.7147999993</v>
          </cell>
        </row>
        <row r="43">
          <cell r="AQ43">
            <v>368588.11860000005</v>
          </cell>
        </row>
        <row r="44">
          <cell r="AQ44">
            <v>1420172.0061999997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340.69229999999999</v>
          </cell>
        </row>
        <row r="57">
          <cell r="AQ57">
            <v>64.438099999999991</v>
          </cell>
        </row>
        <row r="58">
          <cell r="AQ58">
            <v>1424.0216999999998</v>
          </cell>
        </row>
        <row r="60">
          <cell r="AQ60">
            <v>2901200.5285</v>
          </cell>
        </row>
        <row r="61">
          <cell r="AQ61">
            <v>0</v>
          </cell>
        </row>
        <row r="62">
          <cell r="AQ62">
            <v>5351855.2380000008</v>
          </cell>
        </row>
        <row r="63">
          <cell r="AQ63">
            <v>8253055.591500001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 South Breakout"/>
      <sheetName val="Mid North Breakout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Midcon North Physical"/>
      <sheetName val="Phys Sum-Mid North"/>
      <sheetName val="Midcon South Physical"/>
      <sheetName val="Phys Sum-Mid South"/>
      <sheetName val="Total Physical"/>
      <sheetName val="OA Flash"/>
      <sheetName val="Mid N Rec"/>
      <sheetName val="Mid S Rec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E39">
            <v>0</v>
          </cell>
        </row>
        <row r="41">
          <cell r="AE41">
            <v>-63776.77720000007</v>
          </cell>
        </row>
        <row r="42">
          <cell r="AE42">
            <v>760016.50280000048</v>
          </cell>
        </row>
        <row r="43">
          <cell r="AE43">
            <v>-67991.241200000033</v>
          </cell>
        </row>
        <row r="44">
          <cell r="AE44">
            <v>3825068.3666999997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-612</v>
          </cell>
        </row>
        <row r="51">
          <cell r="AE51">
            <v>0</v>
          </cell>
        </row>
        <row r="52">
          <cell r="AE52">
            <v>51.168700000000008</v>
          </cell>
        </row>
        <row r="57">
          <cell r="AE57">
            <v>-84.542299999999983</v>
          </cell>
        </row>
        <row r="58">
          <cell r="AE58">
            <v>-707.51310000000012</v>
          </cell>
        </row>
        <row r="60">
          <cell r="AE60">
            <v>959624.59920000017</v>
          </cell>
        </row>
        <row r="61">
          <cell r="AE61">
            <v>0</v>
          </cell>
        </row>
        <row r="62">
          <cell r="AE62">
            <v>19461349.5229</v>
          </cell>
        </row>
        <row r="63">
          <cell r="AE63">
            <v>20420974.122099999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Sheet1"/>
      <sheetName val="Roll-1"/>
      <sheetName val="Roll-2"/>
      <sheetName val="Roll-6"/>
      <sheetName val="Roll-9"/>
      <sheetName val="Roll-3"/>
      <sheetName val="Roll-4"/>
      <sheetName val="Roll-7"/>
      <sheetName val="Roll-5"/>
      <sheetName val="Roll-8"/>
      <sheetName val="Roll-10"/>
      <sheetName val="Top Pages"/>
      <sheetName val="Module1"/>
      <sheetName val="Module2"/>
    </sheetNames>
    <sheetDataSet>
      <sheetData sheetId="0"/>
      <sheetData sheetId="1">
        <row r="39">
          <cell r="W39">
            <v>204.05</v>
          </cell>
        </row>
        <row r="41">
          <cell r="W41">
            <v>860.27231000000006</v>
          </cell>
        </row>
        <row r="42">
          <cell r="W42">
            <v>12442.40788000001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907.75</v>
          </cell>
        </row>
        <row r="46">
          <cell r="W46">
            <v>15251.326999999999</v>
          </cell>
        </row>
        <row r="47">
          <cell r="W47">
            <v>-14791.701999999999</v>
          </cell>
        </row>
        <row r="48">
          <cell r="W48">
            <v>0</v>
          </cell>
        </row>
        <row r="49">
          <cell r="W49">
            <v>-220.41729999999998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-818.62265000000014</v>
          </cell>
        </row>
        <row r="58">
          <cell r="W58">
            <v>424.95560999999998</v>
          </cell>
        </row>
        <row r="60">
          <cell r="W60">
            <v>208044.14405999996</v>
          </cell>
        </row>
        <row r="61">
          <cell r="W61">
            <v>0</v>
          </cell>
        </row>
        <row r="62">
          <cell r="W62">
            <v>-34927.717439699991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stId"/>
      <sheetName val="Input"/>
      <sheetName val="Break Out"/>
      <sheetName val="Report"/>
      <sheetName val="Top Pages"/>
      <sheetName val="Roll-1"/>
      <sheetName val="Roll-2"/>
      <sheetName val="Roll-3"/>
      <sheetName val="Roll-5"/>
      <sheetName val="Roll-4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Demand Charges"/>
      <sheetName val="Physical Transport"/>
      <sheetName val="OA Flash Central"/>
      <sheetName val="Daily Macros"/>
      <sheetName val="Monthly Macros"/>
    </sheetNames>
    <sheetDataSet>
      <sheetData sheetId="0"/>
      <sheetData sheetId="1"/>
      <sheetData sheetId="2"/>
      <sheetData sheetId="3"/>
      <sheetData sheetId="4">
        <row r="39">
          <cell r="AK39">
            <v>27.85</v>
          </cell>
        </row>
        <row r="41">
          <cell r="AK41">
            <v>1699298.3851000003</v>
          </cell>
        </row>
        <row r="42">
          <cell r="AK42">
            <v>504158.57139999873</v>
          </cell>
        </row>
        <row r="43">
          <cell r="AK43">
            <v>4260679.0699000033</v>
          </cell>
        </row>
        <row r="44">
          <cell r="AK44">
            <v>-1070416.7710000004</v>
          </cell>
        </row>
        <row r="45">
          <cell r="AK45">
            <v>792552.26940000011</v>
          </cell>
        </row>
        <row r="46">
          <cell r="AK46">
            <v>0</v>
          </cell>
        </row>
        <row r="47">
          <cell r="AK47">
            <v>-154233.63149999999</v>
          </cell>
        </row>
        <row r="48">
          <cell r="AK48">
            <v>0</v>
          </cell>
        </row>
        <row r="49">
          <cell r="AK49">
            <v>-1045</v>
          </cell>
        </row>
        <row r="51">
          <cell r="AK51">
            <v>0</v>
          </cell>
        </row>
        <row r="52">
          <cell r="AK52">
            <v>-1039452.6873999999</v>
          </cell>
        </row>
        <row r="57">
          <cell r="AK57">
            <v>5249.3083999999981</v>
          </cell>
        </row>
        <row r="58">
          <cell r="AK58">
            <v>21440.142399999997</v>
          </cell>
        </row>
        <row r="60">
          <cell r="AK60">
            <v>19333742.5715</v>
          </cell>
        </row>
        <row r="61">
          <cell r="AK61">
            <v>0</v>
          </cell>
        </row>
        <row r="62">
          <cell r="AK62">
            <v>36251553.804000005</v>
          </cell>
        </row>
        <row r="63">
          <cell r="AK63">
            <v>55585296.484200008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CAL Physical"/>
      <sheetName val="WC CAL Sum"/>
      <sheetName val="OA Flash-WC CAL"/>
      <sheetName val="Daily Macros"/>
      <sheetName val="Monthly Macros"/>
    </sheetNames>
    <sheetDataSet>
      <sheetData sheetId="0"/>
      <sheetData sheetId="1">
        <row r="39">
          <cell r="AK39">
            <v>162227</v>
          </cell>
        </row>
        <row r="41">
          <cell r="AK41">
            <v>-2164485.2669000002</v>
          </cell>
        </row>
        <row r="42">
          <cell r="AK42">
            <v>2196847.8018999975</v>
          </cell>
        </row>
        <row r="43">
          <cell r="AK43">
            <v>-1916925.802700018</v>
          </cell>
        </row>
        <row r="44">
          <cell r="AK44">
            <v>2778164.2078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0</v>
          </cell>
        </row>
        <row r="51">
          <cell r="AK51">
            <v>0</v>
          </cell>
        </row>
        <row r="52">
          <cell r="AK52">
            <v>175.40219999999994</v>
          </cell>
        </row>
        <row r="57">
          <cell r="AK57">
            <v>-410667.31800000009</v>
          </cell>
        </row>
        <row r="58">
          <cell r="AK58">
            <v>-135055.65269999998</v>
          </cell>
        </row>
        <row r="60">
          <cell r="AK60">
            <v>-83495368.507600009</v>
          </cell>
        </row>
        <row r="61">
          <cell r="AK61">
            <v>0</v>
          </cell>
        </row>
        <row r="62">
          <cell r="AK62">
            <v>354853929.73719996</v>
          </cell>
        </row>
        <row r="63">
          <cell r="AK63">
            <v>271358561.22959995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T ROX Physical"/>
      <sheetName val="WT ROX Sum"/>
      <sheetName val="OA Flash-WT ROX"/>
      <sheetName val="PMA's"/>
      <sheetName val="Daily Macros"/>
      <sheetName val="Monthly Macros"/>
      <sheetName val="WC PERM Physical"/>
      <sheetName val="West PERM Sum"/>
      <sheetName val="OA Flash-PERM"/>
    </sheetNames>
    <sheetDataSet>
      <sheetData sheetId="0">
        <row r="39">
          <cell r="M39">
            <v>0</v>
          </cell>
          <cell r="Z39">
            <v>1210</v>
          </cell>
        </row>
        <row r="41">
          <cell r="M41">
            <v>0</v>
          </cell>
          <cell r="Z41">
            <v>648067.90970000008</v>
          </cell>
        </row>
        <row r="42">
          <cell r="M42">
            <v>0</v>
          </cell>
          <cell r="Z42">
            <v>-4392652.7087999983</v>
          </cell>
        </row>
        <row r="43">
          <cell r="M43">
            <v>0</v>
          </cell>
          <cell r="Z43">
            <v>454708.52170000004</v>
          </cell>
        </row>
        <row r="44">
          <cell r="M44">
            <v>0</v>
          </cell>
          <cell r="Z44">
            <v>0</v>
          </cell>
        </row>
        <row r="45">
          <cell r="M45">
            <v>0</v>
          </cell>
          <cell r="Z45">
            <v>0</v>
          </cell>
        </row>
        <row r="46">
          <cell r="M46">
            <v>0</v>
          </cell>
          <cell r="Z46">
            <v>0</v>
          </cell>
        </row>
        <row r="47">
          <cell r="M47">
            <v>0</v>
          </cell>
          <cell r="Z47">
            <v>0</v>
          </cell>
        </row>
        <row r="48">
          <cell r="M48">
            <v>0</v>
          </cell>
          <cell r="Z48">
            <v>0</v>
          </cell>
        </row>
        <row r="49">
          <cell r="M49">
            <v>0</v>
          </cell>
          <cell r="Z49">
            <v>0</v>
          </cell>
        </row>
        <row r="51">
          <cell r="M51">
            <v>0</v>
          </cell>
          <cell r="Z51">
            <v>0</v>
          </cell>
        </row>
        <row r="52">
          <cell r="M52">
            <v>0</v>
          </cell>
          <cell r="Z52">
            <v>-810.15279999999962</v>
          </cell>
        </row>
        <row r="57">
          <cell r="M57">
            <v>0</v>
          </cell>
          <cell r="Z57">
            <v>-3839.554599999999</v>
          </cell>
        </row>
        <row r="58">
          <cell r="M58">
            <v>0</v>
          </cell>
          <cell r="Z58">
            <v>-6582.4602999999997</v>
          </cell>
        </row>
        <row r="60">
          <cell r="M60">
            <v>0</v>
          </cell>
          <cell r="Z60">
            <v>-9104986.6907000002</v>
          </cell>
        </row>
        <row r="61">
          <cell r="M61">
            <v>0</v>
          </cell>
          <cell r="Z61">
            <v>0</v>
          </cell>
        </row>
        <row r="62">
          <cell r="M62">
            <v>-19873593.286700003</v>
          </cell>
          <cell r="Z62">
            <v>676754.96680000448</v>
          </cell>
        </row>
        <row r="63">
          <cell r="M63">
            <v>-19873593.286700003</v>
          </cell>
          <cell r="Z63">
            <v>-8428231.7238999959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WeaponX"/>
      <sheetName val="WC ROX Sum"/>
      <sheetName val="WC ROX Physical"/>
      <sheetName val="OA Flash-WC ROX"/>
      <sheetName val="AA"/>
      <sheetName val="Daily Macros"/>
      <sheetName val="Monthly Macros"/>
      <sheetName val="Total Summary"/>
    </sheetNames>
    <sheetDataSet>
      <sheetData sheetId="0">
        <row r="39">
          <cell r="M39">
            <v>0</v>
          </cell>
          <cell r="AQ39">
            <v>0</v>
          </cell>
        </row>
        <row r="41">
          <cell r="M41">
            <v>-396883</v>
          </cell>
          <cell r="AQ41">
            <v>124446.49479999999</v>
          </cell>
        </row>
        <row r="42">
          <cell r="M42">
            <v>0</v>
          </cell>
          <cell r="AQ42">
            <v>70413.631199990108</v>
          </cell>
        </row>
        <row r="43">
          <cell r="M43">
            <v>170459</v>
          </cell>
          <cell r="AQ43">
            <v>1743418.4469999997</v>
          </cell>
        </row>
        <row r="44">
          <cell r="M44">
            <v>0</v>
          </cell>
          <cell r="AQ44">
            <v>442016.99959999998</v>
          </cell>
        </row>
        <row r="45">
          <cell r="M45">
            <v>0</v>
          </cell>
          <cell r="AQ45">
            <v>0</v>
          </cell>
        </row>
        <row r="46">
          <cell r="M46">
            <v>0</v>
          </cell>
          <cell r="AQ46">
            <v>0</v>
          </cell>
        </row>
        <row r="47">
          <cell r="M47">
            <v>0</v>
          </cell>
          <cell r="AQ47">
            <v>0</v>
          </cell>
        </row>
        <row r="48">
          <cell r="M48">
            <v>0</v>
          </cell>
          <cell r="AQ48">
            <v>0</v>
          </cell>
        </row>
        <row r="49">
          <cell r="M49">
            <v>0</v>
          </cell>
          <cell r="AQ49">
            <v>0</v>
          </cell>
        </row>
        <row r="51">
          <cell r="M51">
            <v>0</v>
          </cell>
          <cell r="AQ51">
            <v>0</v>
          </cell>
        </row>
        <row r="52">
          <cell r="M52">
            <v>0</v>
          </cell>
          <cell r="AQ52">
            <v>5580.1108999999979</v>
          </cell>
        </row>
        <row r="57">
          <cell r="O57">
            <v>1540.2552999999998</v>
          </cell>
          <cell r="AS57">
            <v>18825.92099999978</v>
          </cell>
        </row>
        <row r="58">
          <cell r="O58">
            <v>8942.6746999999996</v>
          </cell>
          <cell r="AS58">
            <v>-156219.00470000017</v>
          </cell>
        </row>
        <row r="60">
          <cell r="M60">
            <v>-226424</v>
          </cell>
          <cell r="AQ60">
            <v>-36114980.240600012</v>
          </cell>
        </row>
        <row r="61">
          <cell r="M61">
            <v>0</v>
          </cell>
          <cell r="AQ61">
            <v>0</v>
          </cell>
        </row>
        <row r="62">
          <cell r="M62">
            <v>0</v>
          </cell>
          <cell r="AQ62">
            <v>25920505.660800003</v>
          </cell>
        </row>
        <row r="63">
          <cell r="M63">
            <v>-226424</v>
          </cell>
          <cell r="AQ63">
            <v>-10194474.579800013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SJ Physical"/>
      <sheetName val="FT-WC SJ Sum"/>
      <sheetName val="WT SJ Physical"/>
      <sheetName val="FT-WT SJ Sum"/>
      <sheetName val="Total Summary"/>
      <sheetName val="Explanations"/>
      <sheetName val="OA Flash"/>
      <sheetName val="OA Flash-WC SJ"/>
      <sheetName val="OA Flash-WT SJ"/>
      <sheetName val="Daily Macros"/>
      <sheetName val="Monthly Macros"/>
    </sheetNames>
    <sheetDataSet>
      <sheetData sheetId="0">
        <row r="39">
          <cell r="AM39">
            <v>2495</v>
          </cell>
        </row>
        <row r="41">
          <cell r="AM41">
            <v>-2872966.9662000001</v>
          </cell>
        </row>
        <row r="42">
          <cell r="AM42">
            <v>-3234914.8640999994</v>
          </cell>
        </row>
        <row r="43">
          <cell r="AM43">
            <v>-548558.91260000016</v>
          </cell>
        </row>
        <row r="44">
          <cell r="AM44">
            <v>-1231229.8757000002</v>
          </cell>
        </row>
        <row r="45">
          <cell r="AM45">
            <v>0</v>
          </cell>
        </row>
        <row r="46">
          <cell r="AM46">
            <v>0</v>
          </cell>
        </row>
        <row r="47">
          <cell r="AM47">
            <v>0</v>
          </cell>
        </row>
        <row r="48">
          <cell r="AM48">
            <v>0</v>
          </cell>
        </row>
        <row r="49">
          <cell r="AM49">
            <v>-4839</v>
          </cell>
        </row>
        <row r="51">
          <cell r="AM51">
            <v>0</v>
          </cell>
        </row>
        <row r="52">
          <cell r="AM52">
            <v>-1052.2895000000001</v>
          </cell>
        </row>
        <row r="57">
          <cell r="AM57">
            <v>-991.40849999999989</v>
          </cell>
        </row>
        <row r="58">
          <cell r="AM58">
            <v>-2043.681700000001</v>
          </cell>
        </row>
        <row r="60">
          <cell r="AM60">
            <v>-5925022.8114</v>
          </cell>
        </row>
        <row r="61">
          <cell r="AM61">
            <v>0</v>
          </cell>
        </row>
        <row r="62">
          <cell r="AM62">
            <v>14433251.061499996</v>
          </cell>
        </row>
        <row r="63">
          <cell r="AM63">
            <v>8508228.0300999954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ostIDS"/>
      <sheetName val="Notes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0</v>
          </cell>
        </row>
        <row r="42">
          <cell r="AA42">
            <v>2.2597000000023399</v>
          </cell>
        </row>
        <row r="43">
          <cell r="AA43">
            <v>6484.3586999998524</v>
          </cell>
        </row>
        <row r="44">
          <cell r="AA44">
            <v>92.345499999996647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20.028700000000001</v>
          </cell>
        </row>
        <row r="57">
          <cell r="AA57">
            <v>-38978.806000000004</v>
          </cell>
        </row>
        <row r="58">
          <cell r="AA58">
            <v>3927.5172999999995</v>
          </cell>
        </row>
        <row r="60">
          <cell r="AA60">
            <v>1185299.1738999998</v>
          </cell>
        </row>
        <row r="61">
          <cell r="AA61">
            <v>0</v>
          </cell>
        </row>
        <row r="62">
          <cell r="AA62">
            <v>-56896.670099996503</v>
          </cell>
        </row>
        <row r="63">
          <cell r="AA63">
            <v>1128404.5038000033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Aruba - WeaponX"/>
      <sheetName val="Trans - WeaponX"/>
      <sheetName val="Aruba - Physical"/>
      <sheetName val="T-Port Physical"/>
      <sheetName val="OA Flash"/>
      <sheetName val="OA Flash - Transport"/>
      <sheetName val="Aruba P&amp;L"/>
      <sheetName val="Trans P&amp;L"/>
      <sheetName val="Total P&amp;L"/>
      <sheetName val="Orig Sched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-20387.5</v>
          </cell>
        </row>
        <row r="42">
          <cell r="AA42">
            <v>0</v>
          </cell>
        </row>
        <row r="43">
          <cell r="AA43">
            <v>5387.5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0.10930000000000001</v>
          </cell>
        </row>
        <row r="57">
          <cell r="AA57">
            <v>-0.10930000000000001</v>
          </cell>
        </row>
        <row r="58">
          <cell r="AA58">
            <v>-1.1325000000000001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23171098.768799998</v>
          </cell>
        </row>
        <row r="63">
          <cell r="AA63">
            <v>23171656.768799998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579477.93299999996</v>
          </cell>
        </row>
        <row r="42">
          <cell r="AC42">
            <v>332656.01010000001</v>
          </cell>
        </row>
        <row r="43">
          <cell r="AC43">
            <v>3.0000000000000008E-4</v>
          </cell>
        </row>
        <row r="44">
          <cell r="AC44">
            <v>-18707.911199999999</v>
          </cell>
        </row>
        <row r="45">
          <cell r="AC45">
            <v>-0.28010000000000002</v>
          </cell>
        </row>
        <row r="46">
          <cell r="AC46">
            <v>0</v>
          </cell>
        </row>
        <row r="47">
          <cell r="AC47">
            <v>23.392099999999999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-1060.1831</v>
          </cell>
        </row>
        <row r="57">
          <cell r="AC57">
            <v>33768.824400000005</v>
          </cell>
        </row>
        <row r="58">
          <cell r="AC58">
            <v>13830.9661</v>
          </cell>
        </row>
        <row r="60">
          <cell r="AC60">
            <v>10667525.359200001</v>
          </cell>
        </row>
        <row r="61">
          <cell r="AC61">
            <v>0</v>
          </cell>
        </row>
        <row r="62">
          <cell r="AC62">
            <v>-17140800.178400006</v>
          </cell>
        </row>
        <row r="63">
          <cell r="AC63">
            <v>-6473281.7915000049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Transport Spreads"/>
      <sheetName val="Basis Options"/>
      <sheetName val="Exotics"/>
      <sheetName val="Roll-8"/>
      <sheetName val="Roll-9"/>
      <sheetName val="Roll-10"/>
      <sheetName val="Roll-11"/>
      <sheetName val="Roll-12"/>
      <sheetName val="Orig Sched"/>
      <sheetName val="Daily Macro"/>
      <sheetName val="Monthly Macro"/>
      <sheetName val="EATP1101"/>
    </sheetNames>
    <sheetDataSet>
      <sheetData sheetId="0"/>
      <sheetData sheetId="1">
        <row r="39">
          <cell r="AC39">
            <v>0</v>
          </cell>
        </row>
        <row r="41">
          <cell r="AC41">
            <v>-11142</v>
          </cell>
        </row>
        <row r="42">
          <cell r="AC42">
            <v>-1925792.8662999999</v>
          </cell>
        </row>
        <row r="43">
          <cell r="AC43">
            <v>2142766.5305999997</v>
          </cell>
        </row>
        <row r="44">
          <cell r="AC44">
            <v>318857.59090000007</v>
          </cell>
        </row>
        <row r="45">
          <cell r="AC45">
            <v>-88414.976899999994</v>
          </cell>
        </row>
        <row r="46">
          <cell r="AC46">
            <v>-9486.7984000000033</v>
          </cell>
        </row>
        <row r="47">
          <cell r="AC47">
            <v>34917.664900000011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29932.719900000004</v>
          </cell>
        </row>
        <row r="57">
          <cell r="AC57">
            <v>-11830.6387</v>
          </cell>
        </row>
        <row r="58">
          <cell r="AC58">
            <v>-3115.1897999999997</v>
          </cell>
        </row>
        <row r="60">
          <cell r="AC60">
            <v>1628177.3217</v>
          </cell>
        </row>
        <row r="61">
          <cell r="AC61">
            <v>0</v>
          </cell>
        </row>
        <row r="62">
          <cell r="AC62">
            <v>2668380.9095999999</v>
          </cell>
        </row>
        <row r="63">
          <cell r="AC63">
            <v>4296558.2216000017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 Pages"/>
      <sheetName val="Input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Orig Sched"/>
      <sheetName val="Daily Macros"/>
      <sheetName val="Monrhly Macros"/>
      <sheetName val="Orig Summary"/>
    </sheetNames>
    <sheetDataSet>
      <sheetData sheetId="0">
        <row r="57">
          <cell r="BS57">
            <v>13237.453634500003</v>
          </cell>
        </row>
        <row r="58">
          <cell r="BS58">
            <v>-4786.9094934000004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Recap"/>
      <sheetName val="Power"/>
      <sheetName val="Report"/>
      <sheetName val="New Pos for JL"/>
      <sheetName val="CurveShift"/>
      <sheetName val="Top Pages"/>
      <sheetName val="Input"/>
      <sheetName val="SA Deals"/>
      <sheetName val="Pos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POSITIONS"/>
      <sheetName val="QUERY DATA"/>
      <sheetName val="Price"/>
      <sheetName val="Results"/>
      <sheetName val="Results2"/>
      <sheetName val="Results3"/>
      <sheetName val="Results4"/>
      <sheetName val="Results5"/>
      <sheetName val="Results6"/>
      <sheetName val="OptionsGrid"/>
      <sheetName val="Orig Sched"/>
      <sheetName val="Daily Macro"/>
      <sheetName val="Monthly Macro"/>
    </sheetNames>
    <sheetDataSet>
      <sheetData sheetId="0"/>
      <sheetData sheetId="1"/>
      <sheetData sheetId="2"/>
      <sheetData sheetId="3"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</row>
        <row r="41">
          <cell r="C41">
            <v>5217.7150507999995</v>
          </cell>
          <cell r="E41">
            <v>5914.1267862000004</v>
          </cell>
          <cell r="G41">
            <v>1114.1123703000001</v>
          </cell>
          <cell r="I41">
            <v>0</v>
          </cell>
          <cell r="K41">
            <v>0</v>
          </cell>
          <cell r="M41">
            <v>207.35</v>
          </cell>
          <cell r="O41">
            <v>0</v>
          </cell>
          <cell r="Q41">
            <v>0</v>
          </cell>
          <cell r="S41">
            <v>18369.246999999999</v>
          </cell>
          <cell r="U41">
            <v>-900.45</v>
          </cell>
          <cell r="W41">
            <v>0</v>
          </cell>
          <cell r="Y41">
            <v>0</v>
          </cell>
          <cell r="AA41">
            <v>0</v>
          </cell>
        </row>
        <row r="42">
          <cell r="C42">
            <v>74846.677379800007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-1238.3789999999999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1399.8779999999997</v>
          </cell>
          <cell r="AA42">
            <v>0</v>
          </cell>
        </row>
        <row r="43">
          <cell r="C43">
            <v>0</v>
          </cell>
          <cell r="E43">
            <v>4221.6614157000013</v>
          </cell>
          <cell r="G43">
            <v>329.89759180000004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-17850.1324943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</row>
        <row r="45">
          <cell r="C45">
            <v>-323.34055450000005</v>
          </cell>
          <cell r="E45">
            <v>0.51585780000000003</v>
          </cell>
          <cell r="G45">
            <v>1327.0095280999997</v>
          </cell>
          <cell r="I45">
            <v>-5.3699999999999997E-5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-200.7506827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210.19965920000004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</row>
        <row r="47">
          <cell r="C47">
            <v>0</v>
          </cell>
          <cell r="E47">
            <v>0</v>
          </cell>
          <cell r="G47">
            <v>-672.80694750000009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-28.428809999999999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</row>
        <row r="52">
          <cell r="C52">
            <v>0</v>
          </cell>
          <cell r="E52">
            <v>-18.128</v>
          </cell>
          <cell r="G52">
            <v>0</v>
          </cell>
          <cell r="I52">
            <v>0</v>
          </cell>
          <cell r="K52">
            <v>0</v>
          </cell>
          <cell r="M52">
            <v>-0.121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</row>
        <row r="57">
          <cell r="C57">
            <v>-1187.4281020999997</v>
          </cell>
          <cell r="E57">
            <v>12.015784500000002</v>
          </cell>
          <cell r="G57">
            <v>2.6352400000000005E-2</v>
          </cell>
          <cell r="I57">
            <v>5.3699999999999997E-5</v>
          </cell>
          <cell r="K57">
            <v>0</v>
          </cell>
          <cell r="M57">
            <v>-0.17199999999999999</v>
          </cell>
          <cell r="Q57">
            <v>0</v>
          </cell>
          <cell r="S57">
            <v>-193.14338950000001</v>
          </cell>
        </row>
        <row r="58">
          <cell r="C58">
            <v>387.26077339999995</v>
          </cell>
          <cell r="E58">
            <v>6.9962328999999999</v>
          </cell>
          <cell r="G58">
            <v>1.1017284000000001</v>
          </cell>
          <cell r="I58">
            <v>5.5719999999999999E-4</v>
          </cell>
          <cell r="K58">
            <v>0</v>
          </cell>
          <cell r="M58">
            <v>-7.6619999999999999</v>
          </cell>
          <cell r="Q58">
            <v>0</v>
          </cell>
          <cell r="S58">
            <v>30.409952700000002</v>
          </cell>
        </row>
        <row r="60">
          <cell r="C60">
            <v>148639.6031636</v>
          </cell>
          <cell r="E60">
            <v>6193.8264400000007</v>
          </cell>
          <cell r="G60">
            <v>0</v>
          </cell>
          <cell r="I60">
            <v>0</v>
          </cell>
          <cell r="K60">
            <v>0</v>
          </cell>
          <cell r="M60">
            <v>-4332.8729999999996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722.8779999999997</v>
          </cell>
          <cell r="AA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</row>
        <row r="62">
          <cell r="C62">
            <v>-39245.2659824</v>
          </cell>
          <cell r="E62">
            <v>13122.014906099999</v>
          </cell>
          <cell r="G62">
            <v>3262.7651173999989</v>
          </cell>
          <cell r="I62">
            <v>-1060.4192599999994</v>
          </cell>
          <cell r="K62">
            <v>-13.453115799999999</v>
          </cell>
          <cell r="M62">
            <v>18039.186416771441</v>
          </cell>
          <cell r="O62">
            <v>-18853</v>
          </cell>
          <cell r="Q62">
            <v>9.7044465999999989</v>
          </cell>
          <cell r="S62">
            <v>6315.3016495000002</v>
          </cell>
          <cell r="U62">
            <v>-922.56700000000001</v>
          </cell>
          <cell r="W62">
            <v>161.1063279</v>
          </cell>
          <cell r="Y62">
            <v>0</v>
          </cell>
          <cell r="AA62">
            <v>3970.9330360000004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K"/>
      <sheetName val="Chart1"/>
      <sheetName val="Orig Sched"/>
      <sheetName val="C2"/>
      <sheetName val="C3"/>
      <sheetName val="NC4"/>
      <sheetName val="IC4"/>
      <sheetName val="C5+"/>
      <sheetName val="WTI"/>
      <sheetName val="C4e"/>
      <sheetName val="Naptha"/>
      <sheetName val="NG"/>
      <sheetName val="HO"/>
      <sheetName val="C3e"/>
      <sheetName val="Daily Macro"/>
      <sheetName val="Monthly Macro"/>
      <sheetName val="Module1"/>
      <sheetName val="FTP"/>
    </sheetNames>
    <sheetDataSet>
      <sheetData sheetId="0">
        <row r="39">
          <cell r="Y39">
            <v>37.579500000000003</v>
          </cell>
        </row>
        <row r="41">
          <cell r="Y41">
            <v>311.70434489999997</v>
          </cell>
        </row>
        <row r="42">
          <cell r="Y42">
            <v>2077.7120517999988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-70.025434799999999</v>
          </cell>
        </row>
        <row r="46">
          <cell r="Y46">
            <v>-56.875448199999994</v>
          </cell>
        </row>
        <row r="47">
          <cell r="Y47">
            <v>65.985810499999999</v>
          </cell>
        </row>
        <row r="48">
          <cell r="Y48">
            <v>0</v>
          </cell>
        </row>
        <row r="49">
          <cell r="Y49">
            <v>-0.44099999999999995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-169.94145660000001</v>
          </cell>
        </row>
        <row r="58">
          <cell r="Y58">
            <v>83.554307799999989</v>
          </cell>
        </row>
        <row r="60">
          <cell r="Y60">
            <v>55045.483510499995</v>
          </cell>
        </row>
        <row r="61">
          <cell r="Y61">
            <v>-446.82600000000002</v>
          </cell>
        </row>
        <row r="62">
          <cell r="Y62">
            <v>263663.20584759995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G"/>
      <sheetName val="Input"/>
      <sheetName val="Pos"/>
      <sheetName val="Pos_Change"/>
      <sheetName val="Pos_Old"/>
      <sheetName val="C1"/>
      <sheetName val="C4"/>
      <sheetName val="C5"/>
      <sheetName val="C6"/>
      <sheetName val="C7"/>
      <sheetName val="C8"/>
      <sheetName val="C9"/>
      <sheetName val="C10"/>
      <sheetName val="Daily Macro"/>
      <sheetName val="Monthly Macro"/>
      <sheetName val="Module1"/>
      <sheetName val="FTP"/>
      <sheetName val="Orig Sched"/>
      <sheetName val="Chart"/>
    </sheetNames>
    <sheetDataSet>
      <sheetData sheetId="0">
        <row r="39">
          <cell r="AA39">
            <v>0</v>
          </cell>
        </row>
        <row r="41">
          <cell r="AA41">
            <v>-25.6787776</v>
          </cell>
        </row>
        <row r="42">
          <cell r="AA42">
            <v>-11.498098899999999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0.50830470000000005</v>
          </cell>
        </row>
        <row r="46">
          <cell r="AA46">
            <v>-1.3339612000000003</v>
          </cell>
        </row>
        <row r="47">
          <cell r="AA47">
            <v>-1.3780404000000002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-2.20506E-2</v>
          </cell>
        </row>
        <row r="58">
          <cell r="AA58">
            <v>-0.22188789999999997</v>
          </cell>
        </row>
        <row r="60">
          <cell r="AA60">
            <v>-137.31880870000001</v>
          </cell>
        </row>
        <row r="61">
          <cell r="AA61">
            <v>0</v>
          </cell>
        </row>
        <row r="62">
          <cell r="AA62">
            <v>422.42188770000007</v>
          </cell>
        </row>
        <row r="63">
          <cell r="AA63">
            <v>285.10507899999999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Summary"/>
      <sheetName val="Input"/>
      <sheetName val="Report"/>
      <sheetName val="Crude"/>
      <sheetName val="Brent"/>
      <sheetName val="INDEX"/>
      <sheetName val="HU"/>
      <sheetName val="NG"/>
      <sheetName val="HO"/>
      <sheetName val="Benzene"/>
      <sheetName val="Propane"/>
      <sheetName val="Orig Sched"/>
      <sheetName val="Post-IDs"/>
      <sheetName val="Today's Position"/>
      <sheetName val="Daily Changes"/>
      <sheetName val="Prior Day"/>
      <sheetName val="Daily Macro"/>
      <sheetName val="Monthly Macro"/>
      <sheetName val="Print"/>
    </sheetNames>
    <sheetDataSet>
      <sheetData sheetId="0"/>
      <sheetData sheetId="1"/>
      <sheetData sheetId="2"/>
      <sheetData sheetId="3">
        <row r="39">
          <cell r="AC39">
            <v>0</v>
          </cell>
        </row>
        <row r="41">
          <cell r="AC41">
            <v>1776.1103488999997</v>
          </cell>
        </row>
        <row r="42">
          <cell r="AC42">
            <v>3065.6375904999991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4.1267741000000004</v>
          </cell>
        </row>
        <row r="46">
          <cell r="AC46">
            <v>6.7284727999999996</v>
          </cell>
        </row>
        <row r="47">
          <cell r="AC47">
            <v>-8.9236797000000028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0.93945070000000053</v>
          </cell>
        </row>
        <row r="58">
          <cell r="AC58">
            <v>4.6219112999999998</v>
          </cell>
        </row>
        <row r="60">
          <cell r="AC60">
            <v>3352.4262360999996</v>
          </cell>
        </row>
        <row r="61">
          <cell r="AC61">
            <v>0</v>
          </cell>
        </row>
        <row r="62">
          <cell r="AC62">
            <v>11972.786616499998</v>
          </cell>
        </row>
        <row r="63">
          <cell r="AC63">
            <v>15325.213004599998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-Summary"/>
      <sheetName val="GC-Summary"/>
      <sheetName val="Report"/>
      <sheetName val="Input"/>
      <sheetName val="B"/>
      <sheetName val="Macro1"/>
      <sheetName val="Orig Sched"/>
      <sheetName val="C2GC"/>
      <sheetName val="C2MW"/>
      <sheetName val="C3GC"/>
      <sheetName val="C3MW"/>
      <sheetName val="NC4GC"/>
      <sheetName val="NC4MW"/>
      <sheetName val="IC4GC"/>
      <sheetName val="IC4MW"/>
      <sheetName val="C5GC"/>
      <sheetName val="C5MW"/>
      <sheetName val="Daily Macro"/>
      <sheetName val="Monthly Macro"/>
      <sheetName val="Module1"/>
      <sheetName val="FEES"/>
      <sheetName val="WTI"/>
      <sheetName val="FTP"/>
    </sheetNames>
    <sheetDataSet>
      <sheetData sheetId="0"/>
      <sheetData sheetId="1"/>
      <sheetData sheetId="2">
        <row r="39">
          <cell r="AB39">
            <v>0</v>
          </cell>
        </row>
        <row r="41">
          <cell r="AB41">
            <v>-75.05967480000001</v>
          </cell>
        </row>
        <row r="42">
          <cell r="AB42">
            <v>-707.3010225999999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6.2821999999999999E-3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-15.532999999999999</v>
          </cell>
        </row>
        <row r="51">
          <cell r="AB51">
            <v>0</v>
          </cell>
        </row>
        <row r="52">
          <cell r="AB52">
            <v>0</v>
          </cell>
        </row>
        <row r="57">
          <cell r="AB57">
            <v>3.0043799999999996E-2</v>
          </cell>
        </row>
        <row r="58">
          <cell r="AB58">
            <v>0.26086620000000005</v>
          </cell>
        </row>
        <row r="60">
          <cell r="AB60">
            <v>38.076917600000009</v>
          </cell>
        </row>
        <row r="61">
          <cell r="AB61">
            <v>2.4867902603000402E-4</v>
          </cell>
        </row>
        <row r="62">
          <cell r="AB62">
            <v>353.13754089999975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YTD"/>
      <sheetName val="LNG P&amp;L"/>
      <sheetName val="Input"/>
      <sheetName val="Export"/>
      <sheetName val="Report"/>
      <sheetName val="e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W39">
            <v>0</v>
          </cell>
        </row>
        <row r="41">
          <cell r="W41">
            <v>209.38902050000004</v>
          </cell>
        </row>
        <row r="42">
          <cell r="W42">
            <v>-462.7995632999997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60">
          <cell r="W60">
            <v>2642.3125228000004</v>
          </cell>
        </row>
        <row r="61">
          <cell r="W61">
            <v>0</v>
          </cell>
        </row>
        <row r="62">
          <cell r="W62">
            <v>7567.7560090000006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Report"/>
      <sheetName val="Input"/>
      <sheetName val="Product"/>
      <sheetName val="Orig Sched"/>
      <sheetName val="Ethylene"/>
      <sheetName val="Plastics-C2-Hedge"/>
      <sheetName val="Plastics-C3-Hedge"/>
      <sheetName val="Plastics-NG-Hedge"/>
      <sheetName val="Polyethylene"/>
      <sheetName val="Propylene"/>
      <sheetName val="PVC"/>
      <sheetName val="Polypropylene"/>
      <sheetName val="Polystyrene"/>
      <sheetName val="Styrene"/>
      <sheetName val="Benzene"/>
      <sheetName val="GR"/>
      <sheetName val="WTI"/>
      <sheetName val="UNL"/>
      <sheetName val="Print"/>
      <sheetName val="Daily Macros"/>
      <sheetName val="Monthly Macro"/>
    </sheetNames>
    <sheetDataSet>
      <sheetData sheetId="0"/>
      <sheetData sheetId="1">
        <row r="39">
          <cell r="AE39">
            <v>0</v>
          </cell>
        </row>
        <row r="41">
          <cell r="AE41">
            <v>71.668207700000011</v>
          </cell>
        </row>
        <row r="42">
          <cell r="AE42">
            <v>-228.16464753944473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-71.645261700000006</v>
          </cell>
        </row>
        <row r="46">
          <cell r="AE46">
            <v>0</v>
          </cell>
        </row>
        <row r="47">
          <cell r="AE47">
            <v>2.2382539000000006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-4.9700146999999975</v>
          </cell>
        </row>
        <row r="58">
          <cell r="AE58">
            <v>14.279019599999998</v>
          </cell>
        </row>
        <row r="60">
          <cell r="AE60">
            <v>21371.228672674697</v>
          </cell>
        </row>
        <row r="61">
          <cell r="AE61">
            <v>0</v>
          </cell>
        </row>
        <row r="62">
          <cell r="AE62">
            <v>286.40278129999615</v>
          </cell>
        </row>
        <row r="63">
          <cell r="AE63">
            <v>21657.631257135246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put"/>
      <sheetName val="Product"/>
      <sheetName val="Report"/>
      <sheetName val="Meth Product"/>
      <sheetName val="Meth Report"/>
      <sheetName val="PYGAS"/>
      <sheetName val="Pygas_Index"/>
      <sheetName val="MEG"/>
      <sheetName val="Benzene"/>
      <sheetName val="Paraxylene"/>
      <sheetName val="Styrene"/>
      <sheetName val="Styrene_TR"/>
      <sheetName val="Toluene"/>
      <sheetName val="Toluene_Distr"/>
      <sheetName val="Xylene"/>
      <sheetName val="Benzene_Index"/>
      <sheetName val="Paraxylene_Index"/>
      <sheetName val="Meoh"/>
      <sheetName val="METH_TR"/>
      <sheetName val="Meoh_Index"/>
      <sheetName val="Meoh_NG_P"/>
      <sheetName val="Meoh_NG_B"/>
      <sheetName val="Unleaded_Hedge"/>
      <sheetName val="Unleaded_Hedge_AM"/>
      <sheetName val="WTI_Hedge"/>
      <sheetName val="WTI_Hedge_2"/>
      <sheetName val="HO"/>
      <sheetName val="NG"/>
      <sheetName val="Book Adj"/>
      <sheetName val="Print"/>
      <sheetName val="BTX MAcro"/>
      <sheetName val="Monthly Macros"/>
      <sheetName val="Daily Macros"/>
      <sheetName val="Orig Sched"/>
    </sheetNames>
    <sheetDataSet>
      <sheetData sheetId="0"/>
      <sheetData sheetId="1"/>
      <sheetData sheetId="2"/>
      <sheetData sheetId="3">
        <row r="39">
          <cell r="AW39">
            <v>0</v>
          </cell>
        </row>
        <row r="41">
          <cell r="AW41">
            <v>333.44384070000001</v>
          </cell>
        </row>
        <row r="42">
          <cell r="AW42">
            <v>-379.20569879999908</v>
          </cell>
        </row>
        <row r="43">
          <cell r="AW43">
            <v>0</v>
          </cell>
        </row>
        <row r="44">
          <cell r="AW44">
            <v>0</v>
          </cell>
        </row>
        <row r="45">
          <cell r="AW45">
            <v>-6.8363192000000002</v>
          </cell>
        </row>
        <row r="46">
          <cell r="AW46">
            <v>0</v>
          </cell>
        </row>
        <row r="47">
          <cell r="AW47">
            <v>3.0583665</v>
          </cell>
        </row>
        <row r="48">
          <cell r="AW48">
            <v>0</v>
          </cell>
        </row>
        <row r="49">
          <cell r="AW49">
            <v>0</v>
          </cell>
        </row>
        <row r="51">
          <cell r="AW51">
            <v>0</v>
          </cell>
        </row>
        <row r="52">
          <cell r="AW52">
            <v>0</v>
          </cell>
        </row>
        <row r="57">
          <cell r="AW57">
            <v>21.854956499999997</v>
          </cell>
        </row>
        <row r="58">
          <cell r="AW58">
            <v>-4.5977602000000051</v>
          </cell>
        </row>
        <row r="60">
          <cell r="AW60">
            <v>-600.66240230000028</v>
          </cell>
        </row>
        <row r="61">
          <cell r="AW61">
            <v>2.4000000000000911E-4</v>
          </cell>
        </row>
        <row r="62">
          <cell r="AW62">
            <v>62917.253726499985</v>
          </cell>
        </row>
        <row r="63">
          <cell r="AW63">
            <v>62316.591553299979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END POST IDS"/>
      <sheetName val="POST IDS"/>
      <sheetName val="conversion"/>
      <sheetName val="Orig Sched"/>
      <sheetName val="H"/>
      <sheetName val="Input"/>
      <sheetName val="Oil 1-3 Report"/>
      <sheetName val="CRUDE2 TOP PAGE"/>
      <sheetName val="Oil 3 MTD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Report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AG39">
            <v>376.66</v>
          </cell>
        </row>
        <row r="41">
          <cell r="AG41">
            <v>3059.3190630999998</v>
          </cell>
        </row>
        <row r="42">
          <cell r="AG42">
            <v>6654.9410224999838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-3449.0708064000009</v>
          </cell>
        </row>
        <row r="46">
          <cell r="AG46">
            <v>-4398.6580973</v>
          </cell>
        </row>
        <row r="47">
          <cell r="AG47">
            <v>860.09347890000004</v>
          </cell>
        </row>
        <row r="48">
          <cell r="AG48">
            <v>0</v>
          </cell>
        </row>
        <row r="49">
          <cell r="AG49">
            <v>-412.654</v>
          </cell>
        </row>
        <row r="57">
          <cell r="AG57">
            <v>-375.74702960000008</v>
          </cell>
        </row>
        <row r="58">
          <cell r="AG58">
            <v>-6.474755799999997</v>
          </cell>
        </row>
        <row r="60">
          <cell r="AG60">
            <v>20612.240321100009</v>
          </cell>
        </row>
        <row r="61">
          <cell r="AG61">
            <v>0</v>
          </cell>
        </row>
        <row r="62">
          <cell r="AG62">
            <v>217227.36175633044</v>
          </cell>
        </row>
        <row r="63">
          <cell r="AG63">
            <v>237839.6021554305</v>
          </cell>
        </row>
      </sheetData>
      <sheetData sheetId="23"/>
      <sheetData sheetId="24"/>
      <sheetData sheetId="2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 Id Sheet"/>
      <sheetName val="Report"/>
      <sheetName val="Orig Sched"/>
      <sheetName val="H"/>
      <sheetName val="Input"/>
      <sheetName val="Euro"/>
      <sheetName val="CITIBANK_2 GBP"/>
      <sheetName val="CHASE_IV"/>
      <sheetName val="CITIBANK_2 USD"/>
      <sheetName val="CHASE_III"/>
      <sheetName val="CHASE_MAHII"/>
      <sheetName val="CITIBANK_EUROS"/>
      <sheetName val="CITIBANK_GBP"/>
      <sheetName val="CITIBANK_USD"/>
      <sheetName val="FX HEDGE"/>
      <sheetName val="Daily Macros"/>
      <sheetName val="Monthly Macros"/>
      <sheetName val="Print"/>
    </sheetNames>
    <sheetDataSet>
      <sheetData sheetId="0"/>
      <sheetData sheetId="1">
        <row r="57">
          <cell r="AA57">
            <v>30039.546955500002</v>
          </cell>
          <cell r="AC57">
            <v>2850.0477323999994</v>
          </cell>
          <cell r="AE57">
            <v>2114.1138399000001</v>
          </cell>
        </row>
        <row r="58">
          <cell r="AA58">
            <v>-6792.0414794999997</v>
          </cell>
          <cell r="AC58">
            <v>-1444.9580880000001</v>
          </cell>
          <cell r="AE58">
            <v>-599.33471410000016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Cost Roll"/>
      <sheetName val="Coal P&amp;L-Mgmt"/>
      <sheetName val="Coal P&amp;L-Massey"/>
      <sheetName val="Export"/>
      <sheetName val="Report"/>
      <sheetName val="Input"/>
      <sheetName val="e"/>
      <sheetName val="f"/>
      <sheetName val="East"/>
      <sheetName val="West"/>
      <sheetName val="Intl-Frt"/>
      <sheetName val="Intl-Coal"/>
      <sheetName val="NOX"/>
      <sheetName val="PET-COKE"/>
      <sheetName val="SO2"/>
      <sheetName val="East-Mgmt"/>
      <sheetName val="West-Mgmt"/>
      <sheetName val="EAST-II"/>
      <sheetName val="WEST-II"/>
      <sheetName val="POWER"/>
      <sheetName val="East-III"/>
      <sheetName val="NG-Hedge"/>
      <sheetName val="Cover"/>
      <sheetName val="Orig Sched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AE39">
            <v>0</v>
          </cell>
        </row>
        <row r="41">
          <cell r="AE41">
            <v>4792.5543292669345</v>
          </cell>
        </row>
        <row r="42">
          <cell r="AE42">
            <v>-5619.6680843969643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818.59704382135646</v>
          </cell>
        </row>
        <row r="46">
          <cell r="AE46">
            <v>99.906163899999996</v>
          </cell>
        </row>
        <row r="47">
          <cell r="AE47">
            <v>-1762.4075732840433</v>
          </cell>
        </row>
        <row r="48">
          <cell r="AE48">
            <v>0</v>
          </cell>
        </row>
        <row r="49">
          <cell r="AE49">
            <v>-85.575600000000009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-3175.2560904205807</v>
          </cell>
        </row>
        <row r="58">
          <cell r="AE58">
            <v>421.03928689336902</v>
          </cell>
        </row>
        <row r="60">
          <cell r="AE60">
            <v>149114.99658095109</v>
          </cell>
        </row>
        <row r="61">
          <cell r="AE61">
            <v>0</v>
          </cell>
        </row>
        <row r="62">
          <cell r="AE62">
            <v>31542.844644511722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Top Pages"/>
      <sheetName val="Roll-1"/>
      <sheetName val="Roll-2"/>
      <sheetName val="Sheet1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 Template"/>
      <sheetName val="monthlyroll"/>
    </sheetNames>
    <sheetDataSet>
      <sheetData sheetId="0"/>
      <sheetData sheetId="1">
        <row r="39">
          <cell r="AA39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0</v>
          </cell>
        </row>
        <row r="58">
          <cell r="AA58">
            <v>0</v>
          </cell>
        </row>
        <row r="60">
          <cell r="AA60">
            <v>-152885891</v>
          </cell>
        </row>
        <row r="61">
          <cell r="AA61">
            <v>0</v>
          </cell>
        </row>
        <row r="62">
          <cell r="AA62">
            <v>2834682.2939999998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"/>
      <sheetName val="Summary"/>
      <sheetName val="Report"/>
      <sheetName val="Input"/>
      <sheetName val="Roll-1"/>
      <sheetName val="Roll-2"/>
      <sheetName val="exotics roll"/>
      <sheetName val="Roll-3"/>
      <sheetName val="Roll-4"/>
      <sheetName val="Roll-5"/>
      <sheetName val="Roll-6"/>
      <sheetName val="Roll-7"/>
      <sheetName val="Roll-8"/>
      <sheetName val="Roll-9"/>
      <sheetName val="Daily Macro"/>
      <sheetName val="Monthly Macro"/>
      <sheetName val="Roll-10"/>
      <sheetName val="Roll-11"/>
      <sheetName val="Roll-12"/>
      <sheetName val="Roll-13"/>
      <sheetName val="Origin Schedule"/>
      <sheetName val="P&amp;L Estimator"/>
      <sheetName val="Trader Split"/>
      <sheetName val="JV_Oriente"/>
    </sheetNames>
    <sheetDataSet>
      <sheetData sheetId="0"/>
      <sheetData sheetId="1"/>
      <sheetData sheetId="2">
        <row r="39">
          <cell r="AL39">
            <v>0</v>
          </cell>
        </row>
        <row r="41">
          <cell r="AL41">
            <v>2864.2696119999996</v>
          </cell>
        </row>
        <row r="42">
          <cell r="AL42">
            <v>-23489.359699292938</v>
          </cell>
        </row>
        <row r="43">
          <cell r="AL43">
            <v>0</v>
          </cell>
        </row>
        <row r="44">
          <cell r="AL44">
            <v>-47618.624842646619</v>
          </cell>
        </row>
        <row r="45">
          <cell r="AL45">
            <v>-865.58590729999992</v>
          </cell>
        </row>
        <row r="46">
          <cell r="AL46">
            <v>-8534.5469954000018</v>
          </cell>
        </row>
        <row r="47">
          <cell r="AL47">
            <v>3200.5371660000001</v>
          </cell>
        </row>
        <row r="48">
          <cell r="AL48">
            <v>0</v>
          </cell>
        </row>
        <row r="49">
          <cell r="AL49">
            <v>0</v>
          </cell>
        </row>
        <row r="51">
          <cell r="AL51">
            <v>0</v>
          </cell>
        </row>
        <row r="52">
          <cell r="AL52">
            <v>0</v>
          </cell>
        </row>
        <row r="56">
          <cell r="AL56">
            <v>49293.804093377155</v>
          </cell>
        </row>
        <row r="57">
          <cell r="AL57">
            <v>-3.0390400999999891</v>
          </cell>
        </row>
        <row r="58">
          <cell r="AL58">
            <v>-23.275636699999978</v>
          </cell>
        </row>
        <row r="61">
          <cell r="AL61">
            <v>-127.611</v>
          </cell>
        </row>
        <row r="62">
          <cell r="AL62">
            <v>-123638.22668240008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Orig Sched"/>
      <sheetName val="Input"/>
      <sheetName val="Products"/>
      <sheetName val="Report"/>
      <sheetName val="REFP_NG_HDG"/>
      <sheetName val="C3"/>
      <sheetName val="Unleaded"/>
      <sheetName val="WTI"/>
      <sheetName val="Heat"/>
      <sheetName val="Heat Index"/>
      <sheetName val="Jet Kero"/>
      <sheetName val="Gasoil"/>
      <sheetName val="Brent"/>
      <sheetName val="Resid"/>
      <sheetName val="ECTGR_CO"/>
      <sheetName val="ECTGR_Resid"/>
      <sheetName val="Book Adj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G39">
            <v>3</v>
          </cell>
        </row>
        <row r="41">
          <cell r="AG41">
            <v>-343.07009840000001</v>
          </cell>
        </row>
        <row r="42">
          <cell r="AG42">
            <v>423.6594804000099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0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0</v>
          </cell>
        </row>
        <row r="57">
          <cell r="AG57">
            <v>-494.03611860000001</v>
          </cell>
        </row>
        <row r="58">
          <cell r="AG58">
            <v>41.832558399999989</v>
          </cell>
        </row>
        <row r="60">
          <cell r="AG60">
            <v>-16706.699701716283</v>
          </cell>
        </row>
        <row r="61">
          <cell r="AG61">
            <v>0</v>
          </cell>
        </row>
        <row r="62">
          <cell r="AG62">
            <v>-36069.99950921753</v>
          </cell>
        </row>
        <row r="63">
          <cell r="AG63">
            <v>-52776.699320779975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DIST_HO_HDG"/>
      <sheetName val="DIST_JET_HDG"/>
      <sheetName val="DIST_WTI_HDG"/>
      <sheetName val="DIST_HU_HDG"/>
      <sheetName val="DIST_GASOIL"/>
      <sheetName val="ECTGR_HO"/>
      <sheetName val="ECTGR_KERO"/>
      <sheetName val="INTL KERO"/>
      <sheetName val="INTL HO"/>
      <sheetName val="INTL CRUDE"/>
      <sheetName val="DUBAI BR"/>
      <sheetName val="DUBAI CO"/>
      <sheetName val="SING GO"/>
      <sheetName val="SING HSFS"/>
      <sheetName val="INTL HU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  <cell r="BO39">
            <v>0</v>
          </cell>
        </row>
        <row r="41">
          <cell r="AQ41">
            <v>-310.42557529999999</v>
          </cell>
          <cell r="BO41">
            <v>-617.11550449999993</v>
          </cell>
        </row>
        <row r="42">
          <cell r="AQ42">
            <v>-66.460845699999894</v>
          </cell>
          <cell r="BO42">
            <v>1144.9326364000001</v>
          </cell>
        </row>
        <row r="43">
          <cell r="AQ43">
            <v>0</v>
          </cell>
          <cell r="BO43">
            <v>0</v>
          </cell>
        </row>
        <row r="44">
          <cell r="AQ44">
            <v>0</v>
          </cell>
          <cell r="BO44">
            <v>0</v>
          </cell>
        </row>
        <row r="45">
          <cell r="AQ45">
            <v>-42.902416699999982</v>
          </cell>
          <cell r="BO45">
            <v>0</v>
          </cell>
        </row>
        <row r="46">
          <cell r="AQ46">
            <v>0.15302580000000013</v>
          </cell>
          <cell r="BO46">
            <v>0</v>
          </cell>
        </row>
        <row r="47">
          <cell r="AQ47">
            <v>18.230366599999996</v>
          </cell>
          <cell r="BO47">
            <v>0</v>
          </cell>
        </row>
        <row r="48">
          <cell r="AQ48">
            <v>0</v>
          </cell>
          <cell r="BO48">
            <v>0</v>
          </cell>
        </row>
        <row r="49">
          <cell r="AQ49">
            <v>0</v>
          </cell>
          <cell r="BO49">
            <v>0</v>
          </cell>
        </row>
        <row r="51">
          <cell r="AQ51">
            <v>0</v>
          </cell>
          <cell r="BO51">
            <v>0</v>
          </cell>
        </row>
        <row r="52">
          <cell r="AQ52">
            <v>0</v>
          </cell>
          <cell r="BO52">
            <v>0</v>
          </cell>
        </row>
        <row r="57">
          <cell r="AQ57">
            <v>4.3573947999999998</v>
          </cell>
        </row>
        <row r="58">
          <cell r="AQ58">
            <v>9.6120053000000016</v>
          </cell>
        </row>
        <row r="60">
          <cell r="AQ60">
            <v>1375.0909967999996</v>
          </cell>
          <cell r="BO60">
            <v>-28.936387000000003</v>
          </cell>
        </row>
        <row r="61">
          <cell r="AQ61">
            <v>0.17</v>
          </cell>
          <cell r="BO61">
            <v>0</v>
          </cell>
        </row>
        <row r="62">
          <cell r="AQ62">
            <v>-12603.400067800003</v>
          </cell>
          <cell r="BO62">
            <v>-1677.5860801999997</v>
          </cell>
        </row>
        <row r="63">
          <cell r="AQ63">
            <v>-11228.144071000002</v>
          </cell>
          <cell r="BO63">
            <v>-1706.5224671999999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DIST2_HO_HDG"/>
      <sheetName val="DIST2_JET_HDG"/>
      <sheetName val="DIST2_WTI_HDG"/>
      <sheetName val="DIST2_HU_HDG"/>
      <sheetName val="DIST2_GR_KERO"/>
      <sheetName val="DIST2_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</row>
        <row r="41">
          <cell r="AQ41">
            <v>0</v>
          </cell>
        </row>
        <row r="42">
          <cell r="AQ42">
            <v>-0.3355513999942098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</v>
          </cell>
        </row>
        <row r="57">
          <cell r="AQ57">
            <v>-0.16398700000000022</v>
          </cell>
        </row>
        <row r="58">
          <cell r="AQ58">
            <v>-1.4489042999999964</v>
          </cell>
        </row>
        <row r="60">
          <cell r="AQ60">
            <v>-934.11706589999812</v>
          </cell>
        </row>
        <row r="61">
          <cell r="AQ61">
            <v>0</v>
          </cell>
        </row>
        <row r="62">
          <cell r="AQ62">
            <v>-14428.423111800053</v>
          </cell>
        </row>
        <row r="63">
          <cell r="AQ63">
            <v>-15362.539948499982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HO"/>
      <sheetName val="BRENT"/>
      <sheetName val="WTI"/>
      <sheetName val="HU"/>
      <sheetName val="KERO"/>
      <sheetName val="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9</v>
          </cell>
        </row>
        <row r="41">
          <cell r="AQ41">
            <v>1978.9630007000001</v>
          </cell>
        </row>
        <row r="42">
          <cell r="AQ42">
            <v>-4254.4365255839512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532.37290259999997</v>
          </cell>
        </row>
        <row r="46">
          <cell r="AQ46">
            <v>137.64259809999987</v>
          </cell>
        </row>
        <row r="47">
          <cell r="AQ47">
            <v>47.919352199999992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-841.08755299999996</v>
          </cell>
        </row>
        <row r="57">
          <cell r="AQ57">
            <v>-57.521702099999999</v>
          </cell>
        </row>
        <row r="58">
          <cell r="AQ58">
            <v>18.059306400000001</v>
          </cell>
        </row>
        <row r="60">
          <cell r="AQ60">
            <v>3084.2574696636661</v>
          </cell>
        </row>
        <row r="61">
          <cell r="AQ61">
            <v>0</v>
          </cell>
        </row>
        <row r="62">
          <cell r="AQ62">
            <v>-2746.0660282000081</v>
          </cell>
        </row>
        <row r="63">
          <cell r="AQ63">
            <v>338.18276216365609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Emissions Summary"/>
      <sheetName val="Report"/>
      <sheetName val="Export"/>
      <sheetName val="Input"/>
      <sheetName val="e"/>
      <sheetName val="f"/>
      <sheetName val="SO2_INV"/>
      <sheetName val="SO2_FWD"/>
      <sheetName val="NOX_INV"/>
      <sheetName val="NOX_FWD"/>
      <sheetName val="IR"/>
      <sheetName val="ERC_INV"/>
      <sheetName val="C7"/>
      <sheetName val="C8"/>
      <sheetName val="C9"/>
      <sheetName val="C10"/>
      <sheetName val="Cover"/>
      <sheetName val="Orig Sched"/>
      <sheetName val="Daily Macro"/>
      <sheetName val="Monthly Macro"/>
      <sheetName val="Module1"/>
    </sheetNames>
    <sheetDataSet>
      <sheetData sheetId="0"/>
      <sheetData sheetId="1"/>
      <sheetData sheetId="2">
        <row r="39">
          <cell r="W39">
            <v>0</v>
          </cell>
        </row>
        <row r="41">
          <cell r="W41">
            <v>-4.2010310173259029</v>
          </cell>
        </row>
        <row r="42">
          <cell r="W42">
            <v>-940.06608804426469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-148.62101136656855</v>
          </cell>
        </row>
        <row r="46">
          <cell r="W46">
            <v>2E-3</v>
          </cell>
        </row>
        <row r="47">
          <cell r="W47">
            <v>197.69861431361468</v>
          </cell>
        </row>
        <row r="48">
          <cell r="W48">
            <v>0</v>
          </cell>
        </row>
        <row r="49">
          <cell r="W49">
            <v>-6.375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149.16719966487233</v>
          </cell>
        </row>
        <row r="58">
          <cell r="W58">
            <v>-322.64510570735285</v>
          </cell>
        </row>
        <row r="60">
          <cell r="W60">
            <v>-39666.60005860978</v>
          </cell>
        </row>
        <row r="61">
          <cell r="W61">
            <v>0</v>
          </cell>
        </row>
        <row r="62">
          <cell r="W62">
            <v>44277.227699653922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mport Acces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FX Exotics Log"/>
      <sheetName val="FX Board Limits"/>
      <sheetName val="Wessex Deal Detail"/>
      <sheetName val="Month-End Procedures "/>
      <sheetName val="Module1"/>
      <sheetName val="Module4"/>
    </sheetNames>
    <sheetDataSet>
      <sheetData sheetId="0"/>
      <sheetData sheetId="1">
        <row r="39">
          <cell r="BQ39">
            <v>0</v>
          </cell>
        </row>
        <row r="41">
          <cell r="BQ41">
            <v>338.44097433836396</v>
          </cell>
        </row>
        <row r="42">
          <cell r="BQ42">
            <v>-1858.57395079045</v>
          </cell>
        </row>
        <row r="43">
          <cell r="BQ43">
            <v>0</v>
          </cell>
        </row>
        <row r="44">
          <cell r="BQ44">
            <v>0</v>
          </cell>
        </row>
        <row r="45">
          <cell r="BQ45">
            <v>0</v>
          </cell>
        </row>
        <row r="46">
          <cell r="BQ46">
            <v>0</v>
          </cell>
        </row>
        <row r="47">
          <cell r="BQ47">
            <v>0</v>
          </cell>
        </row>
        <row r="48">
          <cell r="BQ48">
            <v>0</v>
          </cell>
        </row>
        <row r="49">
          <cell r="BQ49">
            <v>0</v>
          </cell>
        </row>
        <row r="51">
          <cell r="BQ51">
            <v>0</v>
          </cell>
        </row>
        <row r="52">
          <cell r="BQ52">
            <v>0</v>
          </cell>
        </row>
        <row r="56">
          <cell r="BQ56">
            <v>-18123.067826281727</v>
          </cell>
        </row>
        <row r="57">
          <cell r="BQ57">
            <v>-2497.800738298899</v>
          </cell>
        </row>
        <row r="58">
          <cell r="BQ58">
            <v>602.65313455973569</v>
          </cell>
        </row>
        <row r="61">
          <cell r="BQ61">
            <v>0</v>
          </cell>
        </row>
        <row r="62">
          <cell r="BQ62">
            <v>26829.868473730243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G"/>
      <sheetName val="Pos"/>
      <sheetName val="Pos_Change"/>
      <sheetName val="Pos_Old"/>
      <sheetName val="Orig Sched"/>
      <sheetName val="C1"/>
      <sheetName val="C2"/>
      <sheetName val="C4"/>
      <sheetName val="C5"/>
      <sheetName val="C6"/>
      <sheetName val="C7"/>
      <sheetName val="C8"/>
      <sheetName val="C9"/>
      <sheetName val="C10"/>
      <sheetName val="C11"/>
      <sheetName val="Daily Macro"/>
      <sheetName val="Monthly Macro"/>
      <sheetName val="Module1"/>
      <sheetName val="C12"/>
      <sheetName val="C13"/>
      <sheetName val="C14"/>
      <sheetName val="C15"/>
      <sheetName val="GlobalReport WEB"/>
      <sheetName val="Shankman calender deals "/>
    </sheetNames>
    <sheetDataSet>
      <sheetData sheetId="0">
        <row r="39">
          <cell r="AH39">
            <v>0</v>
          </cell>
        </row>
        <row r="41">
          <cell r="AH41">
            <v>-467.11767760053903</v>
          </cell>
        </row>
        <row r="42">
          <cell r="AH42">
            <v>733.39420831287021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-1217.7226036999998</v>
          </cell>
        </row>
        <row r="46">
          <cell r="AH46">
            <v>-3646.3532895999992</v>
          </cell>
        </row>
        <row r="47">
          <cell r="AH47">
            <v>1220.6881226999999</v>
          </cell>
        </row>
        <row r="48">
          <cell r="AH48">
            <v>0</v>
          </cell>
        </row>
        <row r="49">
          <cell r="AH49">
            <v>0</v>
          </cell>
        </row>
        <row r="51">
          <cell r="AH51">
            <v>0</v>
          </cell>
        </row>
        <row r="52">
          <cell r="AH52">
            <v>0</v>
          </cell>
        </row>
        <row r="57">
          <cell r="AH57">
            <v>-271.74532740000001</v>
          </cell>
        </row>
        <row r="58">
          <cell r="AH58">
            <v>-25.92334700000001</v>
          </cell>
        </row>
        <row r="60">
          <cell r="AH60">
            <v>6320.1008953896508</v>
          </cell>
        </row>
        <row r="61">
          <cell r="AH61">
            <v>0</v>
          </cell>
        </row>
        <row r="62">
          <cell r="AH62">
            <v>22656.697198751466</v>
          </cell>
        </row>
        <row r="63">
          <cell r="AH63">
            <v>28976.80209414112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nceExpl.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Daily Macro"/>
      <sheetName val="Monthly Macro"/>
      <sheetName val="Roll-9"/>
      <sheetName val="Roll-10"/>
      <sheetName val="Roll-11"/>
      <sheetName val="BAMSPRDRoll"/>
      <sheetName val="Origination"/>
    </sheetNames>
    <sheetDataSet>
      <sheetData sheetId="0"/>
      <sheetData sheetId="1">
        <row r="34">
          <cell r="AE34">
            <v>52401.166500000007</v>
          </cell>
        </row>
        <row r="35">
          <cell r="AE35">
            <v>-273845.6176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Condensate"/>
      <sheetName val="BLD_UNL_HDG"/>
      <sheetName val="BLD_HO_HDG"/>
      <sheetName val="BLD_WTI_HDG"/>
      <sheetName val="BRENT"/>
      <sheetName val="BLND2_HU_HDG"/>
      <sheetName val="Blendstocks"/>
      <sheetName val="ECTGR_HU"/>
      <sheetName val="ECTGR-BLND"/>
      <sheetName val="Blnd_IDX"/>
      <sheetName val="Cond_Dubai"/>
      <sheetName val="Macro1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AI39">
            <v>-163.80000000000001</v>
          </cell>
        </row>
        <row r="41">
          <cell r="AI41">
            <v>667.57308930000045</v>
          </cell>
        </row>
        <row r="42">
          <cell r="AI42">
            <v>190.01185069999769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-74.099999999999994</v>
          </cell>
        </row>
        <row r="51">
          <cell r="AI51">
            <v>0</v>
          </cell>
        </row>
        <row r="52">
          <cell r="AI52">
            <v>0</v>
          </cell>
        </row>
        <row r="57">
          <cell r="AI57">
            <v>-43.413596799999773</v>
          </cell>
        </row>
        <row r="58">
          <cell r="AI58">
            <v>16.134736399999994</v>
          </cell>
        </row>
        <row r="60">
          <cell r="AI60">
            <v>6296.0678692000001</v>
          </cell>
        </row>
        <row r="61">
          <cell r="AI61">
            <v>0</v>
          </cell>
        </row>
        <row r="62">
          <cell r="AI62">
            <v>11971.554519200008</v>
          </cell>
        </row>
        <row r="63">
          <cell r="AI63">
            <v>18267.619491999994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Roll-1"/>
      <sheetName val="Roll-5"/>
      <sheetName val="PrudCalc"/>
      <sheetName val="Roll-2"/>
      <sheetName val="Roll-3"/>
      <sheetName val="Roll-4"/>
      <sheetName val="Roll-6"/>
      <sheetName val="Roll-7"/>
      <sheetName val="Roll-8"/>
      <sheetName val="PrintModule"/>
      <sheetName val="Module1"/>
    </sheetNames>
    <sheetDataSet>
      <sheetData sheetId="0"/>
      <sheetData sheetId="1">
        <row r="39">
          <cell r="C39">
            <v>0</v>
          </cell>
          <cell r="M39">
            <v>0</v>
          </cell>
        </row>
        <row r="41">
          <cell r="C41">
            <v>0</v>
          </cell>
          <cell r="M41">
            <v>0</v>
          </cell>
        </row>
        <row r="42">
          <cell r="C42">
            <v>12</v>
          </cell>
          <cell r="M42">
            <v>0</v>
          </cell>
        </row>
        <row r="43">
          <cell r="C43">
            <v>0</v>
          </cell>
          <cell r="M43">
            <v>0</v>
          </cell>
        </row>
        <row r="44">
          <cell r="C44">
            <v>0</v>
          </cell>
          <cell r="M44">
            <v>0</v>
          </cell>
        </row>
        <row r="45">
          <cell r="C45">
            <v>0</v>
          </cell>
          <cell r="M45">
            <v>0</v>
          </cell>
        </row>
        <row r="46">
          <cell r="C46">
            <v>0</v>
          </cell>
          <cell r="M46">
            <v>0</v>
          </cell>
        </row>
        <row r="47">
          <cell r="C47">
            <v>0</v>
          </cell>
          <cell r="M47">
            <v>0</v>
          </cell>
        </row>
        <row r="48">
          <cell r="C48">
            <v>0</v>
          </cell>
          <cell r="M48">
            <v>0</v>
          </cell>
        </row>
        <row r="49">
          <cell r="C49">
            <v>0</v>
          </cell>
          <cell r="M49">
            <v>0</v>
          </cell>
        </row>
        <row r="51">
          <cell r="C51">
            <v>0</v>
          </cell>
          <cell r="M51">
            <v>0</v>
          </cell>
        </row>
        <row r="52">
          <cell r="C52">
            <v>-129</v>
          </cell>
          <cell r="M52">
            <v>0</v>
          </cell>
        </row>
        <row r="57">
          <cell r="C57">
            <v>601812</v>
          </cell>
          <cell r="M57">
            <v>0</v>
          </cell>
        </row>
        <row r="58">
          <cell r="C58">
            <v>-509428</v>
          </cell>
          <cell r="M58">
            <v>0</v>
          </cell>
        </row>
        <row r="60">
          <cell r="C60">
            <v>-255521328</v>
          </cell>
          <cell r="M60">
            <v>-58077</v>
          </cell>
        </row>
        <row r="61">
          <cell r="C61">
            <v>-333</v>
          </cell>
          <cell r="M61">
            <v>-0.19999999999708962</v>
          </cell>
        </row>
        <row r="62">
          <cell r="C62">
            <v>283111476</v>
          </cell>
          <cell r="M62">
            <v>-2120160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BLND"/>
      <sheetName val="NG-PRICE"/>
      <sheetName val="NG-BASIS"/>
      <sheetName val="IC4="/>
      <sheetName val="NC4"/>
      <sheetName val="MTBE"/>
      <sheetName val="MTBE_IND"/>
      <sheetName val="MTBE_UNL"/>
      <sheetName val="MTBE_WTI"/>
      <sheetName val="MTBE_EURO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X39">
            <v>0</v>
          </cell>
        </row>
        <row r="41">
          <cell r="X41">
            <v>106.18986450000001</v>
          </cell>
        </row>
        <row r="42">
          <cell r="X42">
            <v>23.653575599995094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-4.5</v>
          </cell>
        </row>
        <row r="51">
          <cell r="X51">
            <v>0</v>
          </cell>
        </row>
        <row r="52">
          <cell r="X52">
            <v>0</v>
          </cell>
        </row>
        <row r="57">
          <cell r="X57">
            <v>-62.155126500000023</v>
          </cell>
        </row>
        <row r="58">
          <cell r="X58">
            <v>69.887777700000001</v>
          </cell>
        </row>
        <row r="60">
          <cell r="X60">
            <v>54873.286672800001</v>
          </cell>
        </row>
        <row r="61">
          <cell r="X61">
            <v>0.17004999999998838</v>
          </cell>
        </row>
        <row r="62">
          <cell r="X62">
            <v>2712.7952591000098</v>
          </cell>
        </row>
        <row r="63">
          <cell r="X63">
            <v>57586.255194999998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 (2)"/>
      <sheetName val="Products"/>
      <sheetName val="Orig Sched"/>
      <sheetName val="Report"/>
      <sheetName val="BLND"/>
      <sheetName val="BLND2_HU_HDG"/>
      <sheetName val="WTI"/>
      <sheetName val="NG-BASIS"/>
      <sheetName val="IC4="/>
      <sheetName val="NC4"/>
      <sheetName val="MTBE"/>
      <sheetName val="MTBE_IND"/>
      <sheetName val="MTBE_UNL"/>
      <sheetName val="MTBE_WTI"/>
      <sheetName val="Daily Macro"/>
      <sheetName val="Monthly Macro"/>
    </sheetNames>
    <sheetDataSet>
      <sheetData sheetId="0"/>
      <sheetData sheetId="1"/>
      <sheetData sheetId="2"/>
      <sheetData sheetId="3"/>
      <sheetData sheetId="4"/>
      <sheetData sheetId="5">
        <row r="39">
          <cell r="X39">
            <v>0</v>
          </cell>
        </row>
        <row r="41">
          <cell r="X41">
            <v>-97.509399399999992</v>
          </cell>
        </row>
        <row r="42">
          <cell r="X42">
            <v>23.833571299999857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0</v>
          </cell>
        </row>
        <row r="51">
          <cell r="X51">
            <v>0</v>
          </cell>
        </row>
        <row r="52">
          <cell r="X52">
            <v>0</v>
          </cell>
        </row>
        <row r="60">
          <cell r="X60">
            <v>-210.94321509999997</v>
          </cell>
        </row>
        <row r="61">
          <cell r="X61">
            <v>4.999999998835847E-5</v>
          </cell>
        </row>
        <row r="62">
          <cell r="X62">
            <v>-2085.5067193</v>
          </cell>
        </row>
        <row r="63">
          <cell r="X63">
            <v>-2296.4498844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HS Fuel Oil"/>
      <sheetName val="PRIOR POS"/>
    </sheetNames>
    <sheetDataSet>
      <sheetData sheetId="0">
        <row r="39">
          <cell r="C39">
            <v>0</v>
          </cell>
        </row>
        <row r="41">
          <cell r="C41">
            <v>-20.395071200000004</v>
          </cell>
        </row>
        <row r="42">
          <cell r="C42">
            <v>-302.56814207726762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-0.26158749999999997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-0.5</v>
          </cell>
        </row>
        <row r="51">
          <cell r="C51">
            <v>0</v>
          </cell>
        </row>
        <row r="52">
          <cell r="C52">
            <v>0</v>
          </cell>
        </row>
        <row r="57">
          <cell r="C57">
            <v>3.8384999999999678E-3</v>
          </cell>
        </row>
        <row r="58">
          <cell r="C58">
            <v>-7.2643599999999989E-2</v>
          </cell>
        </row>
        <row r="60">
          <cell r="C60">
            <v>-260.01984287726765</v>
          </cell>
        </row>
        <row r="61">
          <cell r="C61">
            <v>0</v>
          </cell>
        </row>
        <row r="62">
          <cell r="C62">
            <v>-1493.1466538999998</v>
          </cell>
        </row>
        <row r="63">
          <cell r="C63">
            <v>-1753.1664967772672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 SUMMARY"/>
      <sheetName val="POS BREAKDOWN"/>
      <sheetName val=" POS CHANGE "/>
      <sheetName val="Input"/>
      <sheetName val="TopPage"/>
      <sheetName val="OPTIONS"/>
      <sheetName val="FGH"/>
      <sheetName val="Naptha"/>
      <sheetName val=" PRIOR POS "/>
    </sheetNames>
    <sheetDataSet>
      <sheetData sheetId="0">
        <row r="39">
          <cell r="G39">
            <v>0</v>
          </cell>
        </row>
        <row r="41">
          <cell r="G41">
            <v>0</v>
          </cell>
        </row>
        <row r="42">
          <cell r="G42">
            <v>3.9340000003408642E-4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-3.1420999999999997E-3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1">
          <cell r="G51">
            <v>0</v>
          </cell>
        </row>
        <row r="52">
          <cell r="G52">
            <v>0</v>
          </cell>
        </row>
        <row r="57">
          <cell r="G57">
            <v>3.5291200000000029E-2</v>
          </cell>
        </row>
        <row r="58">
          <cell r="G58">
            <v>0.20583470000000001</v>
          </cell>
        </row>
        <row r="60">
          <cell r="G60">
            <v>-4340.6648083999999</v>
          </cell>
        </row>
        <row r="61">
          <cell r="G61">
            <v>0</v>
          </cell>
        </row>
        <row r="62">
          <cell r="G62">
            <v>-6077.1754068999999</v>
          </cell>
        </row>
        <row r="63">
          <cell r="G63">
            <v>-10417.840215300001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P SUMMARY DPR"/>
      <sheetName val="SGP POS SUMMARY"/>
      <sheetName val="Report"/>
      <sheetName val="POS"/>
      <sheetName val="POS CHANGE"/>
      <sheetName val="PRICING-NOV"/>
      <sheetName val="PRICING-DEC"/>
      <sheetName val="Input"/>
      <sheetName val="TopPage"/>
      <sheetName val="Gasoil"/>
      <sheetName val="IPE Gasoil"/>
      <sheetName val="Jet"/>
      <sheetName val="Gasoline"/>
      <sheetName val="Nymex Heat"/>
      <sheetName val="Cracks_Spreads"/>
      <sheetName val="Storage"/>
      <sheetName val="London"/>
      <sheetName val="PRIOR POS"/>
    </sheetNames>
    <sheetDataSet>
      <sheetData sheetId="0"/>
      <sheetData sheetId="1"/>
      <sheetData sheetId="2">
        <row r="39">
          <cell r="S39">
            <v>0</v>
          </cell>
        </row>
        <row r="41">
          <cell r="S41">
            <v>55.058564200000006</v>
          </cell>
        </row>
        <row r="42">
          <cell r="S42">
            <v>-0.20219350000003311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-6.2683999999999995E-3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-0.36049999999999999</v>
          </cell>
        </row>
        <row r="51">
          <cell r="S51">
            <v>0</v>
          </cell>
        </row>
        <row r="52">
          <cell r="S52">
            <v>0</v>
          </cell>
        </row>
        <row r="57">
          <cell r="S57">
            <v>-3.0812800000000001E-2</v>
          </cell>
        </row>
        <row r="58">
          <cell r="S58">
            <v>-0.29860759999999997</v>
          </cell>
        </row>
        <row r="60">
          <cell r="S60">
            <v>-234.08102190000002</v>
          </cell>
        </row>
        <row r="61">
          <cell r="S61">
            <v>0</v>
          </cell>
        </row>
        <row r="62">
          <cell r="S62">
            <v>-1398.7377490000001</v>
          </cell>
        </row>
        <row r="63">
          <cell r="S63">
            <v>-1632.8187709000001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-AUST"/>
      <sheetName val="POS CHANGE"/>
      <sheetName val="POS-AUST CHANGE"/>
      <sheetName val="Input"/>
      <sheetName val="TopPage"/>
      <sheetName val="WTI"/>
      <sheetName val="Dubai"/>
      <sheetName val="Brent"/>
      <sheetName val="Tapis"/>
      <sheetName val="Houston"/>
      <sheetName val="AUST"/>
      <sheetName val="PRIOR POS"/>
      <sheetName val="PRIOR AUST POS"/>
    </sheetNames>
    <sheetDataSet>
      <sheetData sheetId="0">
        <row r="39">
          <cell r="O39">
            <v>0</v>
          </cell>
        </row>
        <row r="41">
          <cell r="O41">
            <v>11.594187699999999</v>
          </cell>
        </row>
        <row r="42">
          <cell r="O42">
            <v>-149.1527860709694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0.34217450000000005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O57">
            <v>-0.37610869999999935</v>
          </cell>
        </row>
        <row r="58">
          <cell r="O58">
            <v>8.4645000000000331E-2</v>
          </cell>
        </row>
        <row r="60">
          <cell r="O60">
            <v>185.6451017839002</v>
          </cell>
        </row>
        <row r="61">
          <cell r="O61">
            <v>0</v>
          </cell>
        </row>
        <row r="62">
          <cell r="O62">
            <v>-1225.811360899999</v>
          </cell>
        </row>
        <row r="63">
          <cell r="O63">
            <v>-1040.1662591160989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NAPHTHA POS"/>
      <sheetName val="POS CHANGE"/>
      <sheetName val="NAPHTHA POS CHANGE"/>
      <sheetName val="Input"/>
      <sheetName val="TopPage"/>
      <sheetName val="STYRENE"/>
      <sheetName val="TOLUENE"/>
      <sheetName val="XYLENE"/>
      <sheetName val="Paraxylene"/>
      <sheetName val="Benzene"/>
      <sheetName val="MTBE"/>
      <sheetName val="NAPHTHA"/>
      <sheetName val="PRIOR POS"/>
    </sheetNames>
    <sheetDataSet>
      <sheetData sheetId="0">
        <row r="39">
          <cell r="S39">
            <v>0</v>
          </cell>
        </row>
        <row r="41">
          <cell r="S41">
            <v>0</v>
          </cell>
        </row>
        <row r="42">
          <cell r="S42">
            <v>4.4169999999985521E-4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9.100000000000001E-6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1">
          <cell r="S51">
            <v>0</v>
          </cell>
        </row>
        <row r="52">
          <cell r="S52">
            <v>0</v>
          </cell>
        </row>
        <row r="57">
          <cell r="O57">
            <v>-4.1000000000000006E-6</v>
          </cell>
        </row>
        <row r="58">
          <cell r="O58">
            <v>-4.6789999999999999E-4</v>
          </cell>
        </row>
        <row r="60">
          <cell r="S60">
            <v>-5.4878865999999986</v>
          </cell>
        </row>
        <row r="61">
          <cell r="S61">
            <v>0</v>
          </cell>
        </row>
        <row r="62">
          <cell r="S62">
            <v>1056.9842975000001</v>
          </cell>
        </row>
        <row r="63">
          <cell r="S63">
            <v>1051.4964109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Report"/>
      <sheetName val="POS"/>
      <sheetName val="FUEL JV POS"/>
      <sheetName val="POS CHANGE"/>
      <sheetName val="FUEL JV POS CHANGE"/>
      <sheetName val="PRICING-OCT"/>
      <sheetName val="Input"/>
      <sheetName val="TopPage"/>
      <sheetName val="Ldn Fuel JV"/>
      <sheetName val="Ldn EastWest"/>
      <sheetName val="Ldn Gasoil JV"/>
      <sheetName val="Jet Arb"/>
      <sheetName val="ARB-CR"/>
      <sheetName val="SGP-HOUSTON GASOIL ARB"/>
      <sheetName val="PRIOR FUEL JV POS"/>
      <sheetName val="PRIOR POS"/>
    </sheetNames>
    <sheetDataSet>
      <sheetData sheetId="0"/>
      <sheetData sheetId="1"/>
      <sheetData sheetId="2">
        <row r="39">
          <cell r="O39">
            <v>0</v>
          </cell>
        </row>
        <row r="41">
          <cell r="O41">
            <v>0</v>
          </cell>
        </row>
        <row r="42">
          <cell r="O42">
            <v>-66.686641999999864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1.5919000000000029E-3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7">
          <cell r="O57">
            <v>-0.18692220000000004</v>
          </cell>
        </row>
        <row r="58">
          <cell r="O58">
            <v>-2.2682991000000001</v>
          </cell>
        </row>
        <row r="60">
          <cell r="O60">
            <v>-2663.9695529000005</v>
          </cell>
        </row>
        <row r="61">
          <cell r="O61">
            <v>0</v>
          </cell>
        </row>
        <row r="62">
          <cell r="O62">
            <v>5935.7212198000025</v>
          </cell>
        </row>
        <row r="63">
          <cell r="O63">
            <v>3271.7516669000024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Dubaicash JV"/>
      <sheetName val="Ldn Crude JV"/>
      <sheetName val="HOUSTON DUBAICASH ARB"/>
      <sheetName val="PRIOR POS"/>
    </sheetNames>
    <sheetDataSet>
      <sheetData sheetId="0">
        <row r="39">
          <cell r="I39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1">
          <cell r="I51">
            <v>0</v>
          </cell>
        </row>
        <row r="52">
          <cell r="I52">
            <v>0</v>
          </cell>
        </row>
        <row r="60">
          <cell r="I60">
            <v>183.16583319999995</v>
          </cell>
        </row>
        <row r="61">
          <cell r="I61">
            <v>0</v>
          </cell>
        </row>
        <row r="62">
          <cell r="I62">
            <v>-1223.4440950000005</v>
          </cell>
        </row>
        <row r="63">
          <cell r="I63">
            <v>-1040.2782618000006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Phys Sum-CARTHAGE"/>
      <sheetName val="Carthage Physical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226898.29170000003</v>
          </cell>
        </row>
        <row r="42">
          <cell r="AQ42">
            <v>54074.883799999996</v>
          </cell>
        </row>
        <row r="43">
          <cell r="AQ43">
            <v>-82945.083799999993</v>
          </cell>
        </row>
        <row r="44">
          <cell r="AQ44">
            <v>-35165.383999999991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-70.112299999999991</v>
          </cell>
        </row>
        <row r="57">
          <cell r="AQ57">
            <v>-63.8964</v>
          </cell>
        </row>
        <row r="58">
          <cell r="AQ58">
            <v>-394.21429999999998</v>
          </cell>
        </row>
        <row r="60">
          <cell r="AQ60">
            <v>-120309.86050000001</v>
          </cell>
        </row>
        <row r="61">
          <cell r="AQ61">
            <v>0</v>
          </cell>
        </row>
        <row r="62">
          <cell r="AQ62">
            <v>25796.718900000018</v>
          </cell>
        </row>
        <row r="63">
          <cell r="AQ63">
            <v>-94513.141599999959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Aggregate"/>
      <sheetName val="Intramonth"/>
      <sheetName val="PL by Trader"/>
      <sheetName val="PriceAlberta"/>
      <sheetName val="AlbertaIndex"/>
      <sheetName val="ABGasDaily"/>
      <sheetName val="PriceBC"/>
      <sheetName val="BCIndex"/>
      <sheetName val="BCGasDaily"/>
      <sheetName val="PipeBook"/>
      <sheetName val="PipeBookIndex"/>
      <sheetName val="Options"/>
      <sheetName val="OptionsIndex"/>
      <sheetName val="Exotics"/>
      <sheetName val="EnronDirectPrice"/>
      <sheetName val="EnronDirectIndex"/>
      <sheetName val="EnronDirectGD"/>
      <sheetName val="DummyTerm"/>
      <sheetName val="DummyGD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PrintModule"/>
      <sheetName val="Module1"/>
    </sheetNames>
    <sheetDataSet>
      <sheetData sheetId="0"/>
      <sheetData sheetId="1"/>
      <sheetData sheetId="2">
        <row r="40">
          <cell r="AQ40">
            <v>770329.29812456877</v>
          </cell>
        </row>
        <row r="42">
          <cell r="AQ42">
            <v>207472.87210688076</v>
          </cell>
        </row>
        <row r="43">
          <cell r="AQ43">
            <v>-4099932.258671517</v>
          </cell>
        </row>
        <row r="44">
          <cell r="AQ44">
            <v>-7274770.7457818473</v>
          </cell>
        </row>
        <row r="45">
          <cell r="AQ45">
            <v>211492.81816471179</v>
          </cell>
        </row>
        <row r="46">
          <cell r="AQ46">
            <v>1063854.3561437614</v>
          </cell>
        </row>
        <row r="47">
          <cell r="AQ47">
            <v>505593.67747600825</v>
          </cell>
        </row>
        <row r="48">
          <cell r="AQ48">
            <v>-907174.93570846133</v>
          </cell>
        </row>
        <row r="49">
          <cell r="AQ49">
            <v>-112465.6589098664</v>
          </cell>
        </row>
        <row r="51">
          <cell r="AQ51">
            <v>-20373.831775700935</v>
          </cell>
        </row>
        <row r="53">
          <cell r="AQ53">
            <v>0</v>
          </cell>
        </row>
        <row r="54">
          <cell r="AQ54">
            <v>525890.98663990467</v>
          </cell>
        </row>
        <row r="62">
          <cell r="AQ62">
            <v>-4189552.7817851091</v>
          </cell>
        </row>
        <row r="63">
          <cell r="AQ63">
            <v>2412358.4018064355</v>
          </cell>
        </row>
        <row r="65">
          <cell r="AQ65">
            <v>745229155.99698937</v>
          </cell>
        </row>
        <row r="66">
          <cell r="AQ66">
            <v>-593555.92886211234</v>
          </cell>
        </row>
        <row r="67">
          <cell r="AQ67">
            <v>-643237853.5241344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Roll-1"/>
      <sheetName val="Sheet1"/>
      <sheetName val="Power"/>
      <sheetName val="HO"/>
      <sheetName val="GasDaily"/>
      <sheetName val="GDIndex"/>
      <sheetName val="HU"/>
      <sheetName val="WTI"/>
      <sheetName val="JV"/>
      <sheetName val="Roll-7"/>
      <sheetName val="Roll-8"/>
      <sheetName val="Top Pages"/>
      <sheetName val="Module1"/>
      <sheetName val="Module2"/>
    </sheetNames>
    <sheetDataSet>
      <sheetData sheetId="0"/>
      <sheetData sheetId="1">
        <row r="39">
          <cell r="W39">
            <v>0</v>
          </cell>
        </row>
        <row r="41">
          <cell r="W41">
            <v>781.29600000000005</v>
          </cell>
        </row>
        <row r="42">
          <cell r="W42">
            <v>-1003.29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1152.826</v>
          </cell>
        </row>
        <row r="46">
          <cell r="W46">
            <v>5597.3440000000001</v>
          </cell>
        </row>
        <row r="47">
          <cell r="W47">
            <v>-2713.1909999999998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-141.952</v>
          </cell>
        </row>
        <row r="58">
          <cell r="W58">
            <v>95.884</v>
          </cell>
        </row>
        <row r="60">
          <cell r="W60">
            <v>54340.048000000003</v>
          </cell>
        </row>
        <row r="61">
          <cell r="W61">
            <v>0</v>
          </cell>
        </row>
        <row r="62">
          <cell r="W62">
            <v>-50299.642999999996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Coal P&amp;L"/>
      <sheetName val="Export"/>
      <sheetName val="Report"/>
      <sheetName val="Input"/>
      <sheetName val="e"/>
      <sheetName val="f"/>
      <sheetName val="Cash_East"/>
      <sheetName val="East"/>
      <sheetName val="EAST-II"/>
      <sheetName val="Cash_West"/>
      <sheetName val="West"/>
      <sheetName val="WEST-II"/>
      <sheetName val="East-III"/>
      <sheetName val="C2"/>
      <sheetName val="C3"/>
      <sheetName val="C4"/>
      <sheetName val="C5"/>
      <sheetName val="C6"/>
      <sheetName val="C7"/>
      <sheetName val="C8"/>
      <sheetName val="Cover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>
        <row r="39">
          <cell r="W39">
            <v>0</v>
          </cell>
        </row>
        <row r="41">
          <cell r="W41">
            <v>-248.11040999999994</v>
          </cell>
        </row>
        <row r="42">
          <cell r="W42">
            <v>1705.4864032999737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-21.714049500000002</v>
          </cell>
        </row>
        <row r="46">
          <cell r="W46">
            <v>-2.2182000000000035E-3</v>
          </cell>
        </row>
        <row r="47">
          <cell r="W47">
            <v>-265.31971390000001</v>
          </cell>
        </row>
        <row r="48">
          <cell r="W48">
            <v>0</v>
          </cell>
        </row>
        <row r="49">
          <cell r="W49">
            <v>-4.5019999999999998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5.2525030999999993</v>
          </cell>
        </row>
        <row r="58">
          <cell r="W58">
            <v>21.573208399999981</v>
          </cell>
        </row>
        <row r="60">
          <cell r="W60">
            <v>12648.566955100003</v>
          </cell>
        </row>
        <row r="61">
          <cell r="W61">
            <v>0</v>
          </cell>
        </row>
        <row r="62">
          <cell r="W62">
            <v>-10662.644175899999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s"/>
      <sheetName val="z"/>
      <sheetName val="Top Pages"/>
      <sheetName val="Input"/>
      <sheetName val="Report"/>
      <sheetName val="Summary"/>
      <sheetName val="Orig Sched"/>
      <sheetName val="ECTGR_CO"/>
      <sheetName val="ECTGR_Resid"/>
      <sheetName val="ECTGR_HO"/>
      <sheetName val="KERO_GR"/>
      <sheetName val="GO"/>
      <sheetName val="KERE_GR"/>
      <sheetName val="GOIP_GR"/>
      <sheetName val="C8"/>
      <sheetName val="C9"/>
      <sheetName val="C10"/>
      <sheetName val="Daily Macro"/>
      <sheetName val="Monthly Macro"/>
      <sheetName val="Module1"/>
    </sheetNames>
    <sheetDataSet>
      <sheetData sheetId="0"/>
      <sheetData sheetId="1"/>
      <sheetData sheetId="2"/>
      <sheetData sheetId="3"/>
      <sheetData sheetId="4">
        <row r="39">
          <cell r="W39">
            <v>0</v>
          </cell>
        </row>
        <row r="41">
          <cell r="W41">
            <v>-82.515006499999998</v>
          </cell>
        </row>
        <row r="42">
          <cell r="W42">
            <v>-1919.0002041000002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-4.4000000000000115E-4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0.25340609999999997</v>
          </cell>
        </row>
        <row r="60">
          <cell r="W60">
            <v>5363.0619563</v>
          </cell>
        </row>
        <row r="61">
          <cell r="W61">
            <v>0</v>
          </cell>
        </row>
        <row r="62">
          <cell r="W62">
            <v>-2157.5340280999981</v>
          </cell>
        </row>
        <row r="63">
          <cell r="W63">
            <v>3205.5303797000024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port"/>
      <sheetName val="Postid"/>
      <sheetName val="Top Pages"/>
      <sheetName val="Roll-1"/>
      <sheetName val="Roll-2"/>
      <sheetName val="Roll-3"/>
      <sheetName val="Roll-4"/>
      <sheetName val="Roll-5"/>
      <sheetName val="Sheet1"/>
      <sheetName val="Daily Macros"/>
      <sheetName val="Monthly Macros"/>
    </sheetNames>
    <sheetDataSet>
      <sheetData sheetId="0"/>
      <sheetData sheetId="1">
        <row r="39">
          <cell r="W39">
            <v>7000</v>
          </cell>
        </row>
        <row r="41">
          <cell r="W41">
            <v>-418783.30770000024</v>
          </cell>
        </row>
        <row r="42">
          <cell r="W42">
            <v>-2247154.4223000035</v>
          </cell>
        </row>
        <row r="43">
          <cell r="W43">
            <v>-727717.29790000047</v>
          </cell>
        </row>
        <row r="44">
          <cell r="W44">
            <v>1420875.2823999994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-100</v>
          </cell>
        </row>
        <row r="51">
          <cell r="W51">
            <v>0</v>
          </cell>
        </row>
        <row r="52">
          <cell r="W52">
            <v>-993.05599999999993</v>
          </cell>
        </row>
        <row r="57">
          <cell r="W57">
            <v>3592.308199999999</v>
          </cell>
        </row>
        <row r="58">
          <cell r="W58">
            <v>1746.9129999999989</v>
          </cell>
        </row>
        <row r="60">
          <cell r="W60">
            <v>-1416951.5845999999</v>
          </cell>
        </row>
        <row r="61">
          <cell r="W61">
            <v>0</v>
          </cell>
        </row>
        <row r="62">
          <cell r="W62">
            <v>-3524603.0943000005</v>
          </cell>
        </row>
        <row r="63">
          <cell r="W63">
            <v>-4941554.6789000053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ConeGraph"/>
      <sheetName val="Graph"/>
      <sheetName val="ERV"/>
      <sheetName val="Report"/>
      <sheetName val="ExecRpt"/>
      <sheetName val="Weather"/>
      <sheetName val="BrkrFee"/>
      <sheetName val="Europe_Houston"/>
      <sheetName val="Strat Gas"/>
      <sheetName val="Gas"/>
      <sheetName val="Power Demand"/>
      <sheetName val="Power Hedge"/>
      <sheetName val="CME HDD"/>
      <sheetName val="Roll-7"/>
      <sheetName val="Roll-8"/>
      <sheetName val="Roll-9"/>
      <sheetName val="Roll-10"/>
      <sheetName val="Roll-11"/>
      <sheetName val="Roll-12"/>
      <sheetName val="Orig Sched"/>
      <sheetName val="Broker Fees 2000"/>
      <sheetName val="Daily Macro"/>
      <sheetName val="MTD Macro"/>
      <sheetName val="YTD Macro"/>
      <sheetName val="Liquidation GOTO"/>
      <sheetName val="Module1"/>
      <sheetName val="Module2"/>
    </sheetNames>
    <sheetDataSet>
      <sheetData sheetId="0"/>
      <sheetData sheetId="1"/>
      <sheetData sheetId="2"/>
      <sheetData sheetId="3"/>
      <sheetData sheetId="4">
        <row r="39">
          <cell r="AD39">
            <v>0</v>
          </cell>
        </row>
        <row r="41">
          <cell r="AD41">
            <v>75956</v>
          </cell>
        </row>
        <row r="42">
          <cell r="AD42">
            <v>-12989839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-160407</v>
          </cell>
        </row>
        <row r="46">
          <cell r="AD46">
            <v>0</v>
          </cell>
        </row>
        <row r="47">
          <cell r="AD47">
            <v>-4267279</v>
          </cell>
        </row>
        <row r="48">
          <cell r="AD48">
            <v>0</v>
          </cell>
        </row>
        <row r="50">
          <cell r="AD50">
            <v>-13750</v>
          </cell>
        </row>
        <row r="51">
          <cell r="AD51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61">
          <cell r="AD61">
            <v>-245448</v>
          </cell>
        </row>
        <row r="62">
          <cell r="AD62">
            <v>150432</v>
          </cell>
        </row>
        <row r="64">
          <cell r="AD64">
            <v>58338795.082936592</v>
          </cell>
        </row>
        <row r="65">
          <cell r="AD65">
            <v>0</v>
          </cell>
        </row>
        <row r="66">
          <cell r="AD66">
            <v>-5670306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THU"/>
      <sheetName val="TKER"/>
      <sheetName val="DUBAI"/>
      <sheetName val="PROPANE"/>
      <sheetName val="FX"/>
      <sheetName val="FX download"/>
      <sheetName val="PRIOR POS"/>
    </sheetNames>
    <sheetDataSet>
      <sheetData sheetId="0">
        <row r="57">
          <cell r="M57">
            <v>2.1010999999999998E-3</v>
          </cell>
        </row>
        <row r="58">
          <cell r="M58">
            <v>-4.9613800000000013E-2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OST ID"/>
      <sheetName val="H"/>
      <sheetName val="Input"/>
      <sheetName val="Report"/>
      <sheetName val="Consol-Price"/>
      <sheetName val="Consol-Basis"/>
      <sheetName val="Canada"/>
      <sheetName val="Mgt Book"/>
      <sheetName val="PE-ENA-NBSK-Price"/>
      <sheetName val="PE-ENA-NBSK-Basis"/>
      <sheetName val="PE-ENA-SBSK-Price"/>
      <sheetName val="PE-ENA-BEK-Price"/>
      <sheetName val="PE-ENA-BEK-Basis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7">
          <cell r="S57">
            <v>-230.8357973</v>
          </cell>
        </row>
        <row r="58">
          <cell r="S58">
            <v>51.472148400000009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port"/>
      <sheetName val="TopPages"/>
      <sheetName val="Roll-1"/>
      <sheetName val="Roll-2"/>
      <sheetName val="Roll-3"/>
      <sheetName val="Roll-4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/>
      <sheetData sheetId="1">
        <row r="39">
          <cell r="K39">
            <v>0</v>
          </cell>
        </row>
        <row r="41">
          <cell r="K41">
            <v>-359659.27860000002</v>
          </cell>
        </row>
        <row r="42">
          <cell r="K42">
            <v>-504487.8834000036</v>
          </cell>
        </row>
        <row r="43">
          <cell r="K43">
            <v>-7106.1164000000663</v>
          </cell>
        </row>
        <row r="44">
          <cell r="K44">
            <v>390377.77000000008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494.75020000000001</v>
          </cell>
        </row>
        <row r="57">
          <cell r="K57">
            <v>-60289.137000000032</v>
          </cell>
        </row>
        <row r="58">
          <cell r="K58">
            <v>42781.1227</v>
          </cell>
        </row>
        <row r="60">
          <cell r="K60">
            <v>19337493.152999997</v>
          </cell>
        </row>
        <row r="61">
          <cell r="K61">
            <v>0</v>
          </cell>
        </row>
        <row r="62">
          <cell r="K62">
            <v>31189393.631599993</v>
          </cell>
        </row>
        <row r="63">
          <cell r="K63">
            <v>50526886.784599997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HRC"/>
      <sheetName val="CRC"/>
      <sheetName val="HOUSTON INTERCO"/>
      <sheetName val="FX"/>
      <sheetName val="ACCRUAL"/>
      <sheetName val="ST-TVA"/>
      <sheetName val="INTO AEP"/>
      <sheetName val="INTO COMED"/>
      <sheetName val="ST-CINERGY"/>
      <sheetName val="ST-SPP"/>
      <sheetName val="ST-AEP"/>
      <sheetName val="West HUB"/>
      <sheetName val="MAPP"/>
      <sheetName val="extra7"/>
      <sheetName val="extra10"/>
      <sheetName val="extra11"/>
      <sheetName val="extra12"/>
      <sheetName val="extra13"/>
      <sheetName val="Orig Sched"/>
      <sheetName val="Daily Macro"/>
      <sheetName val="MTD Macro"/>
      <sheetName val="YTD Macro"/>
      <sheetName val="Liquidation GOTO"/>
      <sheetName val="Link Macro"/>
      <sheetName val="DAILY POSITIONS"/>
      <sheetName val="DAILY PRICES"/>
      <sheetName val="Sheet1"/>
    </sheetNames>
    <sheetDataSet>
      <sheetData sheetId="0">
        <row r="61">
          <cell r="AM61">
            <v>-4</v>
          </cell>
        </row>
        <row r="62">
          <cell r="AM62">
            <v>-4620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PE-NEWS45"/>
      <sheetName val="PE-MXDWSTE"/>
      <sheetName val="PAPER-EUROPE"/>
      <sheetName val="PE-EPBHKP"/>
      <sheetName val="PE-DMPA4"/>
      <sheetName val="PE-NBSKINV"/>
      <sheetName val="PE-LWC60"/>
      <sheetName val="FX-Hedge"/>
      <sheetName val="EIM-EU-PAPER"/>
      <sheetName val="PE-BEK"/>
      <sheetName val="Houston Held"/>
      <sheetName val="Daily Macro"/>
      <sheetName val="MTD Macro"/>
      <sheetName val="YTD Macro"/>
      <sheetName val="Liquidation GOTO"/>
      <sheetName val="Link Macro"/>
      <sheetName val="Orig Sched"/>
      <sheetName val="Sheet1"/>
      <sheetName val="TOP PAGE DATA"/>
      <sheetName val="Detail Position"/>
      <sheetName val="Paper Price"/>
      <sheetName val="Position"/>
      <sheetName val="Curve Summary"/>
    </sheetNames>
    <sheetDataSet>
      <sheetData sheetId="0">
        <row r="61">
          <cell r="Y61">
            <v>-18398</v>
          </cell>
        </row>
        <row r="62">
          <cell r="Y62">
            <v>4500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Physical"/>
      <sheetName val="IM Denver Sum"/>
      <sheetName val="OA Flash Denver"/>
      <sheetName val="AA"/>
      <sheetName val="Daily Macros"/>
      <sheetName val="Monthly Macros"/>
    </sheetNames>
    <sheetDataSet>
      <sheetData sheetId="0">
        <row r="39">
          <cell r="AM39">
            <v>2970</v>
          </cell>
        </row>
        <row r="41">
          <cell r="AM41">
            <v>-30088.417900000204</v>
          </cell>
        </row>
        <row r="42">
          <cell r="AM42">
            <v>4757848.8968000021</v>
          </cell>
        </row>
        <row r="43">
          <cell r="AM43">
            <v>199353.29879999976</v>
          </cell>
        </row>
        <row r="44">
          <cell r="AM44">
            <v>-99169.714999999924</v>
          </cell>
        </row>
        <row r="45">
          <cell r="AM45">
            <v>-0.12000000000000002</v>
          </cell>
        </row>
        <row r="46">
          <cell r="AM46">
            <v>119.87400000000001</v>
          </cell>
        </row>
        <row r="47">
          <cell r="AM47">
            <v>-14.447600000000001</v>
          </cell>
        </row>
        <row r="48">
          <cell r="AM48">
            <v>0</v>
          </cell>
        </row>
        <row r="49">
          <cell r="AM49">
            <v>-1485</v>
          </cell>
        </row>
        <row r="51">
          <cell r="AM51">
            <v>0</v>
          </cell>
        </row>
        <row r="52">
          <cell r="AM52">
            <v>2431.7083999999995</v>
          </cell>
        </row>
        <row r="57">
          <cell r="AO57">
            <v>-231936.02240000007</v>
          </cell>
          <cell r="AP57">
            <v>2730.2048000000023</v>
          </cell>
        </row>
        <row r="58">
          <cell r="AO58">
            <v>34647.559400000006</v>
          </cell>
          <cell r="AP58">
            <v>16422.203000000001</v>
          </cell>
        </row>
        <row r="60">
          <cell r="AM60">
            <v>19644422.872400001</v>
          </cell>
        </row>
        <row r="61">
          <cell r="AM61">
            <v>0</v>
          </cell>
        </row>
        <row r="62">
          <cell r="AM62">
            <v>96524568.300900012</v>
          </cell>
        </row>
        <row r="63">
          <cell r="AM63">
            <v>116168991.43720001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Summary"/>
      <sheetName val="N"/>
      <sheetName val="Prudency"/>
      <sheetName val="Orig Sched"/>
      <sheetName val="Roll-1"/>
      <sheetName val="Roll-13"/>
      <sheetName val="Roll-3"/>
      <sheetName val="Roll-2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-18954.980421199998</v>
          </cell>
        </row>
        <row r="42">
          <cell r="AC42">
            <v>19373.336941300007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-1353.2325002999996</v>
          </cell>
        </row>
        <row r="46">
          <cell r="AC46">
            <v>-573.69812959999967</v>
          </cell>
        </row>
        <row r="47">
          <cell r="AC47">
            <v>473.82926510000016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351.8999672999999</v>
          </cell>
        </row>
        <row r="58">
          <cell r="AC58">
            <v>-99.319907900000004</v>
          </cell>
        </row>
        <row r="60">
          <cell r="AC60">
            <v>-28233.24233500053</v>
          </cell>
        </row>
        <row r="61">
          <cell r="AC61">
            <v>-4.3208299999969311E-4</v>
          </cell>
        </row>
        <row r="62">
          <cell r="AC62">
            <v>-60109.623510100049</v>
          </cell>
        </row>
        <row r="63">
          <cell r="AC63">
            <v>-88342.866253898581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Input"/>
      <sheetName val="N"/>
      <sheetName val="Prudency"/>
      <sheetName val="Orig Sched"/>
      <sheetName val="WTI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1"/>
      <sheetName val="Roll-12"/>
      <sheetName val="Roll-13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-269.10490729999992</v>
          </cell>
        </row>
        <row r="42">
          <cell r="AC42">
            <v>446.52243500000043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9.4922499999999688E-2</v>
          </cell>
        </row>
        <row r="58">
          <cell r="AC58">
            <v>2.454256</v>
          </cell>
        </row>
        <row r="60">
          <cell r="AC60">
            <v>1381.8197412</v>
          </cell>
        </row>
        <row r="61">
          <cell r="AC61">
            <v>-4.3208299999969311E-4</v>
          </cell>
        </row>
        <row r="62">
          <cell r="AC62">
            <v>-467.34141519999991</v>
          </cell>
        </row>
        <row r="63">
          <cell r="AC63">
            <v>914.4778939170003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Orig Sched"/>
      <sheetName val="Report"/>
      <sheetName val="open int"/>
      <sheetName val="Access Shee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Monthly Summary"/>
      <sheetName val="Prepay Drift Macro"/>
      <sheetName val="Monthly Summary (Original)"/>
      <sheetName val="Destec-Monthly Summary"/>
      <sheetName val="PID-Extract"/>
      <sheetName val="GBP Rho"/>
      <sheetName val="NKR Rho"/>
      <sheetName val="J-block GBP Rho"/>
      <sheetName val="J-block USD Rho"/>
      <sheetName val="EES Cashflow"/>
      <sheetName val="EBS Cashflow"/>
      <sheetName val="HFO Cashflow"/>
      <sheetName val="EUR Cashflow"/>
      <sheetName val="YTD Summary"/>
      <sheetName val="Bond FutOpt Position"/>
      <sheetName val="Drift"/>
      <sheetName val="Sheet1"/>
      <sheetName val="Roll-5 (2)"/>
    </sheetNames>
    <sheetDataSet>
      <sheetData sheetId="0"/>
      <sheetData sheetId="1"/>
      <sheetData sheetId="2">
        <row r="42">
          <cell r="C42">
            <v>-3880.6349274306422</v>
          </cell>
          <cell r="E42">
            <v>2323.0454278962561</v>
          </cell>
          <cell r="G42">
            <v>6877.6547182399108</v>
          </cell>
          <cell r="I42">
            <v>-8388.4997957088744</v>
          </cell>
          <cell r="K42">
            <v>17340.894215740405</v>
          </cell>
          <cell r="O42">
            <v>-742.41475320334564</v>
          </cell>
          <cell r="Q42">
            <v>-0.43074964048106085</v>
          </cell>
          <cell r="S42">
            <v>-89.227071975931054</v>
          </cell>
          <cell r="U42">
            <v>-285</v>
          </cell>
          <cell r="W42">
            <v>31.967900081423831</v>
          </cell>
          <cell r="Y42">
            <v>0</v>
          </cell>
          <cell r="AA42">
            <v>-1933.6681759791995</v>
          </cell>
          <cell r="AE42">
            <v>0</v>
          </cell>
          <cell r="AG42">
            <v>673.93556516993158</v>
          </cell>
          <cell r="AK42">
            <v>-9348.6838811053258</v>
          </cell>
          <cell r="AM42">
            <v>-1914.5890453832485</v>
          </cell>
          <cell r="AS42">
            <v>-1281.6722500000001</v>
          </cell>
          <cell r="AU42">
            <v>9.7000000000000003E-2</v>
          </cell>
          <cell r="AW42">
            <v>16.291234726582612</v>
          </cell>
          <cell r="AY42">
            <v>3143.0809511689367</v>
          </cell>
          <cell r="BC42">
            <v>-40.223664878159923</v>
          </cell>
          <cell r="BE42">
            <v>-582.86618637172387</v>
          </cell>
          <cell r="BG42">
            <v>-15.606168740211567</v>
          </cell>
          <cell r="BI42">
            <v>9522.8792857628596</v>
          </cell>
          <cell r="BK42">
            <v>33098.305155343725</v>
          </cell>
          <cell r="BM42">
            <v>-20826.030274539542</v>
          </cell>
          <cell r="BO42">
            <v>-7281.0393873974554</v>
          </cell>
        </row>
        <row r="43">
          <cell r="C43">
            <v>0</v>
          </cell>
          <cell r="E43">
            <v>0</v>
          </cell>
          <cell r="G43">
            <v>0</v>
          </cell>
          <cell r="O43">
            <v>0</v>
          </cell>
          <cell r="Q43">
            <v>0</v>
          </cell>
          <cell r="Y43">
            <v>0</v>
          </cell>
          <cell r="AE43">
            <v>0</v>
          </cell>
          <cell r="AM43">
            <v>0</v>
          </cell>
          <cell r="AS43">
            <v>0</v>
          </cell>
          <cell r="AU43">
            <v>0</v>
          </cell>
          <cell r="AW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O44">
            <v>0</v>
          </cell>
          <cell r="Q44">
            <v>0</v>
          </cell>
          <cell r="Y44">
            <v>0</v>
          </cell>
          <cell r="AE44">
            <v>0</v>
          </cell>
          <cell r="AM44">
            <v>0</v>
          </cell>
          <cell r="AS44">
            <v>0</v>
          </cell>
          <cell r="AU44">
            <v>0</v>
          </cell>
          <cell r="AW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O45">
            <v>0</v>
          </cell>
          <cell r="Q45">
            <v>0</v>
          </cell>
          <cell r="Y45">
            <v>0</v>
          </cell>
          <cell r="AE45">
            <v>0</v>
          </cell>
          <cell r="AM45">
            <v>0</v>
          </cell>
          <cell r="AS45">
            <v>0</v>
          </cell>
          <cell r="AU45">
            <v>0</v>
          </cell>
          <cell r="AW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O46">
            <v>0</v>
          </cell>
          <cell r="Q46">
            <v>0</v>
          </cell>
          <cell r="Y46">
            <v>0</v>
          </cell>
          <cell r="AE46">
            <v>0</v>
          </cell>
          <cell r="AM46">
            <v>0</v>
          </cell>
          <cell r="AS46">
            <v>0</v>
          </cell>
          <cell r="AU46">
            <v>0</v>
          </cell>
          <cell r="AW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O47">
            <v>0</v>
          </cell>
          <cell r="Q47">
            <v>0</v>
          </cell>
          <cell r="Y47">
            <v>0</v>
          </cell>
          <cell r="AE47">
            <v>0</v>
          </cell>
          <cell r="AM47">
            <v>0</v>
          </cell>
          <cell r="AS47">
            <v>0</v>
          </cell>
          <cell r="AU47">
            <v>0</v>
          </cell>
          <cell r="AW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6113.6831842840438</v>
          </cell>
          <cell r="K48">
            <v>0</v>
          </cell>
          <cell r="O48">
            <v>0</v>
          </cell>
          <cell r="Q48">
            <v>0</v>
          </cell>
          <cell r="S48">
            <v>59.671146260123258</v>
          </cell>
          <cell r="U48">
            <v>0</v>
          </cell>
          <cell r="W48">
            <v>0</v>
          </cell>
          <cell r="Y48">
            <v>0</v>
          </cell>
          <cell r="AA48">
            <v>608.84647283431923</v>
          </cell>
          <cell r="AE48">
            <v>0</v>
          </cell>
          <cell r="AG48">
            <v>-520.76955946214525</v>
          </cell>
          <cell r="AK48">
            <v>4253.5852744836475</v>
          </cell>
          <cell r="AM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-1731.7079349525575</v>
          </cell>
          <cell r="BC48">
            <v>177.9110514601544</v>
          </cell>
          <cell r="BE48">
            <v>134.93262951022618</v>
          </cell>
          <cell r="BG48">
            <v>0.9610897369682061</v>
          </cell>
          <cell r="BI48">
            <v>-2438.527766016919</v>
          </cell>
          <cell r="BK48">
            <v>-8083.3692271499658</v>
          </cell>
          <cell r="BM48">
            <v>4760.2688211018849</v>
          </cell>
          <cell r="BO48">
            <v>1162.7716880523444</v>
          </cell>
        </row>
        <row r="49">
          <cell r="C49">
            <v>0</v>
          </cell>
          <cell r="E49">
            <v>0</v>
          </cell>
          <cell r="G49">
            <v>0</v>
          </cell>
          <cell r="O49">
            <v>0</v>
          </cell>
          <cell r="Q49">
            <v>0</v>
          </cell>
          <cell r="Y49">
            <v>0</v>
          </cell>
          <cell r="AE49">
            <v>0</v>
          </cell>
          <cell r="AM49">
            <v>0</v>
          </cell>
          <cell r="AS49">
            <v>0</v>
          </cell>
          <cell r="AU49">
            <v>0</v>
          </cell>
          <cell r="AW49">
            <v>0</v>
          </cell>
        </row>
        <row r="51">
          <cell r="BW51">
            <v>0</v>
          </cell>
        </row>
        <row r="52">
          <cell r="BW52">
            <v>1603.8236909777477</v>
          </cell>
        </row>
        <row r="57">
          <cell r="U57">
            <v>0</v>
          </cell>
        </row>
        <row r="60">
          <cell r="C60">
            <v>14937.418433345023</v>
          </cell>
          <cell r="E60">
            <v>-23872.134589465371</v>
          </cell>
          <cell r="G60">
            <v>-95939.022303912207</v>
          </cell>
          <cell r="O60">
            <v>1741.9870921642901</v>
          </cell>
          <cell r="Q60">
            <v>859.56009351791636</v>
          </cell>
          <cell r="Y60">
            <v>0</v>
          </cell>
          <cell r="AE60">
            <v>0</v>
          </cell>
          <cell r="AM60">
            <v>8758.1322786713827</v>
          </cell>
          <cell r="AS60">
            <v>-393.52346750000004</v>
          </cell>
          <cell r="AU60">
            <v>3.4903451679999997</v>
          </cell>
          <cell r="AW60">
            <v>16.15769887098077</v>
          </cell>
        </row>
        <row r="61">
          <cell r="BW61">
            <v>0</v>
          </cell>
        </row>
        <row r="62">
          <cell r="C62">
            <v>-74149.730020000003</v>
          </cell>
          <cell r="E62">
            <v>-13889.844554272946</v>
          </cell>
          <cell r="G62">
            <v>-11953.902991875982</v>
          </cell>
          <cell r="O62">
            <v>751.55796519781609</v>
          </cell>
          <cell r="Q62">
            <v>-2389.481532091489</v>
          </cell>
          <cell r="Y62">
            <v>92.382840090831223</v>
          </cell>
          <cell r="AE62">
            <v>-890.68248720698011</v>
          </cell>
          <cell r="AM62">
            <v>-3454.6020312740002</v>
          </cell>
          <cell r="AS62">
            <v>5610.4224000000004</v>
          </cell>
          <cell r="AU62">
            <v>-54.439062087500005</v>
          </cell>
          <cell r="AW62">
            <v>150.58283283302947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PR"/>
      <sheetName val="Export"/>
    </sheetNames>
    <sheetDataSet>
      <sheetData sheetId="0">
        <row r="61">
          <cell r="S61">
            <v>-272.01207455783566</v>
          </cell>
        </row>
        <row r="62">
          <cell r="S62">
            <v>2744.4147802832836</v>
          </cell>
        </row>
      </sheetData>
      <sheetData sheetId="1"/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DPR"/>
      <sheetName val="Origination"/>
      <sheetName val="Export"/>
      <sheetName val="Report_Controls"/>
      <sheetName val="ScheduleC"/>
      <sheetName val="Schedules"/>
      <sheetName val="Controls Export"/>
    </sheetNames>
    <sheetDataSet>
      <sheetData sheetId="0"/>
      <sheetData sheetId="1"/>
      <sheetData sheetId="2"/>
      <sheetData sheetId="3">
        <row r="61">
          <cell r="I61">
            <v>-735323.40588446124</v>
          </cell>
        </row>
        <row r="62">
          <cell r="I62">
            <v>87152.136352617294</v>
          </cell>
        </row>
      </sheetData>
      <sheetData sheetId="4"/>
      <sheetData sheetId="5"/>
      <sheetData sheetId="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Download"/>
      <sheetName val="FX Download2"/>
      <sheetName val="New TopPage"/>
      <sheetName val="Report"/>
      <sheetName val="Input"/>
      <sheetName val="HSNWE"/>
      <sheetName val="HSMF"/>
      <sheetName val="HSCIF"/>
      <sheetName val="LSMF"/>
      <sheetName val="LSNF"/>
      <sheetName val="LSNC"/>
      <sheetName val="LSMC"/>
      <sheetName val="BRENT"/>
      <sheetName val="FX"/>
      <sheetName val="FX2"/>
      <sheetName val="CRUDE"/>
      <sheetName val=".2% Gasoil"/>
      <sheetName val="SIFO"/>
      <sheetName val="HFO"/>
      <sheetName val="Gasoil"/>
      <sheetName val="Midlands"/>
      <sheetName val="TopPage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>
        <row r="39">
          <cell r="AK39">
            <v>0</v>
          </cell>
        </row>
        <row r="41">
          <cell r="AK41">
            <v>844.73455579999973</v>
          </cell>
        </row>
        <row r="42">
          <cell r="AK42">
            <v>-1563.6561433977797</v>
          </cell>
        </row>
        <row r="43">
          <cell r="AK43">
            <v>0</v>
          </cell>
        </row>
        <row r="44">
          <cell r="AK44">
            <v>0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-25</v>
          </cell>
        </row>
        <row r="51">
          <cell r="AK51">
            <v>0</v>
          </cell>
        </row>
        <row r="52">
          <cell r="AK52">
            <v>-17.143869381085832</v>
          </cell>
        </row>
        <row r="57">
          <cell r="AK57">
            <v>150.68833890879782</v>
          </cell>
        </row>
        <row r="58">
          <cell r="AK58">
            <v>-189.53774588062515</v>
          </cell>
        </row>
        <row r="60">
          <cell r="AK60">
            <v>-34390.442669934564</v>
          </cell>
        </row>
        <row r="61">
          <cell r="AK61">
            <v>0</v>
          </cell>
        </row>
        <row r="62">
          <cell r="AK62">
            <v>81221.38606502513</v>
          </cell>
        </row>
        <row r="63">
          <cell r="AK63">
            <v>46830.943395090588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Report"/>
      <sheetName val="Input"/>
      <sheetName val="HSNWE"/>
      <sheetName val="Storage"/>
      <sheetName val="FX"/>
      <sheetName val="Module1"/>
      <sheetName val="BRENT"/>
      <sheetName val="FX download"/>
      <sheetName val="Orig Sched"/>
      <sheetName val="Module2"/>
    </sheetNames>
    <sheetDataSet>
      <sheetData sheetId="0" refreshError="1"/>
      <sheetData sheetId="1">
        <row r="39">
          <cell r="M39">
            <v>0</v>
          </cell>
        </row>
        <row r="41">
          <cell r="M41">
            <v>0</v>
          </cell>
        </row>
        <row r="42">
          <cell r="M42">
            <v>-8.6262969000000247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M46">
            <v>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1">
          <cell r="M51">
            <v>0</v>
          </cell>
        </row>
        <row r="52">
          <cell r="M52">
            <v>4.8558446999999996</v>
          </cell>
        </row>
        <row r="57">
          <cell r="K57">
            <v>0</v>
          </cell>
          <cell r="M57">
            <v>35.998924900000013</v>
          </cell>
        </row>
        <row r="58">
          <cell r="K58">
            <v>0</v>
          </cell>
          <cell r="M58">
            <v>-8.9357273000000017</v>
          </cell>
        </row>
        <row r="60">
          <cell r="M60">
            <v>-3475.6156968078399</v>
          </cell>
        </row>
        <row r="61">
          <cell r="M61">
            <v>0</v>
          </cell>
        </row>
        <row r="62">
          <cell r="M62">
            <v>-46245.342974999992</v>
          </cell>
        </row>
        <row r="63">
          <cell r="M63">
            <v>-49720.959142007829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DPR SUMMARY"/>
      <sheetName val="Report"/>
      <sheetName val="Input"/>
      <sheetName val="C3-EURO"/>
      <sheetName val="C3-US"/>
      <sheetName val="NC4-EURO"/>
      <sheetName val="NC4-US"/>
      <sheetName val="BRENT"/>
      <sheetName val="WTI"/>
      <sheetName val="Cremona"/>
      <sheetName val="Naptha"/>
      <sheetName val="C2-US"/>
      <sheetName val="ASIAN OPTION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 refreshError="1"/>
      <sheetData sheetId="2">
        <row r="39">
          <cell r="AD39">
            <v>0</v>
          </cell>
        </row>
        <row r="41">
          <cell r="AD41">
            <v>58.289715099999981</v>
          </cell>
        </row>
        <row r="42">
          <cell r="AD42">
            <v>1338.0898078000007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-7.3763000000000231E-3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-51</v>
          </cell>
        </row>
        <row r="51">
          <cell r="AD51">
            <v>0</v>
          </cell>
        </row>
        <row r="52">
          <cell r="AD52">
            <v>0</v>
          </cell>
        </row>
        <row r="57">
          <cell r="AD57">
            <v>29.4474923</v>
          </cell>
        </row>
        <row r="58">
          <cell r="AD58">
            <v>-9.7884041999999987</v>
          </cell>
        </row>
        <row r="60">
          <cell r="AD60">
            <v>-3635.3679866999992</v>
          </cell>
        </row>
        <row r="61">
          <cell r="AD61">
            <v>0</v>
          </cell>
        </row>
        <row r="62">
          <cell r="AD62">
            <v>-25466.058173620695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Report"/>
      <sheetName val="Input"/>
      <sheetName val="C3-EURO"/>
      <sheetName val="NC4-EURO"/>
      <sheetName val="BRENT"/>
      <sheetName val="NAPTHA"/>
      <sheetName val="WTI"/>
      <sheetName val="Premium Unleaded"/>
      <sheetName val="C3-US"/>
      <sheetName val="NC4-US"/>
      <sheetName val="C2-US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>
        <row r="39">
          <cell r="Y39">
            <v>0</v>
          </cell>
        </row>
        <row r="41">
          <cell r="Y41">
            <v>0</v>
          </cell>
        </row>
        <row r="42">
          <cell r="Y42">
            <v>-599.06262300000071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2.9188187000000028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-164.19239299999998</v>
          </cell>
        </row>
        <row r="58">
          <cell r="Y58">
            <v>39.675323599999999</v>
          </cell>
        </row>
        <row r="60">
          <cell r="Y60">
            <v>10930.926119599999</v>
          </cell>
        </row>
        <row r="61">
          <cell r="Y61">
            <v>0</v>
          </cell>
        </row>
        <row r="62">
          <cell r="Y62">
            <v>2834.5186611000017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Report"/>
      <sheetName val="New Top Sheet"/>
      <sheetName val="Input"/>
      <sheetName val="2%GASOIL CIF"/>
      <sheetName val="2%GASOIL FOB"/>
      <sheetName val="IPE GASOIL"/>
      <sheetName val="EN590"/>
      <sheetName val="UNL"/>
      <sheetName val="NAPTHA"/>
      <sheetName val="BRENT"/>
      <sheetName val="CRUDE"/>
      <sheetName val="HO"/>
      <sheetName val="Singapore Gasoil"/>
      <sheetName val="Jet , Kero"/>
      <sheetName val="Module1"/>
      <sheetName val="Dubai"/>
      <sheetName val="Freight"/>
      <sheetName val="Freight_SM"/>
      <sheetName val="Orig Sched"/>
      <sheetName val="TopPage"/>
    </sheetNames>
    <sheetDataSet>
      <sheetData sheetId="0" refreshError="1"/>
      <sheetData sheetId="1">
        <row r="39">
          <cell r="AH39">
            <v>0</v>
          </cell>
        </row>
        <row r="41">
          <cell r="AH41">
            <v>-123.54975400000069</v>
          </cell>
        </row>
        <row r="42">
          <cell r="AH42">
            <v>187.55516029999683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  <row r="46">
          <cell r="AH46">
            <v>0</v>
          </cell>
        </row>
        <row r="47">
          <cell r="AH47">
            <v>0</v>
          </cell>
        </row>
        <row r="48">
          <cell r="AH48">
            <v>0</v>
          </cell>
        </row>
        <row r="49">
          <cell r="AH49">
            <v>-6</v>
          </cell>
        </row>
        <row r="51">
          <cell r="AH51">
            <v>0</v>
          </cell>
        </row>
        <row r="52">
          <cell r="AH52">
            <v>2.1568999999999994E-3</v>
          </cell>
        </row>
        <row r="57">
          <cell r="AH57">
            <v>-0.48615730000000018</v>
          </cell>
        </row>
        <row r="58">
          <cell r="AH58">
            <v>-1.0692557999999988</v>
          </cell>
        </row>
        <row r="60">
          <cell r="AH60">
            <v>5333.3139829999991</v>
          </cell>
        </row>
        <row r="61">
          <cell r="AH61">
            <v>0</v>
          </cell>
        </row>
        <row r="62">
          <cell r="AH62">
            <v>-6948.3980159152479</v>
          </cell>
        </row>
        <row r="63">
          <cell r="AH63">
            <v>-1615.084032915245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R70"/>
  <sheetViews>
    <sheetView tabSelected="1" topLeftCell="A36" zoomScale="75" workbookViewId="0">
      <selection activeCell="S59" sqref="S59"/>
    </sheetView>
  </sheetViews>
  <sheetFormatPr defaultRowHeight="13.2"/>
  <cols>
    <col min="1" max="1" width="36.44140625" bestFit="1" customWidth="1"/>
    <col min="2" max="2" width="3" customWidth="1"/>
    <col min="3" max="3" width="18.33203125" bestFit="1" customWidth="1"/>
    <col min="4" max="4" width="2.88671875" customWidth="1"/>
    <col min="5" max="5" width="18.109375" hidden="1" customWidth="1"/>
    <col min="6" max="6" width="2.44140625" hidden="1" customWidth="1"/>
    <col min="7" max="7" width="18.109375" bestFit="1" customWidth="1"/>
    <col min="8" max="8" width="2.33203125" customWidth="1"/>
    <col min="9" max="9" width="12" bestFit="1" customWidth="1"/>
    <col min="10" max="10" width="2.33203125" customWidth="1"/>
    <col min="11" max="11" width="13.33203125" hidden="1" customWidth="1"/>
    <col min="12" max="12" width="2" hidden="1" customWidth="1"/>
    <col min="13" max="13" width="11.6640625" hidden="1" customWidth="1"/>
    <col min="14" max="14" width="2.44140625" hidden="1" customWidth="1"/>
    <col min="15" max="15" width="15.88671875" bestFit="1" customWidth="1"/>
    <col min="16" max="16" width="2.6640625" customWidth="1"/>
    <col min="17" max="17" width="14" bestFit="1" customWidth="1"/>
    <col min="18" max="18" width="2.6640625" customWidth="1"/>
    <col min="19" max="19" width="14.5546875" bestFit="1" customWidth="1"/>
    <col min="20" max="20" width="2.6640625" customWidth="1"/>
    <col min="21" max="21" width="15.109375" bestFit="1" customWidth="1"/>
    <col min="22" max="22" width="3.5546875" customWidth="1"/>
    <col min="23" max="23" width="14" bestFit="1" customWidth="1"/>
    <col min="24" max="24" width="2.44140625" customWidth="1"/>
    <col min="25" max="25" width="12.88671875" bestFit="1" customWidth="1"/>
    <col min="26" max="26" width="2.33203125" customWidth="1"/>
    <col min="27" max="27" width="13.44140625" bestFit="1" customWidth="1"/>
    <col min="28" max="28" width="2.33203125" customWidth="1"/>
    <col min="29" max="29" width="18.6640625" hidden="1" customWidth="1"/>
    <col min="30" max="30" width="3" hidden="1" customWidth="1"/>
    <col min="31" max="31" width="18.44140625" hidden="1" customWidth="1"/>
    <col min="32" max="32" width="2.88671875" hidden="1" customWidth="1"/>
    <col min="33" max="33" width="18.44140625" hidden="1" customWidth="1"/>
    <col min="34" max="34" width="3.44140625" hidden="1" customWidth="1"/>
    <col min="35" max="35" width="18.44140625" hidden="1" customWidth="1"/>
    <col min="36" max="36" width="3.109375" hidden="1" customWidth="1"/>
    <col min="37" max="37" width="18.44140625" hidden="1" customWidth="1"/>
    <col min="38" max="38" width="4.109375" hidden="1" customWidth="1"/>
    <col min="39" max="39" width="18.6640625" style="356" bestFit="1" customWidth="1"/>
    <col min="40" max="40" width="3.109375" customWidth="1"/>
    <col min="41" max="41" width="17.88671875" customWidth="1"/>
    <col min="42" max="42" width="2.44140625" customWidth="1"/>
    <col min="43" max="43" width="17.88671875" customWidth="1"/>
    <col min="44" max="44" width="2.6640625" customWidth="1"/>
    <col min="45" max="45" width="19.109375" customWidth="1"/>
    <col min="46" max="46" width="2.44140625" customWidth="1"/>
    <col min="47" max="47" width="20.33203125" customWidth="1"/>
    <col min="48" max="48" width="10.109375" customWidth="1"/>
    <col min="49" max="49" width="18.88671875" customWidth="1"/>
    <col min="50" max="50" width="3" customWidth="1"/>
    <col min="51" max="51" width="18.88671875" customWidth="1"/>
    <col min="52" max="52" width="2.44140625" customWidth="1"/>
    <col min="53" max="53" width="18.88671875" customWidth="1"/>
    <col min="54" max="54" width="2.33203125" customWidth="1"/>
    <col min="55" max="55" width="14.44140625" customWidth="1"/>
    <col min="56" max="56" width="2.33203125" customWidth="1"/>
    <col min="57" max="57" width="15.44140625" customWidth="1"/>
    <col min="58" max="58" width="3" customWidth="1"/>
    <col min="59" max="59" width="11.88671875" customWidth="1"/>
    <col min="60" max="60" width="2.6640625" customWidth="1"/>
    <col min="61" max="61" width="14.88671875" customWidth="1"/>
    <col min="62" max="62" width="2.88671875" customWidth="1"/>
    <col min="63" max="63" width="13.33203125" bestFit="1" customWidth="1"/>
    <col min="64" max="64" width="4.33203125" customWidth="1"/>
    <col min="65" max="65" width="10.88671875" hidden="1" customWidth="1"/>
    <col min="66" max="66" width="3.33203125" hidden="1" customWidth="1"/>
    <col min="67" max="67" width="10.33203125" hidden="1" customWidth="1"/>
    <col min="68" max="68" width="2.33203125" hidden="1" customWidth="1"/>
    <col min="69" max="69" width="14" bestFit="1" customWidth="1"/>
    <col min="70" max="70" width="3.44140625" customWidth="1"/>
    <col min="71" max="71" width="18.88671875" customWidth="1"/>
    <col min="72" max="72" width="2.44140625" customWidth="1"/>
    <col min="73" max="73" width="18.88671875" customWidth="1"/>
    <col min="74" max="74" width="3.6640625" customWidth="1"/>
    <col min="75" max="75" width="13.5546875" hidden="1" customWidth="1"/>
    <col min="76" max="76" width="2.44140625" hidden="1" customWidth="1"/>
    <col min="77" max="77" width="13.5546875" hidden="1" customWidth="1"/>
    <col min="78" max="78" width="2.44140625" hidden="1" customWidth="1"/>
    <col min="79" max="79" width="13.5546875" hidden="1" customWidth="1"/>
    <col min="80" max="80" width="2.88671875" hidden="1" customWidth="1"/>
    <col min="81" max="81" width="14.6640625" bestFit="1" customWidth="1"/>
    <col min="82" max="82" width="3" customWidth="1"/>
    <col min="83" max="83" width="14.44140625" customWidth="1"/>
    <col min="85" max="85" width="40.33203125" bestFit="1" customWidth="1"/>
    <col min="86" max="86" width="2.44140625" customWidth="1"/>
    <col min="87" max="87" width="15.6640625" customWidth="1"/>
    <col min="88" max="88" width="13.5546875" customWidth="1"/>
    <col min="89" max="89" width="13.33203125" customWidth="1"/>
    <col min="91" max="91" width="9.109375" hidden="1" customWidth="1"/>
    <col min="92" max="92" width="13.33203125" hidden="1" customWidth="1"/>
  </cols>
  <sheetData>
    <row r="1" spans="1:95" s="4" customFormat="1" ht="14.1" customHeight="1">
      <c r="A1" s="2" t="s">
        <v>3</v>
      </c>
      <c r="B1" s="291"/>
      <c r="C1" s="292"/>
      <c r="D1" s="293"/>
      <c r="E1" s="292"/>
      <c r="F1" s="293"/>
      <c r="G1" s="292"/>
      <c r="H1" s="293"/>
      <c r="AC1" s="8"/>
      <c r="AD1" s="8"/>
      <c r="AE1" s="8"/>
      <c r="AF1" s="8"/>
      <c r="AG1" s="8"/>
      <c r="AH1" s="8"/>
      <c r="AI1" s="8"/>
      <c r="AJ1" s="8"/>
      <c r="AK1" s="8"/>
      <c r="AL1" s="8"/>
      <c r="AM1" s="343"/>
      <c r="AN1" s="294"/>
      <c r="AO1" s="292"/>
      <c r="AP1" s="294"/>
      <c r="AQ1" s="295" t="s">
        <v>3</v>
      </c>
      <c r="AR1" s="1"/>
      <c r="AS1" s="7"/>
      <c r="AT1" s="1"/>
      <c r="AU1" s="5"/>
      <c r="AV1" s="1"/>
      <c r="BB1" s="1"/>
      <c r="BD1" s="1"/>
      <c r="BE1" s="9"/>
      <c r="BF1" s="1"/>
      <c r="BG1" s="10"/>
      <c r="BH1" s="10"/>
      <c r="BI1" s="10"/>
      <c r="BJ1" s="10"/>
      <c r="BK1" s="10"/>
      <c r="BL1" s="10"/>
      <c r="BM1" s="10"/>
      <c r="BN1" s="10"/>
      <c r="BO1" s="10"/>
      <c r="BP1" s="1"/>
      <c r="BR1" s="1"/>
      <c r="BT1" s="10"/>
      <c r="BV1" s="10"/>
      <c r="BX1" s="10"/>
      <c r="BZ1" s="10"/>
      <c r="CB1" s="11"/>
      <c r="CC1" s="10"/>
      <c r="CD1" s="12"/>
      <c r="CE1" s="13"/>
      <c r="CG1" s="14" t="str">
        <f>A1</f>
        <v xml:space="preserve"> </v>
      </c>
      <c r="CL1"/>
      <c r="CM1"/>
    </row>
    <row r="2" spans="1:95" s="4" customFormat="1" ht="13.5" customHeight="1">
      <c r="A2" s="2" t="s">
        <v>1</v>
      </c>
      <c r="B2" s="296"/>
      <c r="C2" s="297"/>
      <c r="D2" s="298"/>
      <c r="E2" s="297"/>
      <c r="F2" s="298"/>
      <c r="G2" s="297"/>
      <c r="H2" s="29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344"/>
      <c r="AN2" s="299"/>
      <c r="AO2" s="297"/>
      <c r="AP2" s="299"/>
      <c r="AQ2" s="300"/>
      <c r="AR2" s="1"/>
      <c r="AS2" s="17"/>
      <c r="AT2" s="1"/>
      <c r="AU2" s="16"/>
      <c r="AV2" s="1"/>
      <c r="AW2" s="15"/>
      <c r="AX2" s="15"/>
      <c r="AY2" s="15"/>
      <c r="AZ2" s="15"/>
      <c r="BA2" s="15"/>
      <c r="BB2" s="1"/>
      <c r="BC2" s="15"/>
      <c r="BD2" s="1"/>
      <c r="BE2" s="9"/>
      <c r="BF2" s="1"/>
      <c r="BG2" s="10"/>
      <c r="BH2" s="10"/>
      <c r="BI2" s="10"/>
      <c r="BJ2" s="10"/>
      <c r="BK2" s="10"/>
      <c r="BL2" s="10"/>
      <c r="BM2" s="10"/>
      <c r="BN2" s="10"/>
      <c r="BO2" s="10"/>
      <c r="BP2" s="1"/>
      <c r="BQ2" s="15"/>
      <c r="BR2" s="1"/>
      <c r="BS2" s="15"/>
      <c r="BT2" s="10"/>
      <c r="BU2" s="15"/>
      <c r="BV2" s="10"/>
      <c r="BW2" s="15"/>
      <c r="BX2" s="10"/>
      <c r="BY2" s="15"/>
      <c r="BZ2" s="10"/>
      <c r="CA2" s="15"/>
      <c r="CB2" s="11"/>
      <c r="CC2" s="10"/>
      <c r="CD2" s="12"/>
      <c r="CE2" s="18"/>
      <c r="CG2" s="14" t="str">
        <f>A2</f>
        <v>DAILY POSITION REPORT</v>
      </c>
      <c r="CI2" s="19"/>
      <c r="CJ2" s="19"/>
      <c r="CK2" s="19"/>
      <c r="CL2"/>
      <c r="CM2"/>
    </row>
    <row r="3" spans="1:95" s="4" customFormat="1" ht="14.1" customHeight="1" thickBot="1">
      <c r="A3" s="2" t="s">
        <v>8</v>
      </c>
      <c r="B3" s="301"/>
      <c r="C3" s="302"/>
      <c r="D3" s="303"/>
      <c r="E3" s="302"/>
      <c r="F3" s="304"/>
      <c r="G3" s="302"/>
      <c r="H3" s="304"/>
      <c r="AM3" s="345"/>
      <c r="AN3" s="305"/>
      <c r="AO3" s="302"/>
      <c r="AP3" s="305"/>
      <c r="AQ3" s="306"/>
      <c r="AR3" s="1"/>
      <c r="AS3" s="19"/>
      <c r="AT3" s="22"/>
      <c r="AU3" s="23"/>
      <c r="AV3" s="1"/>
      <c r="BB3" s="1"/>
      <c r="BD3" s="1"/>
      <c r="BE3" s="24"/>
      <c r="BF3" s="1"/>
      <c r="BP3" s="1"/>
      <c r="BR3" s="1"/>
      <c r="CB3" s="5"/>
      <c r="CD3" s="5"/>
      <c r="CE3" s="25"/>
      <c r="CF3" s="26"/>
      <c r="CG3" s="14" t="s">
        <v>9</v>
      </c>
      <c r="CH3" s="26"/>
      <c r="CI3" s="19"/>
      <c r="CJ3" s="19"/>
      <c r="CK3" s="19"/>
      <c r="CL3"/>
      <c r="CM3"/>
    </row>
    <row r="4" spans="1:95" s="4" customFormat="1" ht="16.2" thickBot="1">
      <c r="A4" s="290">
        <v>37225</v>
      </c>
      <c r="B4" s="3"/>
      <c r="C4" s="28"/>
      <c r="D4" s="29"/>
      <c r="E4" s="28"/>
      <c r="F4" s="30"/>
      <c r="G4" s="28"/>
      <c r="H4" s="30"/>
      <c r="I4" s="28"/>
      <c r="J4" s="216"/>
      <c r="K4" s="28"/>
      <c r="L4" s="216"/>
      <c r="M4" s="28"/>
      <c r="N4" s="216"/>
      <c r="O4" s="28"/>
      <c r="P4" s="216"/>
      <c r="Q4" s="28"/>
      <c r="R4" s="216"/>
      <c r="S4" s="28"/>
      <c r="T4" s="216"/>
      <c r="U4" s="28"/>
      <c r="V4" s="216"/>
      <c r="W4" s="28"/>
      <c r="X4" s="216"/>
      <c r="Y4" s="28"/>
      <c r="Z4" s="216"/>
      <c r="AA4" s="28"/>
      <c r="AB4" s="216"/>
      <c r="AC4" s="28"/>
      <c r="AD4" s="216"/>
      <c r="AE4" s="28"/>
      <c r="AF4" s="216"/>
      <c r="AG4" s="28"/>
      <c r="AH4" s="216"/>
      <c r="AI4" s="28"/>
      <c r="AJ4" s="216"/>
      <c r="AK4" s="28"/>
      <c r="AL4" s="216"/>
      <c r="AM4" s="357"/>
      <c r="AN4" s="1"/>
      <c r="AO4" s="28"/>
      <c r="AP4" s="1"/>
      <c r="AQ4" s="28" t="s">
        <v>3</v>
      </c>
      <c r="AR4" s="1"/>
      <c r="AS4" s="28"/>
      <c r="AT4" s="1"/>
      <c r="AU4" s="29"/>
      <c r="AV4" s="1"/>
      <c r="AW4" s="216"/>
      <c r="AX4" s="216"/>
      <c r="AY4" s="216"/>
      <c r="AZ4" s="216"/>
      <c r="BA4" s="216"/>
      <c r="BB4" s="1"/>
      <c r="BC4" s="28"/>
      <c r="BD4" s="1"/>
      <c r="BE4" s="28"/>
      <c r="BF4" s="1"/>
      <c r="BG4" s="31"/>
      <c r="BH4" s="20"/>
      <c r="BI4" s="31"/>
      <c r="BJ4" s="20"/>
      <c r="BK4" s="31"/>
      <c r="BL4" s="20"/>
      <c r="BM4" s="20"/>
      <c r="BN4" s="20"/>
      <c r="BO4" s="20"/>
      <c r="BP4" s="1"/>
      <c r="BQ4" s="28"/>
      <c r="BR4" s="1"/>
      <c r="BS4" s="216"/>
      <c r="BT4" s="31"/>
      <c r="BU4" s="216"/>
      <c r="BV4" s="31"/>
      <c r="BW4" s="216"/>
      <c r="BX4" s="31"/>
      <c r="BY4" s="216"/>
      <c r="BZ4" s="31"/>
      <c r="CA4" s="216"/>
      <c r="CB4" s="32"/>
      <c r="CC4" s="31"/>
      <c r="CD4" s="5"/>
      <c r="CG4" s="27">
        <f>A4</f>
        <v>37225</v>
      </c>
      <c r="CI4" s="19"/>
      <c r="CJ4" s="19"/>
      <c r="CL4"/>
      <c r="CM4"/>
    </row>
    <row r="5" spans="1:95" s="13" customFormat="1" ht="46.5" customHeight="1">
      <c r="A5" s="10"/>
      <c r="B5" s="225"/>
      <c r="C5" s="259"/>
      <c r="D5" s="260"/>
      <c r="E5" s="259"/>
      <c r="F5" s="260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346"/>
      <c r="BB5" s="262"/>
      <c r="BC5" s="259"/>
      <c r="BD5" s="262"/>
      <c r="BF5" s="22"/>
      <c r="BP5" s="22"/>
      <c r="BQ5" s="247"/>
      <c r="BR5" s="22"/>
      <c r="CB5" s="221"/>
      <c r="CD5" s="221"/>
      <c r="CG5" s="10"/>
      <c r="CL5" s="37"/>
      <c r="CM5" s="37"/>
    </row>
    <row r="6" spans="1:95" s="13" customFormat="1" ht="13.5" customHeight="1">
      <c r="A6" s="10"/>
      <c r="B6" s="225"/>
      <c r="C6" s="258"/>
      <c r="D6" s="12"/>
      <c r="E6" s="258"/>
      <c r="F6" s="12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347"/>
      <c r="BB6" s="22"/>
      <c r="BC6" s="258"/>
      <c r="BD6" s="22"/>
      <c r="BF6" s="22"/>
      <c r="BP6" s="22"/>
      <c r="BQ6" s="247"/>
      <c r="BR6" s="22"/>
      <c r="CB6" s="221"/>
      <c r="CD6" s="221"/>
      <c r="CG6" s="10"/>
      <c r="CL6" s="37"/>
      <c r="CM6" s="37"/>
    </row>
    <row r="7" spans="1:95" s="13" customFormat="1" ht="15.6">
      <c r="A7" s="285" t="s">
        <v>189</v>
      </c>
      <c r="B7" s="225"/>
      <c r="C7" s="494"/>
      <c r="D7" s="12"/>
      <c r="E7" s="494"/>
      <c r="F7" s="12"/>
      <c r="G7" s="493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O7" s="493"/>
      <c r="AQ7" s="493"/>
      <c r="AS7" s="493"/>
      <c r="AU7" s="493"/>
      <c r="AW7" s="493"/>
      <c r="AX7" s="493"/>
      <c r="AY7" s="493"/>
      <c r="AZ7" s="493"/>
      <c r="BA7" s="493"/>
      <c r="BC7" s="247"/>
      <c r="BF7" s="22"/>
      <c r="BP7" s="22"/>
      <c r="BQ7" s="247"/>
      <c r="BR7" s="22"/>
      <c r="BS7" s="340"/>
      <c r="BU7" s="340"/>
      <c r="BW7" s="340"/>
      <c r="BY7" s="340"/>
      <c r="CA7" s="340"/>
      <c r="CB7" s="221"/>
      <c r="CD7" s="22"/>
      <c r="CG7" s="10"/>
      <c r="CL7" s="37"/>
      <c r="CM7" s="37"/>
    </row>
    <row r="8" spans="1:95" s="13" customFormat="1" ht="16.2" thickBot="1">
      <c r="A8" s="10"/>
      <c r="B8" s="260"/>
      <c r="D8" s="12"/>
      <c r="F8" s="12"/>
      <c r="H8" s="12"/>
      <c r="AM8" s="348"/>
      <c r="AN8" s="22"/>
      <c r="AO8" s="258"/>
      <c r="AP8" s="22"/>
      <c r="AQ8" s="258"/>
      <c r="AR8" s="22"/>
      <c r="AS8" s="258"/>
      <c r="AT8" s="22"/>
      <c r="AU8" s="247"/>
      <c r="AV8" s="22"/>
      <c r="AW8" s="258"/>
      <c r="AX8" s="258"/>
      <c r="AY8" s="258"/>
      <c r="AZ8" s="258"/>
      <c r="BA8" s="258"/>
      <c r="BB8" s="22"/>
      <c r="BC8" s="258"/>
      <c r="BD8" s="22"/>
      <c r="BE8" s="247"/>
      <c r="BF8" s="22"/>
      <c r="BG8" s="247"/>
      <c r="BH8" s="247"/>
      <c r="BI8" s="247"/>
      <c r="BJ8" s="247"/>
      <c r="BK8" s="247"/>
      <c r="BL8" s="247"/>
      <c r="BM8" s="247"/>
      <c r="BN8" s="247"/>
      <c r="BO8" s="247"/>
      <c r="BP8" s="22"/>
      <c r="BR8" s="22"/>
      <c r="BS8" s="258"/>
      <c r="BT8" s="247"/>
      <c r="BU8" s="258"/>
      <c r="BV8" s="247"/>
      <c r="BW8" s="258"/>
      <c r="BX8" s="247"/>
      <c r="BY8" s="258"/>
      <c r="BZ8" s="247"/>
      <c r="CA8" s="258"/>
      <c r="CB8" s="221"/>
      <c r="CD8" s="221"/>
      <c r="CG8" s="10"/>
      <c r="CI8" s="247"/>
      <c r="CJ8" s="247"/>
      <c r="CK8" s="247"/>
      <c r="CL8" s="22"/>
      <c r="CM8" s="22"/>
    </row>
    <row r="9" spans="1:95" s="13" customFormat="1" ht="16.2" thickBot="1">
      <c r="A9" s="10"/>
      <c r="B9" s="260"/>
      <c r="D9" s="12"/>
      <c r="E9" s="22"/>
      <c r="F9" s="12"/>
      <c r="H9" s="12"/>
      <c r="AM9" s="348"/>
      <c r="AN9" s="22"/>
      <c r="AO9" s="204"/>
      <c r="AP9" s="22"/>
      <c r="AS9" s="601" t="s">
        <v>197</v>
      </c>
      <c r="AT9" s="602"/>
      <c r="AU9" s="602"/>
      <c r="AV9" s="602"/>
      <c r="AW9" s="602"/>
      <c r="AX9" s="602"/>
      <c r="AY9" s="602"/>
      <c r="AZ9" s="602"/>
      <c r="BA9" s="602"/>
      <c r="BB9" s="602"/>
      <c r="BC9" s="602"/>
      <c r="BD9" s="602"/>
      <c r="BE9" s="247"/>
      <c r="BF9" s="22"/>
      <c r="BG9" s="265"/>
      <c r="BH9" s="265"/>
      <c r="BI9" s="265"/>
      <c r="BJ9" s="265"/>
      <c r="BK9" s="265"/>
      <c r="BL9" s="265"/>
      <c r="BM9" s="265"/>
      <c r="BN9" s="265"/>
      <c r="BO9" s="265"/>
      <c r="BT9" s="265"/>
      <c r="BV9" s="265"/>
      <c r="BX9" s="265"/>
      <c r="BZ9" s="265"/>
      <c r="CC9" s="228"/>
      <c r="CD9" s="221"/>
      <c r="CG9" s="10"/>
      <c r="CI9" s="247"/>
      <c r="CJ9" s="247"/>
      <c r="CK9" s="247"/>
      <c r="CL9" s="22"/>
      <c r="CM9" s="22"/>
    </row>
    <row r="10" spans="1:95" s="13" customFormat="1" ht="16.2" thickBot="1">
      <c r="A10" s="10"/>
      <c r="B10" s="225"/>
      <c r="C10" s="263"/>
      <c r="D10" s="221"/>
      <c r="E10" s="263"/>
      <c r="F10" s="221"/>
      <c r="H10" s="277">
        <f>dpr_date</f>
        <v>37225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349"/>
      <c r="AN10" s="22">
        <f>dpr_date</f>
        <v>37225</v>
      </c>
      <c r="AP10" s="22"/>
      <c r="AQ10" s="263"/>
      <c r="AR10" s="22"/>
      <c r="AS10" s="263"/>
      <c r="AT10" s="22"/>
      <c r="AU10" s="263"/>
      <c r="AV10" s="22"/>
      <c r="AW10" s="267"/>
      <c r="AX10" s="267"/>
      <c r="AY10" s="267"/>
      <c r="AZ10" s="267"/>
      <c r="BA10" s="267"/>
      <c r="BB10" s="22"/>
      <c r="BC10" s="263"/>
      <c r="BD10" s="22"/>
      <c r="BF10" s="22"/>
      <c r="BP10" s="22"/>
      <c r="BQ10" s="247"/>
      <c r="BR10" s="22"/>
      <c r="BS10" s="267"/>
      <c r="BU10" s="267"/>
      <c r="BW10" s="267"/>
      <c r="BY10" s="267"/>
      <c r="CA10" s="267"/>
      <c r="CB10" s="221"/>
      <c r="CD10" s="221"/>
      <c r="CG10" s="10"/>
      <c r="CL10" s="22"/>
      <c r="CM10" s="22"/>
    </row>
    <row r="11" spans="1:95" s="13" customFormat="1" ht="15.6">
      <c r="A11" s="10"/>
      <c r="B11" s="225"/>
      <c r="C11" s="268"/>
      <c r="D11" s="221"/>
      <c r="E11" s="268"/>
      <c r="F11" s="221"/>
      <c r="G11" s="282" t="s">
        <v>226</v>
      </c>
      <c r="H11" s="260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350"/>
      <c r="AN11" s="22"/>
      <c r="AO11" s="307" t="s">
        <v>181</v>
      </c>
      <c r="AP11" s="308"/>
      <c r="AQ11" s="307"/>
      <c r="AR11" s="308"/>
      <c r="AS11" s="307"/>
      <c r="AT11" s="283"/>
      <c r="AU11" s="286"/>
      <c r="AV11" s="287"/>
      <c r="AW11" s="288"/>
      <c r="AX11" s="288"/>
      <c r="AY11" s="288"/>
      <c r="AZ11" s="288"/>
      <c r="BA11" s="288"/>
      <c r="BB11" s="22"/>
      <c r="BC11" s="269"/>
      <c r="BD11" s="22"/>
      <c r="BE11" s="265"/>
      <c r="BF11" s="22"/>
      <c r="BP11" s="22"/>
      <c r="BQ11" s="247"/>
      <c r="BR11" s="22"/>
      <c r="BS11" s="288"/>
      <c r="BU11" s="288"/>
      <c r="BW11" s="288"/>
      <c r="BY11" s="288"/>
      <c r="CA11" s="288"/>
      <c r="CB11" s="12"/>
      <c r="CD11" s="221"/>
      <c r="CG11" s="10"/>
      <c r="CI11" s="265"/>
      <c r="CJ11" s="265"/>
      <c r="CK11" s="197"/>
      <c r="CL11" s="22"/>
      <c r="CM11" s="22"/>
    </row>
    <row r="12" spans="1:95" s="13" customFormat="1" ht="14.1" customHeight="1">
      <c r="A12" s="270"/>
      <c r="B12" s="225"/>
      <c r="D12" s="221"/>
      <c r="F12" s="221"/>
      <c r="G12" s="281" t="s">
        <v>225</v>
      </c>
      <c r="H12" s="12"/>
      <c r="AM12" s="348"/>
      <c r="AN12" s="22"/>
      <c r="AO12" s="309" t="s">
        <v>182</v>
      </c>
      <c r="AP12" s="308"/>
      <c r="AQ12" s="309"/>
      <c r="AR12" s="308"/>
      <c r="AS12" s="310"/>
      <c r="AT12" s="283"/>
      <c r="AU12" s="289"/>
      <c r="AV12" s="287"/>
      <c r="AW12" s="289"/>
      <c r="AX12" s="289"/>
      <c r="AY12" s="289"/>
      <c r="AZ12" s="289"/>
      <c r="BA12" s="289"/>
      <c r="BB12" s="22"/>
      <c r="BD12" s="22"/>
      <c r="BF12" s="22"/>
      <c r="BP12" s="22"/>
      <c r="BR12" s="22"/>
      <c r="BS12" s="289"/>
      <c r="BU12" s="289"/>
      <c r="BW12" s="289"/>
      <c r="BY12" s="289"/>
      <c r="CA12" s="289"/>
      <c r="CB12" s="221"/>
      <c r="CD12" s="221"/>
      <c r="CG12" s="10"/>
      <c r="CI12" s="247"/>
      <c r="CK12" s="247"/>
      <c r="CL12" s="22"/>
      <c r="CM12" s="22"/>
    </row>
    <row r="13" spans="1:95" s="13" customFormat="1" ht="14.1" customHeight="1" thickBot="1">
      <c r="A13" s="10"/>
      <c r="B13" s="225"/>
      <c r="C13" s="268"/>
      <c r="D13" s="221"/>
      <c r="E13" s="268"/>
      <c r="F13" s="221"/>
      <c r="G13" s="280">
        <v>37087</v>
      </c>
      <c r="H13" s="22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350"/>
      <c r="AN13" s="22"/>
      <c r="AO13" s="309" t="s">
        <v>188</v>
      </c>
      <c r="AP13" s="308"/>
      <c r="AQ13" s="309"/>
      <c r="AR13" s="308"/>
      <c r="AS13" s="309"/>
      <c r="AT13" s="283"/>
      <c r="AU13" s="289"/>
      <c r="AV13" s="287"/>
      <c r="AW13" s="289"/>
      <c r="AX13" s="289"/>
      <c r="AY13" s="289"/>
      <c r="AZ13" s="289"/>
      <c r="BA13" s="289"/>
      <c r="BB13" s="22"/>
      <c r="BC13" s="263"/>
      <c r="BD13" s="22"/>
      <c r="BE13" s="197"/>
      <c r="BF13" s="22"/>
      <c r="BG13" s="247"/>
      <c r="BH13" s="247"/>
      <c r="BI13" s="247"/>
      <c r="BJ13" s="247"/>
      <c r="BK13" s="247"/>
      <c r="BL13" s="247"/>
      <c r="BM13" s="247"/>
      <c r="BN13" s="247"/>
      <c r="BO13" s="247"/>
      <c r="BP13" s="22"/>
      <c r="BQ13" s="247"/>
      <c r="BR13" s="22"/>
      <c r="BS13" s="289"/>
      <c r="BT13" s="247"/>
      <c r="BU13" s="289"/>
      <c r="BV13" s="247"/>
      <c r="BW13" s="289"/>
      <c r="BX13" s="247"/>
      <c r="BY13" s="289"/>
      <c r="BZ13" s="247"/>
      <c r="CA13" s="289"/>
      <c r="CB13" s="12"/>
      <c r="CD13" s="221"/>
      <c r="CE13" s="247"/>
      <c r="CF13" s="22"/>
      <c r="CG13" s="10"/>
      <c r="CI13" s="247"/>
      <c r="CJ13" s="197"/>
      <c r="CK13" s="247"/>
      <c r="CL13" s="271"/>
      <c r="CM13" s="271"/>
      <c r="CN13" s="247"/>
      <c r="CO13" s="247"/>
      <c r="CP13" s="247"/>
      <c r="CQ13" s="247"/>
    </row>
    <row r="14" spans="1:95" s="13" customFormat="1" ht="14.1" customHeight="1" thickBot="1">
      <c r="A14" s="313"/>
      <c r="B14" s="225"/>
      <c r="C14" s="268"/>
      <c r="D14" s="221"/>
      <c r="E14" s="268"/>
      <c r="F14" s="221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350"/>
      <c r="AP14" s="22"/>
      <c r="AQ14" s="268"/>
      <c r="AR14" s="22"/>
      <c r="AS14" s="268"/>
      <c r="AT14" s="22"/>
      <c r="AU14" s="268"/>
      <c r="AV14" s="22"/>
      <c r="AW14" s="268"/>
      <c r="AX14" s="268"/>
      <c r="AY14" s="268"/>
      <c r="AZ14" s="268"/>
      <c r="BA14" s="268"/>
      <c r="BB14" s="22"/>
      <c r="BC14" s="263"/>
      <c r="BD14" s="22"/>
      <c r="BE14" s="197"/>
      <c r="BF14" s="22"/>
      <c r="BG14" s="247"/>
      <c r="BH14" s="247"/>
      <c r="BI14" s="247"/>
      <c r="BJ14" s="247"/>
      <c r="BK14" s="247"/>
      <c r="BL14" s="247"/>
      <c r="BM14" s="247"/>
      <c r="BN14" s="247"/>
      <c r="BO14" s="247"/>
      <c r="BP14" s="22"/>
      <c r="BQ14" s="247"/>
      <c r="BR14" s="22"/>
      <c r="BS14" s="268"/>
      <c r="BT14" s="247"/>
      <c r="BU14" s="268"/>
      <c r="BV14" s="247"/>
      <c r="BW14" s="268"/>
      <c r="BX14" s="247"/>
      <c r="BY14" s="268"/>
      <c r="BZ14" s="247"/>
      <c r="CA14" s="268"/>
      <c r="CB14" s="12"/>
      <c r="CD14" s="221"/>
      <c r="CE14" s="247"/>
      <c r="CG14" s="10"/>
      <c r="CI14" s="247"/>
      <c r="CJ14" s="197"/>
      <c r="CK14" s="247"/>
      <c r="CL14" s="273"/>
      <c r="CM14" s="273"/>
      <c r="CN14" s="247"/>
      <c r="CO14" s="247"/>
      <c r="CP14" s="247"/>
      <c r="CQ14" s="247"/>
    </row>
    <row r="15" spans="1:95" s="13" customFormat="1" ht="16.2" thickBot="1">
      <c r="A15" s="10"/>
      <c r="B15" s="225"/>
      <c r="C15" s="268"/>
      <c r="D15" s="221"/>
      <c r="E15" s="268"/>
      <c r="F15" s="221"/>
      <c r="G15" s="279">
        <f>dpr_date</f>
        <v>37225</v>
      </c>
      <c r="H15" s="221"/>
      <c r="I15" s="272" t="s">
        <v>279</v>
      </c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350"/>
      <c r="AN15" s="22"/>
      <c r="AO15" s="311" t="s">
        <v>186</v>
      </c>
      <c r="AP15" s="22"/>
      <c r="AQ15" s="268"/>
      <c r="AR15" s="22"/>
      <c r="AS15" s="268"/>
      <c r="AT15" s="22"/>
      <c r="AU15" s="268"/>
      <c r="AV15" s="22"/>
      <c r="AW15" s="268"/>
      <c r="AX15" s="268"/>
      <c r="AY15" s="268"/>
      <c r="AZ15" s="268"/>
      <c r="BA15" s="268"/>
      <c r="BB15" s="22"/>
      <c r="BC15" s="269"/>
      <c r="BD15" s="22"/>
      <c r="BE15" s="265"/>
      <c r="BF15" s="22"/>
      <c r="BG15" s="247"/>
      <c r="BH15" s="247"/>
      <c r="BI15" s="247"/>
      <c r="BJ15" s="247"/>
      <c r="BK15" s="247"/>
      <c r="BL15" s="247"/>
      <c r="BM15" s="247"/>
      <c r="BN15" s="247"/>
      <c r="BO15" s="247"/>
      <c r="BP15" s="22"/>
      <c r="BQ15" s="247"/>
      <c r="BR15" s="22"/>
      <c r="BS15" s="268"/>
      <c r="BT15" s="247"/>
      <c r="BU15" s="268"/>
      <c r="BV15" s="247"/>
      <c r="BW15" s="268"/>
      <c r="BX15" s="247"/>
      <c r="BY15" s="268"/>
      <c r="BZ15" s="247"/>
      <c r="CA15" s="268"/>
      <c r="CB15" s="12"/>
      <c r="CD15" s="221"/>
      <c r="CE15" s="247"/>
      <c r="CG15" s="10"/>
      <c r="CI15" s="265"/>
      <c r="CJ15" s="265"/>
      <c r="CK15" s="265"/>
      <c r="CL15" s="274"/>
      <c r="CM15" s="274"/>
      <c r="CN15" s="247"/>
      <c r="CO15" s="247"/>
      <c r="CP15" s="247"/>
      <c r="CQ15" s="247"/>
    </row>
    <row r="16" spans="1:95" s="13" customFormat="1" ht="16.2" thickBot="1">
      <c r="B16" s="225"/>
      <c r="C16" s="268"/>
      <c r="D16" s="221"/>
      <c r="E16" s="268"/>
      <c r="F16" s="221"/>
      <c r="G16" s="279">
        <f>dpr_date-1</f>
        <v>37224</v>
      </c>
      <c r="H16" s="221"/>
      <c r="I16" s="549" t="s">
        <v>187</v>
      </c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350"/>
      <c r="AN16" s="22"/>
      <c r="AO16" s="311" t="s">
        <v>187</v>
      </c>
      <c r="AP16" s="22"/>
      <c r="AQ16" s="268"/>
      <c r="AR16" s="22"/>
      <c r="AS16" s="268"/>
      <c r="AT16" s="22"/>
      <c r="AU16" s="278"/>
      <c r="AV16" s="22"/>
      <c r="AW16" s="268"/>
      <c r="AX16" s="268"/>
      <c r="AY16" s="268"/>
      <c r="AZ16" s="268"/>
      <c r="BA16" s="268"/>
      <c r="BB16" s="22"/>
      <c r="BC16" s="247"/>
      <c r="BD16" s="22"/>
      <c r="BE16" s="197"/>
      <c r="BF16" s="22"/>
      <c r="BG16" s="247"/>
      <c r="BH16" s="247"/>
      <c r="BI16" s="247"/>
      <c r="BJ16" s="247"/>
      <c r="BK16" s="247"/>
      <c r="BL16" s="247"/>
      <c r="BM16" s="247"/>
      <c r="BN16" s="247"/>
      <c r="BO16" s="247"/>
      <c r="BP16" s="22"/>
      <c r="BQ16" s="247"/>
      <c r="BR16" s="22"/>
      <c r="BS16" s="268"/>
      <c r="BT16" s="247"/>
      <c r="BU16" s="268"/>
      <c r="BV16" s="247"/>
      <c r="BW16" s="268"/>
      <c r="BX16" s="247"/>
      <c r="BY16" s="268"/>
      <c r="BZ16" s="247"/>
      <c r="CA16" s="268"/>
      <c r="CB16" s="12"/>
      <c r="CD16" s="221"/>
      <c r="CE16" s="247"/>
      <c r="CI16" s="197"/>
      <c r="CJ16" s="197"/>
      <c r="CK16" s="197"/>
      <c r="CL16" s="274"/>
      <c r="CM16" s="274"/>
      <c r="CN16" s="247"/>
      <c r="CO16" s="247"/>
      <c r="CP16" s="247"/>
      <c r="CQ16" s="247"/>
    </row>
    <row r="17" spans="1:96" s="13" customFormat="1" ht="16.2" thickBot="1">
      <c r="A17" s="10"/>
      <c r="B17" s="260"/>
      <c r="C17" s="268"/>
      <c r="D17" s="12"/>
      <c r="E17" s="268"/>
      <c r="F17" s="12"/>
      <c r="G17" s="284">
        <f>dpr_date</f>
        <v>37225</v>
      </c>
      <c r="H17" s="221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350"/>
      <c r="AN17" s="22"/>
      <c r="AO17" s="311" t="s">
        <v>179</v>
      </c>
      <c r="AP17" s="22"/>
      <c r="AQ17" s="268"/>
      <c r="AR17" s="22"/>
      <c r="AS17" s="268"/>
      <c r="AT17" s="22"/>
      <c r="AU17" s="268"/>
      <c r="AV17" s="22"/>
      <c r="AW17" s="268"/>
      <c r="AX17" s="268"/>
      <c r="AY17" s="268"/>
      <c r="AZ17" s="268"/>
      <c r="BA17" s="268"/>
      <c r="BB17" s="22"/>
      <c r="BC17" s="247"/>
      <c r="BD17" s="22"/>
      <c r="BE17" s="197"/>
      <c r="BF17" s="22"/>
      <c r="BG17" s="247"/>
      <c r="BH17" s="247"/>
      <c r="BI17" s="247"/>
      <c r="BJ17" s="247"/>
      <c r="BK17" s="247"/>
      <c r="BL17" s="247"/>
      <c r="BM17" s="247"/>
      <c r="BN17" s="247"/>
      <c r="BO17" s="247"/>
      <c r="BP17" s="22"/>
      <c r="BQ17" s="247"/>
      <c r="BR17" s="22"/>
      <c r="BS17" s="268"/>
      <c r="BT17" s="247"/>
      <c r="BU17" s="268"/>
      <c r="BV17" s="247"/>
      <c r="BW17" s="268"/>
      <c r="BX17" s="247"/>
      <c r="BY17" s="268"/>
      <c r="BZ17" s="247"/>
      <c r="CA17" s="268"/>
      <c r="CB17" s="12"/>
      <c r="CD17" s="221"/>
      <c r="CE17" s="247"/>
      <c r="CG17" s="10"/>
      <c r="CI17" s="197"/>
      <c r="CJ17" s="197"/>
      <c r="CK17" s="197"/>
      <c r="CL17" s="274"/>
      <c r="CM17" s="274"/>
      <c r="CN17" s="247"/>
      <c r="CO17" s="247"/>
      <c r="CP17" s="247"/>
      <c r="CQ17" s="247"/>
    </row>
    <row r="18" spans="1:96" s="13" customFormat="1" ht="15.6">
      <c r="A18" s="10"/>
      <c r="B18" s="260"/>
      <c r="C18" s="268"/>
      <c r="D18" s="12"/>
      <c r="E18" s="268"/>
      <c r="F18" s="12"/>
      <c r="G18" s="396"/>
      <c r="H18" s="221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2"/>
      <c r="AO18" s="397"/>
      <c r="AP18" s="22"/>
      <c r="AQ18" s="268"/>
      <c r="AR18" s="22"/>
      <c r="AS18" s="268"/>
      <c r="AT18" s="22"/>
      <c r="AU18" s="268"/>
      <c r="AV18" s="22"/>
      <c r="AW18" s="268"/>
      <c r="AX18" s="268"/>
      <c r="AY18" s="268"/>
      <c r="AZ18" s="268"/>
      <c r="BA18" s="268"/>
      <c r="BB18" s="22"/>
      <c r="BC18" s="247"/>
      <c r="BD18" s="22"/>
      <c r="BE18" s="197"/>
      <c r="BF18" s="22"/>
      <c r="BG18" s="247"/>
      <c r="BH18" s="247"/>
      <c r="BI18" s="247"/>
      <c r="BJ18" s="247"/>
      <c r="BK18" s="247"/>
      <c r="BL18" s="247"/>
      <c r="BM18" s="247"/>
      <c r="BN18" s="247"/>
      <c r="BO18" s="247"/>
      <c r="BP18" s="22"/>
      <c r="BQ18" s="247"/>
      <c r="BR18" s="22"/>
      <c r="BS18" s="268"/>
      <c r="BT18" s="247"/>
      <c r="BU18" s="268"/>
      <c r="BV18" s="247"/>
      <c r="BW18" s="268"/>
      <c r="BX18" s="247"/>
      <c r="BY18" s="268"/>
      <c r="BZ18" s="247"/>
      <c r="CA18" s="268"/>
      <c r="CB18" s="12"/>
      <c r="CD18" s="221"/>
      <c r="CE18" s="247"/>
      <c r="CG18" s="10"/>
      <c r="CI18" s="197"/>
      <c r="CJ18" s="197"/>
      <c r="CK18" s="197"/>
      <c r="CL18" s="274"/>
      <c r="CM18" s="274"/>
      <c r="CN18" s="247"/>
      <c r="CO18" s="247"/>
      <c r="CP18" s="247"/>
      <c r="CQ18" s="247"/>
    </row>
    <row r="19" spans="1:96" s="13" customFormat="1" ht="15.6">
      <c r="A19" s="10"/>
      <c r="B19" s="260"/>
      <c r="C19" s="399" t="s">
        <v>10</v>
      </c>
      <c r="D19" s="400"/>
      <c r="E19" s="399"/>
      <c r="F19" s="401"/>
      <c r="G19" s="399"/>
      <c r="H19" s="401"/>
      <c r="I19" s="399"/>
      <c r="J19" s="402"/>
      <c r="K19" s="399"/>
      <c r="L19" s="402"/>
      <c r="M19" s="399"/>
      <c r="N19" s="402"/>
      <c r="O19" s="399"/>
      <c r="P19" s="402"/>
      <c r="Q19" s="399"/>
      <c r="R19" s="402"/>
      <c r="S19" s="399"/>
      <c r="T19" s="402"/>
      <c r="U19" s="399"/>
      <c r="V19" s="402"/>
      <c r="W19" s="399"/>
      <c r="X19" s="402"/>
      <c r="Y19" s="399"/>
      <c r="Z19" s="402"/>
      <c r="AA19" s="399"/>
      <c r="AB19" s="402"/>
      <c r="AC19" s="399"/>
      <c r="AD19" s="402"/>
      <c r="AE19" s="399"/>
      <c r="AF19" s="402"/>
      <c r="AG19" s="399"/>
      <c r="AH19" s="402"/>
      <c r="AI19" s="399"/>
      <c r="AJ19" s="402"/>
      <c r="AK19" s="399"/>
      <c r="AL19" s="402"/>
      <c r="AM19" s="403"/>
      <c r="AN19" s="404"/>
      <c r="AO19" s="399"/>
      <c r="AP19" s="404"/>
      <c r="AQ19" s="399" t="s">
        <v>3</v>
      </c>
      <c r="AR19" s="404"/>
      <c r="AS19" s="399"/>
      <c r="AT19" s="404"/>
      <c r="AU19" s="400"/>
      <c r="AV19" s="404"/>
      <c r="AW19" s="402"/>
      <c r="AX19" s="402"/>
      <c r="AY19" s="402"/>
      <c r="AZ19" s="402"/>
      <c r="BA19" s="402"/>
      <c r="BB19" s="404"/>
      <c r="BC19" s="399"/>
      <c r="BD19" s="404"/>
      <c r="BE19" s="399"/>
      <c r="BF19" s="404"/>
      <c r="BG19" s="405"/>
      <c r="BH19" s="406"/>
      <c r="BI19" s="405"/>
      <c r="BJ19" s="406"/>
      <c r="BK19" s="405"/>
      <c r="BL19" s="406"/>
      <c r="BM19" s="406"/>
      <c r="BN19" s="406"/>
      <c r="BO19" s="406"/>
      <c r="BP19" s="404"/>
      <c r="BQ19" s="399"/>
      <c r="BR19" s="404"/>
      <c r="BS19" s="402"/>
      <c r="BT19" s="405"/>
      <c r="BU19" s="402"/>
      <c r="BV19" s="405"/>
      <c r="BW19" s="402"/>
      <c r="BX19" s="405"/>
      <c r="BY19" s="402"/>
      <c r="BZ19" s="405"/>
      <c r="CA19" s="402"/>
      <c r="CB19" s="407"/>
      <c r="CC19" s="405"/>
      <c r="CD19" s="408"/>
      <c r="CE19" s="409"/>
      <c r="CF19" s="409"/>
      <c r="CG19" s="410">
        <f>A19</f>
        <v>0</v>
      </c>
      <c r="CH19" s="409"/>
      <c r="CI19" s="411"/>
      <c r="CJ19" s="411"/>
      <c r="CK19" s="409"/>
      <c r="CL19" s="412"/>
      <c r="CM19" s="412"/>
      <c r="CN19" s="247"/>
      <c r="CO19" s="247"/>
      <c r="CP19" s="247"/>
      <c r="CQ19" s="247"/>
    </row>
    <row r="20" spans="1:96" s="13" customFormat="1" ht="15.6">
      <c r="A20" s="10"/>
      <c r="B20" s="260"/>
      <c r="C20" s="413"/>
      <c r="D20" s="414"/>
      <c r="E20" s="415" t="s">
        <v>11</v>
      </c>
      <c r="F20" s="414"/>
      <c r="G20" s="415"/>
      <c r="H20" s="414"/>
      <c r="I20" s="416" t="s">
        <v>15</v>
      </c>
      <c r="J20" s="416"/>
      <c r="K20" s="416" t="s">
        <v>219</v>
      </c>
      <c r="L20" s="416"/>
      <c r="M20" s="416" t="s">
        <v>219</v>
      </c>
      <c r="N20" s="416"/>
      <c r="O20" s="416" t="s">
        <v>209</v>
      </c>
      <c r="P20" s="416"/>
      <c r="Q20" s="416" t="s">
        <v>209</v>
      </c>
      <c r="R20" s="416"/>
      <c r="S20" s="416" t="s">
        <v>209</v>
      </c>
      <c r="T20" s="416"/>
      <c r="U20" s="416" t="s">
        <v>209</v>
      </c>
      <c r="V20" s="416"/>
      <c r="W20" s="416" t="s">
        <v>209</v>
      </c>
      <c r="X20" s="416"/>
      <c r="Y20" s="416"/>
      <c r="Z20" s="416"/>
      <c r="AA20" s="416"/>
      <c r="AB20" s="416"/>
      <c r="AC20" s="416" t="s">
        <v>13</v>
      </c>
      <c r="AD20" s="416"/>
      <c r="AE20" s="416"/>
      <c r="AF20" s="416"/>
      <c r="AG20" s="416"/>
      <c r="AH20" s="416"/>
      <c r="AI20" s="416"/>
      <c r="AJ20" s="416"/>
      <c r="AK20" s="416"/>
      <c r="AL20" s="416"/>
      <c r="AM20" s="417" t="s">
        <v>215</v>
      </c>
      <c r="AN20" s="418"/>
      <c r="AO20" s="416" t="s">
        <v>4</v>
      </c>
      <c r="AP20" s="418"/>
      <c r="AQ20" s="416"/>
      <c r="AR20" s="418"/>
      <c r="AS20" s="419"/>
      <c r="AT20" s="418"/>
      <c r="AU20" s="420" t="s">
        <v>12</v>
      </c>
      <c r="AV20" s="418"/>
      <c r="AW20" s="416"/>
      <c r="AX20" s="416"/>
      <c r="AY20" s="416"/>
      <c r="AZ20" s="416"/>
      <c r="BA20" s="416"/>
      <c r="BB20" s="418"/>
      <c r="BC20" s="416" t="s">
        <v>16</v>
      </c>
      <c r="BD20" s="418"/>
      <c r="BE20" s="416" t="s">
        <v>17</v>
      </c>
      <c r="BF20" s="418"/>
      <c r="BG20" s="416" t="s">
        <v>18</v>
      </c>
      <c r="BH20" s="416"/>
      <c r="BI20" s="416"/>
      <c r="BJ20" s="416"/>
      <c r="BK20" s="416"/>
      <c r="BL20" s="416"/>
      <c r="BM20" s="416"/>
      <c r="BN20" s="416"/>
      <c r="BO20" s="416"/>
      <c r="BP20" s="418"/>
      <c r="BQ20" s="421" t="s">
        <v>215</v>
      </c>
      <c r="BR20" s="418"/>
      <c r="BS20" s="416" t="s">
        <v>204</v>
      </c>
      <c r="BT20" s="416"/>
      <c r="BU20" s="416"/>
      <c r="BV20" s="416"/>
      <c r="BW20" s="416"/>
      <c r="BX20" s="416"/>
      <c r="BY20" s="416"/>
      <c r="BZ20" s="416"/>
      <c r="CA20" s="416"/>
      <c r="CB20" s="420"/>
      <c r="CC20" s="422" t="s">
        <v>215</v>
      </c>
      <c r="CD20" s="408"/>
      <c r="CE20" s="423"/>
      <c r="CF20" s="409"/>
      <c r="CG20" s="409"/>
      <c r="CH20" s="409"/>
      <c r="CI20" s="424" t="s">
        <v>19</v>
      </c>
      <c r="CJ20" s="424" t="s">
        <v>20</v>
      </c>
      <c r="CK20" s="425" t="s">
        <v>19</v>
      </c>
      <c r="CL20" s="412"/>
      <c r="CM20" s="412"/>
      <c r="CN20" s="247"/>
      <c r="CO20" s="247"/>
      <c r="CP20" s="247"/>
      <c r="CQ20" s="247"/>
    </row>
    <row r="21" spans="1:96" s="13" customFormat="1" ht="15.6">
      <c r="A21" s="10"/>
      <c r="B21" s="260"/>
      <c r="C21" s="426" t="s">
        <v>15</v>
      </c>
      <c r="D21" s="407"/>
      <c r="E21" s="427" t="s">
        <v>15</v>
      </c>
      <c r="F21" s="407"/>
      <c r="G21" s="427" t="s">
        <v>2</v>
      </c>
      <c r="H21" s="407"/>
      <c r="I21" s="427" t="s">
        <v>23</v>
      </c>
      <c r="J21" s="427"/>
      <c r="K21" s="427" t="s">
        <v>4</v>
      </c>
      <c r="L21" s="427"/>
      <c r="M21" s="427" t="s">
        <v>206</v>
      </c>
      <c r="N21" s="427"/>
      <c r="O21" s="427" t="s">
        <v>217</v>
      </c>
      <c r="P21" s="427"/>
      <c r="Q21" s="427" t="s">
        <v>218</v>
      </c>
      <c r="R21" s="427"/>
      <c r="S21" s="427" t="s">
        <v>210</v>
      </c>
      <c r="T21" s="427"/>
      <c r="U21" s="427" t="s">
        <v>211</v>
      </c>
      <c r="V21" s="427"/>
      <c r="W21" s="427" t="s">
        <v>212</v>
      </c>
      <c r="X21" s="427"/>
      <c r="Y21" s="427" t="s">
        <v>213</v>
      </c>
      <c r="Z21" s="427"/>
      <c r="AA21" s="427" t="s">
        <v>214</v>
      </c>
      <c r="AB21" s="427"/>
      <c r="AC21" s="427" t="s">
        <v>6</v>
      </c>
      <c r="AD21" s="427"/>
      <c r="AE21" s="427"/>
      <c r="AF21" s="427"/>
      <c r="AG21" s="427"/>
      <c r="AH21" s="427"/>
      <c r="AI21" s="427"/>
      <c r="AJ21" s="427"/>
      <c r="AK21" s="427"/>
      <c r="AL21" s="427"/>
      <c r="AM21" s="428" t="s">
        <v>216</v>
      </c>
      <c r="AN21" s="429"/>
      <c r="AO21" s="427" t="s">
        <v>16</v>
      </c>
      <c r="AP21" s="429"/>
      <c r="AQ21" s="427" t="s">
        <v>21</v>
      </c>
      <c r="AR21" s="429"/>
      <c r="AS21" s="430" t="s">
        <v>5</v>
      </c>
      <c r="AT21" s="429"/>
      <c r="AU21" s="431" t="s">
        <v>22</v>
      </c>
      <c r="AV21" s="429"/>
      <c r="AW21" s="432" t="s">
        <v>206</v>
      </c>
      <c r="AX21" s="432"/>
      <c r="AY21" s="432" t="s">
        <v>207</v>
      </c>
      <c r="AZ21" s="432"/>
      <c r="BA21" s="432" t="s">
        <v>208</v>
      </c>
      <c r="BB21" s="429"/>
      <c r="BC21" s="427" t="s">
        <v>7</v>
      </c>
      <c r="BD21" s="429"/>
      <c r="BE21" s="427" t="s">
        <v>24</v>
      </c>
      <c r="BF21" s="429"/>
      <c r="BG21" s="427" t="s">
        <v>25</v>
      </c>
      <c r="BH21" s="427"/>
      <c r="BI21" s="427" t="s">
        <v>221</v>
      </c>
      <c r="BJ21" s="427"/>
      <c r="BK21" s="427" t="s">
        <v>222</v>
      </c>
      <c r="BL21" s="427"/>
      <c r="BM21" s="427"/>
      <c r="BN21" s="427"/>
      <c r="BO21" s="427"/>
      <c r="BP21" s="429"/>
      <c r="BQ21" s="433" t="s">
        <v>220</v>
      </c>
      <c r="BR21" s="429"/>
      <c r="BS21" s="434" t="s">
        <v>205</v>
      </c>
      <c r="BT21" s="427"/>
      <c r="BU21" s="434" t="s">
        <v>223</v>
      </c>
      <c r="BV21" s="427"/>
      <c r="BW21" s="434"/>
      <c r="BX21" s="427"/>
      <c r="BY21" s="434"/>
      <c r="BZ21" s="427"/>
      <c r="CA21" s="434"/>
      <c r="CB21" s="431"/>
      <c r="CC21" s="435" t="s">
        <v>224</v>
      </c>
      <c r="CD21" s="408"/>
      <c r="CE21" s="436" t="s">
        <v>215</v>
      </c>
      <c r="CF21" s="409"/>
      <c r="CG21" s="409"/>
      <c r="CH21" s="409"/>
      <c r="CI21" s="437" t="s">
        <v>26</v>
      </c>
      <c r="CJ21" s="437" t="s">
        <v>27</v>
      </c>
      <c r="CK21" s="438" t="s">
        <v>28</v>
      </c>
      <c r="CL21" s="412"/>
      <c r="CM21" s="412"/>
      <c r="CN21" s="247"/>
      <c r="CO21" s="247"/>
      <c r="CP21" s="247"/>
      <c r="CQ21" s="247"/>
    </row>
    <row r="22" spans="1:96" s="4" customFormat="1" ht="15.75" customHeight="1">
      <c r="B22" s="40"/>
      <c r="D22" s="5"/>
      <c r="F22" s="6"/>
      <c r="H22" s="6"/>
      <c r="AM22" s="345"/>
      <c r="AN22" s="1"/>
      <c r="AO22" s="1"/>
      <c r="AP22" s="1"/>
      <c r="AR22" s="1"/>
      <c r="AT22" s="1"/>
      <c r="AU22" s="5"/>
      <c r="AV22" s="1"/>
      <c r="BB22" s="1"/>
      <c r="BD22" s="1"/>
      <c r="BF22" s="1"/>
      <c r="BP22" s="1"/>
      <c r="BQ22" s="19"/>
      <c r="BR22" s="1"/>
      <c r="CB22" s="5"/>
      <c r="CC22" s="35"/>
      <c r="CD22" s="5"/>
      <c r="CG22" s="36" t="s">
        <v>29</v>
      </c>
      <c r="CK22" s="35"/>
      <c r="CL22" s="54"/>
      <c r="CM22" s="54"/>
      <c r="CN22" s="20"/>
    </row>
    <row r="23" spans="1:96" s="4" customFormat="1" ht="14.1" customHeight="1">
      <c r="A23" s="36" t="s">
        <v>30</v>
      </c>
      <c r="B23" s="40"/>
      <c r="C23" s="42"/>
      <c r="D23" s="42"/>
      <c r="E23"/>
      <c r="F23" s="43"/>
      <c r="G23" s="46"/>
      <c r="H23" s="43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351"/>
      <c r="AN23" s="1"/>
      <c r="AO23" s="46"/>
      <c r="AP23" s="1"/>
      <c r="AQ23" s="46"/>
      <c r="AR23" s="1"/>
      <c r="AS23" s="46"/>
      <c r="AT23" s="1"/>
      <c r="AU23" s="57"/>
      <c r="AV23" s="1"/>
      <c r="AW23" s="46"/>
      <c r="AX23" s="46"/>
      <c r="AY23" s="46"/>
      <c r="AZ23" s="46"/>
      <c r="BA23" s="46"/>
      <c r="BB23" s="1"/>
      <c r="BC23" s="46"/>
      <c r="BD23" s="1"/>
      <c r="BE23" s="59"/>
      <c r="BF23" s="1"/>
      <c r="BG23" s="59"/>
      <c r="BH23" s="59"/>
      <c r="BI23" s="59"/>
      <c r="BJ23" s="59"/>
      <c r="BK23" s="59"/>
      <c r="BL23" s="59"/>
      <c r="BM23" s="59"/>
      <c r="BN23" s="59"/>
      <c r="BO23" s="59"/>
      <c r="BP23" s="1"/>
      <c r="BQ23" s="275"/>
      <c r="BR23" s="1"/>
      <c r="BS23" s="46"/>
      <c r="BT23" s="59"/>
      <c r="BU23" s="46"/>
      <c r="BV23" s="59"/>
      <c r="BW23" s="46"/>
      <c r="BX23" s="59"/>
      <c r="BY23" s="46"/>
      <c r="BZ23" s="59"/>
      <c r="CA23" s="46"/>
      <c r="CB23" s="42"/>
      <c r="CC23" s="55"/>
      <c r="CD23" s="5"/>
      <c r="CE23" s="46"/>
      <c r="CG23" s="36" t="s">
        <v>30</v>
      </c>
      <c r="CI23" s="59"/>
      <c r="CJ23" s="59"/>
      <c r="CK23" s="58"/>
      <c r="CL23" s="54"/>
      <c r="CM23" s="54"/>
      <c r="CN23" s="44"/>
      <c r="CO23" s="46"/>
      <c r="CP23" s="46"/>
      <c r="CQ23" s="46"/>
    </row>
    <row r="24" spans="1:96" s="4" customFormat="1" ht="13.5" customHeight="1">
      <c r="B24" s="40"/>
      <c r="C24" s="46"/>
      <c r="D24" s="42"/>
      <c r="E24"/>
      <c r="F24" s="43"/>
      <c r="G24" s="46"/>
      <c r="H24" s="43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351"/>
      <c r="AN24" s="1"/>
      <c r="AO24" s="46"/>
      <c r="AP24" s="1"/>
      <c r="AQ24" s="46"/>
      <c r="AR24" s="1"/>
      <c r="AS24" s="46"/>
      <c r="AT24" s="1"/>
      <c r="AU24" s="42"/>
      <c r="AV24" s="1"/>
      <c r="AW24" s="46"/>
      <c r="AX24" s="46"/>
      <c r="AY24" s="46"/>
      <c r="AZ24" s="46"/>
      <c r="BA24" s="46"/>
      <c r="BB24" s="1"/>
      <c r="BC24" s="46"/>
      <c r="BD24" s="1"/>
      <c r="BE24" s="46"/>
      <c r="BF24" s="1"/>
      <c r="BG24" s="46"/>
      <c r="BH24" s="46"/>
      <c r="BI24" s="46"/>
      <c r="BJ24" s="46"/>
      <c r="BK24" s="46"/>
      <c r="BL24" s="46"/>
      <c r="BM24" s="46"/>
      <c r="BN24" s="46"/>
      <c r="BO24" s="46"/>
      <c r="BP24" s="1"/>
      <c r="BQ24" s="276"/>
      <c r="BR24" s="1"/>
      <c r="BS24" s="46"/>
      <c r="BT24" s="46"/>
      <c r="BU24" s="46"/>
      <c r="BV24" s="46"/>
      <c r="BW24" s="46"/>
      <c r="BX24" s="46"/>
      <c r="BY24" s="46"/>
      <c r="BZ24" s="46"/>
      <c r="CA24" s="46"/>
      <c r="CB24" s="42"/>
      <c r="CC24" s="35"/>
      <c r="CD24" s="5"/>
      <c r="CE24" s="46"/>
      <c r="CI24" s="46"/>
      <c r="CJ24" s="46"/>
      <c r="CK24" s="45"/>
      <c r="CL24" s="54"/>
      <c r="CM24" s="54"/>
      <c r="CN24" s="44"/>
      <c r="CO24" s="46"/>
      <c r="CP24" s="46"/>
      <c r="CQ24" s="46"/>
    </row>
    <row r="25" spans="1:96" s="4" customFormat="1" ht="14.1" customHeight="1">
      <c r="A25" s="41" t="s">
        <v>281</v>
      </c>
      <c r="B25" s="40"/>
      <c r="C25" s="46">
        <v>0</v>
      </c>
      <c r="D25" s="42"/>
      <c r="E25">
        <v>0</v>
      </c>
      <c r="F25" s="43"/>
      <c r="G25" s="46">
        <v>-9.4879020999999995</v>
      </c>
      <c r="H25" s="43"/>
      <c r="I25" s="46">
        <v>0</v>
      </c>
      <c r="J25" s="46"/>
      <c r="K25" s="46">
        <v>0</v>
      </c>
      <c r="L25" s="46"/>
      <c r="M25" s="46">
        <v>0</v>
      </c>
      <c r="N25" s="46"/>
      <c r="O25" s="46">
        <v>0</v>
      </c>
      <c r="P25" s="46"/>
      <c r="Q25" s="46">
        <v>0</v>
      </c>
      <c r="R25" s="46"/>
      <c r="S25" s="46">
        <v>0</v>
      </c>
      <c r="T25" s="46"/>
      <c r="U25" s="46">
        <v>0</v>
      </c>
      <c r="V25" s="46"/>
      <c r="W25" s="46">
        <v>0</v>
      </c>
      <c r="X25" s="46"/>
      <c r="Y25" s="46">
        <v>0</v>
      </c>
      <c r="Z25" s="46"/>
      <c r="AA25" s="46">
        <v>0</v>
      </c>
      <c r="AB25" s="46"/>
      <c r="AC25" s="46">
        <v>0</v>
      </c>
      <c r="AD25" s="46"/>
      <c r="AE25" s="46"/>
      <c r="AF25" s="46"/>
      <c r="AG25" s="46"/>
      <c r="AH25" s="46"/>
      <c r="AI25" s="46"/>
      <c r="AJ25" s="46"/>
      <c r="AK25" s="46"/>
      <c r="AL25" s="46"/>
      <c r="AM25" s="351">
        <v>-9.48790210000152</v>
      </c>
      <c r="AN25" s="1"/>
      <c r="AO25" s="46">
        <v>0</v>
      </c>
      <c r="AP25" s="1"/>
      <c r="AQ25" s="46">
        <v>0</v>
      </c>
      <c r="AR25" s="1"/>
      <c r="AS25" s="46">
        <v>0</v>
      </c>
      <c r="AT25" s="1"/>
      <c r="AU25" s="42">
        <v>-4.9999999988337152E-5</v>
      </c>
      <c r="AV25" s="1"/>
      <c r="AW25" s="46">
        <v>0</v>
      </c>
      <c r="AX25" s="46"/>
      <c r="AY25" s="46">
        <v>0</v>
      </c>
      <c r="AZ25" s="46"/>
      <c r="BA25" s="46">
        <v>0</v>
      </c>
      <c r="BB25" s="1"/>
      <c r="BC25" s="46">
        <v>0</v>
      </c>
      <c r="BD25" s="1"/>
      <c r="BE25" s="46">
        <v>0</v>
      </c>
      <c r="BF25" s="1"/>
      <c r="BG25" s="46">
        <v>0</v>
      </c>
      <c r="BH25" s="46"/>
      <c r="BI25" s="46">
        <v>0</v>
      </c>
      <c r="BJ25" s="46"/>
      <c r="BK25" s="46">
        <v>0</v>
      </c>
      <c r="BL25" s="46"/>
      <c r="BM25" s="46"/>
      <c r="BN25" s="46"/>
      <c r="BO25" s="46"/>
      <c r="BP25" s="1" t="s">
        <v>3</v>
      </c>
      <c r="BQ25" s="276">
        <v>-4.9999999988337152E-5</v>
      </c>
      <c r="BR25" s="1"/>
      <c r="BS25" s="46">
        <v>0</v>
      </c>
      <c r="BT25" s="46"/>
      <c r="BU25" s="46">
        <v>0</v>
      </c>
      <c r="BV25" s="46"/>
      <c r="BW25" s="46"/>
      <c r="BX25" s="46"/>
      <c r="BY25" s="46"/>
      <c r="BZ25" s="46"/>
      <c r="CA25" s="46"/>
      <c r="CB25" s="42"/>
      <c r="CC25" s="35">
        <v>0</v>
      </c>
      <c r="CD25" s="5"/>
      <c r="CE25" s="46"/>
      <c r="CG25" s="41" t="str">
        <f>A25</f>
        <v>LTD Through October 31, 2001</v>
      </c>
      <c r="CI25" s="46"/>
      <c r="CJ25" s="46">
        <v>0</v>
      </c>
      <c r="CK25" s="45">
        <v>0</v>
      </c>
      <c r="CL25" s="1"/>
      <c r="CM25" s="1"/>
      <c r="CN25" s="44"/>
      <c r="CO25" s="46"/>
      <c r="CP25" s="46"/>
      <c r="CQ25" s="46"/>
    </row>
    <row r="26" spans="1:96" s="4" customFormat="1" ht="14.1" customHeight="1">
      <c r="A26" s="41" t="s">
        <v>31</v>
      </c>
      <c r="B26" s="40"/>
      <c r="C26" s="47">
        <v>876473.16616737028</v>
      </c>
      <c r="D26" s="61"/>
      <c r="E26" s="60">
        <v>567336.07637252507</v>
      </c>
      <c r="F26" s="62"/>
      <c r="G26" s="47">
        <v>253754.34690139999</v>
      </c>
      <c r="H26" s="62"/>
      <c r="I26" s="60">
        <v>-9794.0407521000016</v>
      </c>
      <c r="J26" s="108"/>
      <c r="K26" s="60">
        <v>18039.594822499999</v>
      </c>
      <c r="L26" s="108"/>
      <c r="M26" s="60">
        <v>-676.94</v>
      </c>
      <c r="N26" s="108"/>
      <c r="O26" s="363">
        <v>-491662.82893340004</v>
      </c>
      <c r="P26" s="108"/>
      <c r="Q26" s="60">
        <v>5049.2925507999989</v>
      </c>
      <c r="R26" s="108"/>
      <c r="S26" s="60">
        <v>10082.431348199998</v>
      </c>
      <c r="T26" s="108"/>
      <c r="U26" s="47">
        <v>-356297.23016570002</v>
      </c>
      <c r="V26" s="108"/>
      <c r="W26" s="60">
        <v>22689.686899100001</v>
      </c>
      <c r="X26" s="108"/>
      <c r="Y26" s="60">
        <v>7763.3510982999996</v>
      </c>
      <c r="Z26" s="108"/>
      <c r="AA26" s="60">
        <v>19344.047806900002</v>
      </c>
      <c r="AB26" s="108"/>
      <c r="AC26" s="47">
        <v>965754.72736370168</v>
      </c>
      <c r="AD26" s="89"/>
      <c r="AE26" s="47"/>
      <c r="AF26" s="89"/>
      <c r="AG26" s="47"/>
      <c r="AH26" s="89"/>
      <c r="AI26" s="47"/>
      <c r="AJ26" s="89"/>
      <c r="AK26" s="47"/>
      <c r="AL26" s="89"/>
      <c r="AM26" s="360">
        <v>1887855.6814795965</v>
      </c>
      <c r="AN26" s="22"/>
      <c r="AO26" s="47">
        <v>891.5104202836435</v>
      </c>
      <c r="AP26" s="1"/>
      <c r="AQ26" s="60">
        <v>-58673.153081588651</v>
      </c>
      <c r="AR26" s="1"/>
      <c r="AS26" s="47">
        <v>303221.8766975</v>
      </c>
      <c r="AT26" s="1"/>
      <c r="AU26" s="47">
        <v>54859.983043985158</v>
      </c>
      <c r="AV26" s="1"/>
      <c r="AW26" s="60">
        <v>170872.97846440488</v>
      </c>
      <c r="AX26" s="60"/>
      <c r="AY26" s="60">
        <v>-37735.432406454122</v>
      </c>
      <c r="AZ26" s="60"/>
      <c r="BA26" s="60">
        <v>75702.349854370055</v>
      </c>
      <c r="BB26" s="1"/>
      <c r="BC26" s="47">
        <v>99159.898801816729</v>
      </c>
      <c r="BD26" s="1"/>
      <c r="BE26" s="66">
        <v>164285.90935470167</v>
      </c>
      <c r="BF26" s="1"/>
      <c r="BG26" s="67">
        <v>-6128.8897484237095</v>
      </c>
      <c r="BH26" s="364"/>
      <c r="BI26" s="67">
        <v>21798.998492974697</v>
      </c>
      <c r="BJ26" s="364"/>
      <c r="BK26" s="365">
        <v>0</v>
      </c>
      <c r="BL26" s="364"/>
      <c r="BM26" s="364"/>
      <c r="BN26" s="364"/>
      <c r="BO26" s="364"/>
      <c r="BP26" s="63"/>
      <c r="BQ26" s="64">
        <v>788256.02989357035</v>
      </c>
      <c r="BR26" s="1"/>
      <c r="BS26" s="60">
        <v>96737.079758599997</v>
      </c>
      <c r="BT26" s="364"/>
      <c r="BU26" s="363">
        <v>146985.21792780005</v>
      </c>
      <c r="BV26" s="364"/>
      <c r="BW26" s="60"/>
      <c r="BX26" s="364"/>
      <c r="BY26" s="60"/>
      <c r="BZ26" s="364"/>
      <c r="CA26" s="60"/>
      <c r="CB26" s="68"/>
      <c r="CC26" s="50">
        <v>243722.29768640007</v>
      </c>
      <c r="CD26" s="69"/>
      <c r="CE26" s="70">
        <v>2919834.009059567</v>
      </c>
      <c r="CF26" s="41"/>
      <c r="CG26" s="71" t="s">
        <v>31</v>
      </c>
      <c r="CI26" s="66">
        <v>-20957.351899607514</v>
      </c>
      <c r="CJ26" s="66">
        <v>185243.26125430918</v>
      </c>
      <c r="CK26" s="65">
        <v>164285.90935470167</v>
      </c>
      <c r="CL26" s="1"/>
      <c r="CM26" s="1"/>
      <c r="CN26" s="72"/>
      <c r="CO26" s="46"/>
      <c r="CP26" s="46"/>
      <c r="CQ26" s="46"/>
    </row>
    <row r="27" spans="1:96" s="4" customFormat="1" ht="14.1" customHeight="1">
      <c r="A27" s="41" t="s">
        <v>32</v>
      </c>
      <c r="B27" s="40"/>
      <c r="C27" s="47">
        <v>0</v>
      </c>
      <c r="D27" s="73"/>
      <c r="E27" s="60">
        <v>-593.88912886211233</v>
      </c>
      <c r="F27" s="74"/>
      <c r="G27" s="47">
        <v>1E-3</v>
      </c>
      <c r="H27" s="74"/>
      <c r="I27" s="60">
        <v>3.0000000000000001E-3</v>
      </c>
      <c r="J27" s="108"/>
      <c r="K27" s="60">
        <v>0</v>
      </c>
      <c r="L27" s="108"/>
      <c r="M27" s="60">
        <v>0</v>
      </c>
      <c r="N27" s="108"/>
      <c r="O27" s="363">
        <v>0</v>
      </c>
      <c r="P27" s="108"/>
      <c r="Q27" s="60">
        <v>2E-3</v>
      </c>
      <c r="R27" s="108"/>
      <c r="S27" s="60">
        <v>0</v>
      </c>
      <c r="T27" s="108"/>
      <c r="U27" s="47">
        <v>0</v>
      </c>
      <c r="V27" s="108"/>
      <c r="W27" s="60">
        <v>-8.0000000000000002E-3</v>
      </c>
      <c r="X27" s="108"/>
      <c r="Y27" s="60">
        <v>0</v>
      </c>
      <c r="Z27" s="108"/>
      <c r="AA27" s="60">
        <v>0</v>
      </c>
      <c r="AB27" s="108"/>
      <c r="AC27" s="47">
        <v>32639.994460000002</v>
      </c>
      <c r="AD27" s="89"/>
      <c r="AE27" s="47"/>
      <c r="AF27" s="89"/>
      <c r="AG27" s="47"/>
      <c r="AH27" s="89"/>
      <c r="AI27" s="47"/>
      <c r="AJ27" s="89"/>
      <c r="AK27" s="47"/>
      <c r="AL27" s="89"/>
      <c r="AM27" s="360">
        <v>32046.103331137889</v>
      </c>
      <c r="AN27" s="22"/>
      <c r="AO27" s="47">
        <v>0</v>
      </c>
      <c r="AP27" s="1"/>
      <c r="AQ27" s="60">
        <v>-8.6416599999938621E-4</v>
      </c>
      <c r="AR27" s="1"/>
      <c r="AS27" s="47">
        <v>-446.82575132097401</v>
      </c>
      <c r="AT27" s="1"/>
      <c r="AU27" s="47">
        <v>0.34033999999997677</v>
      </c>
      <c r="AV27" s="1"/>
      <c r="AW27" s="60">
        <v>0</v>
      </c>
      <c r="AX27" s="60"/>
      <c r="AY27" s="60">
        <v>0</v>
      </c>
      <c r="AZ27" s="60"/>
      <c r="BA27" s="60">
        <v>0</v>
      </c>
      <c r="BB27" s="1"/>
      <c r="BC27" s="47">
        <v>-127.611</v>
      </c>
      <c r="BD27" s="1"/>
      <c r="BE27" s="66">
        <v>0</v>
      </c>
      <c r="BF27" s="1"/>
      <c r="BG27" s="67">
        <v>0</v>
      </c>
      <c r="BH27" s="364"/>
      <c r="BI27" s="67">
        <v>0</v>
      </c>
      <c r="BJ27" s="364"/>
      <c r="BK27" s="365">
        <v>0</v>
      </c>
      <c r="BL27" s="364"/>
      <c r="BM27" s="364"/>
      <c r="BN27" s="364"/>
      <c r="BO27" s="364"/>
      <c r="BP27" s="63"/>
      <c r="BQ27" s="64">
        <v>-574.09727548697401</v>
      </c>
      <c r="BR27" s="1"/>
      <c r="BS27" s="60">
        <v>0</v>
      </c>
      <c r="BT27" s="364"/>
      <c r="BU27" s="363">
        <v>0</v>
      </c>
      <c r="BV27" s="364"/>
      <c r="BW27" s="60"/>
      <c r="BX27" s="364"/>
      <c r="BY27" s="60"/>
      <c r="BZ27" s="364"/>
      <c r="CA27" s="60"/>
      <c r="CB27" s="75"/>
      <c r="CC27" s="50">
        <v>0</v>
      </c>
      <c r="CD27" s="76"/>
      <c r="CE27" s="70">
        <v>31472.006055650916</v>
      </c>
      <c r="CF27" s="41"/>
      <c r="CG27" s="71" t="s">
        <v>32</v>
      </c>
      <c r="CI27" s="66">
        <v>0</v>
      </c>
      <c r="CJ27" s="66">
        <v>0</v>
      </c>
      <c r="CK27" s="65">
        <v>0</v>
      </c>
      <c r="CL27" s="1"/>
      <c r="CM27" s="1"/>
      <c r="CN27" s="20"/>
    </row>
    <row r="28" spans="1:96" s="4" customFormat="1" ht="14.1" customHeight="1">
      <c r="A28" s="41" t="s">
        <v>33</v>
      </c>
      <c r="B28" s="40"/>
      <c r="C28" s="47">
        <v>980399.20602550008</v>
      </c>
      <c r="D28" s="61"/>
      <c r="E28" s="60">
        <v>-416871.76241606189</v>
      </c>
      <c r="F28" s="62"/>
      <c r="G28" s="47">
        <v>508496.08701850002</v>
      </c>
      <c r="H28" s="62"/>
      <c r="I28" s="60">
        <v>173660.60188840004</v>
      </c>
      <c r="J28" s="108"/>
      <c r="K28" s="60">
        <v>-13298.300552199998</v>
      </c>
      <c r="L28" s="108"/>
      <c r="M28" s="60">
        <v>170.81077450000001</v>
      </c>
      <c r="N28" s="108"/>
      <c r="O28" s="363">
        <v>797666.86120509997</v>
      </c>
      <c r="P28" s="108"/>
      <c r="Q28" s="60">
        <v>132161.45541289999</v>
      </c>
      <c r="R28" s="108"/>
      <c r="S28" s="60">
        <v>44393.928497400004</v>
      </c>
      <c r="T28" s="108"/>
      <c r="U28" s="47">
        <v>1209341.1839590999</v>
      </c>
      <c r="V28" s="108"/>
      <c r="W28" s="60">
        <v>88615.256708400004</v>
      </c>
      <c r="X28" s="108"/>
      <c r="Y28" s="60">
        <v>6597.7938208000005</v>
      </c>
      <c r="Z28" s="108"/>
      <c r="AA28" s="60">
        <v>176509.14240230006</v>
      </c>
      <c r="AB28" s="108"/>
      <c r="AC28" s="47">
        <v>1886427.8379779169</v>
      </c>
      <c r="AD28" s="89"/>
      <c r="AE28" s="47"/>
      <c r="AF28" s="89"/>
      <c r="AG28" s="47"/>
      <c r="AH28" s="89"/>
      <c r="AI28" s="47"/>
      <c r="AJ28" s="89"/>
      <c r="AK28" s="47"/>
      <c r="AL28" s="89"/>
      <c r="AM28" s="360">
        <v>5574270.1027225554</v>
      </c>
      <c r="AN28" s="22"/>
      <c r="AO28" s="47">
        <v>238462.20800143047</v>
      </c>
      <c r="AP28" s="1"/>
      <c r="AQ28" s="60">
        <v>-41317.789906453792</v>
      </c>
      <c r="AR28" s="1"/>
      <c r="AS28" s="47">
        <v>208811.84146837925</v>
      </c>
      <c r="AT28" s="1"/>
      <c r="AU28" s="47">
        <v>18158.043254771273</v>
      </c>
      <c r="AV28" s="1"/>
      <c r="AW28" s="60">
        <v>12361.54946288451</v>
      </c>
      <c r="AX28" s="60"/>
      <c r="AY28" s="60">
        <v>43247.624793611438</v>
      </c>
      <c r="AZ28" s="60"/>
      <c r="BA28" s="60">
        <v>-5771.2290000000003</v>
      </c>
      <c r="BB28" s="1"/>
      <c r="BC28" s="47">
        <v>-99061.010723900094</v>
      </c>
      <c r="BD28" s="1"/>
      <c r="BE28" s="66">
        <v>674800.66203641822</v>
      </c>
      <c r="BF28" s="1"/>
      <c r="BG28" s="60">
        <v>16355.822624818047</v>
      </c>
      <c r="BH28" s="108"/>
      <c r="BI28" s="67">
        <v>84.536211799998284</v>
      </c>
      <c r="BJ28" s="108"/>
      <c r="BK28" s="365">
        <v>-262.26269000000002</v>
      </c>
      <c r="BL28" s="108"/>
      <c r="BM28" s="108"/>
      <c r="BN28" s="108"/>
      <c r="BO28" s="108"/>
      <c r="BP28" s="63"/>
      <c r="BQ28" s="64">
        <v>1065869.9955337592</v>
      </c>
      <c r="BR28" s="1"/>
      <c r="BS28" s="60">
        <v>5146.1493525000033</v>
      </c>
      <c r="BT28" s="108"/>
      <c r="BU28" s="363">
        <v>-73225.748936200005</v>
      </c>
      <c r="BV28" s="108"/>
      <c r="BW28" s="60"/>
      <c r="BX28" s="108"/>
      <c r="BY28" s="60"/>
      <c r="BZ28" s="108"/>
      <c r="CA28" s="60"/>
      <c r="CB28" s="68"/>
      <c r="CC28" s="50">
        <v>-68079.599583700008</v>
      </c>
      <c r="CD28" s="69"/>
      <c r="CE28" s="70">
        <v>6572060.4986726148</v>
      </c>
      <c r="CF28" s="41"/>
      <c r="CG28" s="71" t="s">
        <v>33</v>
      </c>
      <c r="CI28" s="66">
        <v>517298.92028887389</v>
      </c>
      <c r="CJ28" s="66">
        <v>157501.74174754429</v>
      </c>
      <c r="CK28" s="65">
        <v>674800.66203641822</v>
      </c>
      <c r="CL28" s="1"/>
      <c r="CM28" s="1"/>
      <c r="CN28" s="72"/>
      <c r="CO28" s="46"/>
      <c r="CP28" s="46"/>
      <c r="CQ28" s="46"/>
    </row>
    <row r="29" spans="1:96" s="4" customFormat="1" ht="14.25" customHeight="1">
      <c r="A29" s="41" t="s">
        <v>34</v>
      </c>
      <c r="B29" s="40"/>
      <c r="C29" s="77">
        <v>1857723.0413979001</v>
      </c>
      <c r="D29" s="77">
        <v>0</v>
      </c>
      <c r="E29" s="77">
        <v>1393749.9368965304</v>
      </c>
      <c r="F29" s="74"/>
      <c r="G29" s="77">
        <v>1287080.8334183998</v>
      </c>
      <c r="H29" s="74"/>
      <c r="I29" s="78">
        <v>522251.64670760522</v>
      </c>
      <c r="J29" s="197"/>
      <c r="K29" s="78">
        <v>4741.2938016999997</v>
      </c>
      <c r="L29" s="197"/>
      <c r="M29" s="78">
        <v>-505.84147839999991</v>
      </c>
      <c r="N29" s="197"/>
      <c r="O29" s="363">
        <v>306004.03191809996</v>
      </c>
      <c r="P29" s="197"/>
      <c r="Q29" s="60">
        <v>136996.3321771</v>
      </c>
      <c r="R29" s="197"/>
      <c r="S29" s="60">
        <v>54476.356742599994</v>
      </c>
      <c r="T29" s="197"/>
      <c r="U29" s="47">
        <v>853614.81534770003</v>
      </c>
      <c r="V29" s="197"/>
      <c r="W29" s="60">
        <v>111304.93620739999</v>
      </c>
      <c r="X29" s="197"/>
      <c r="Y29" s="60">
        <v>14361.145359900001</v>
      </c>
      <c r="Z29" s="197"/>
      <c r="AA29" s="60">
        <v>195853.19032320005</v>
      </c>
      <c r="AB29" s="197"/>
      <c r="AC29" s="78">
        <v>2853914.576057693</v>
      </c>
      <c r="AD29" s="197"/>
      <c r="AE29" s="78"/>
      <c r="AF29" s="197"/>
      <c r="AG29" s="78"/>
      <c r="AH29" s="197"/>
      <c r="AI29" s="78"/>
      <c r="AJ29" s="197"/>
      <c r="AK29" s="78"/>
      <c r="AL29" s="197"/>
      <c r="AM29" s="362">
        <v>9591566.2948774286</v>
      </c>
      <c r="AN29" s="22"/>
      <c r="AO29" s="47">
        <v>239353.72469509431</v>
      </c>
      <c r="AP29" s="1"/>
      <c r="AQ29" s="60">
        <v>-99990.944537224888</v>
      </c>
      <c r="AR29" s="1"/>
      <c r="AS29" s="78">
        <v>506583.83220685099</v>
      </c>
      <c r="AT29" s="1"/>
      <c r="AU29" s="47">
        <v>73018.251905797762</v>
      </c>
      <c r="AV29" s="1"/>
      <c r="AW29" s="77">
        <v>183277.92422885448</v>
      </c>
      <c r="AX29" s="77"/>
      <c r="AY29" s="77">
        <v>5512.2040336203208</v>
      </c>
      <c r="AZ29" s="77"/>
      <c r="BA29" s="77">
        <v>69931.122000000003</v>
      </c>
      <c r="BB29" s="1"/>
      <c r="BC29" s="78">
        <v>-0.36980385473998467</v>
      </c>
      <c r="BD29" s="1"/>
      <c r="BE29" s="66">
        <v>846271.94596086699</v>
      </c>
      <c r="BF29" s="1"/>
      <c r="BG29" s="77">
        <v>10233.073330691554</v>
      </c>
      <c r="BH29" s="114"/>
      <c r="BI29" s="67">
        <v>21883.534478409332</v>
      </c>
      <c r="BJ29" s="114"/>
      <c r="BK29" s="365">
        <v>-261.42599999999999</v>
      </c>
      <c r="BL29" s="114"/>
      <c r="BM29" s="114"/>
      <c r="BN29" s="114"/>
      <c r="BO29" s="114"/>
      <c r="BP29" s="1"/>
      <c r="BQ29" s="64">
        <v>1855812.872499106</v>
      </c>
      <c r="BR29" s="1"/>
      <c r="BS29" s="77">
        <v>101887.85102849998</v>
      </c>
      <c r="BT29" s="114"/>
      <c r="BU29" s="363">
        <v>73759.468991899994</v>
      </c>
      <c r="BV29" s="114"/>
      <c r="BW29" s="77"/>
      <c r="BX29" s="114"/>
      <c r="BY29" s="77"/>
      <c r="BZ29" s="114"/>
      <c r="CA29" s="77"/>
      <c r="CB29" s="75"/>
      <c r="CC29" s="50">
        <v>175647.32002039999</v>
      </c>
      <c r="CD29" s="76"/>
      <c r="CE29" s="70">
        <v>11623026.487396935</v>
      </c>
      <c r="CF29" s="41"/>
      <c r="CG29" s="79" t="s">
        <v>34</v>
      </c>
      <c r="CI29" s="77">
        <v>503258.67085609725</v>
      </c>
      <c r="CJ29" s="77">
        <v>343013.27510476974</v>
      </c>
      <c r="CK29" s="65">
        <v>846271.94596086699</v>
      </c>
      <c r="CL29"/>
      <c r="CM29" s="516">
        <f>SUM(CJ26:CJ28)</f>
        <v>342745.00300185347</v>
      </c>
      <c r="CN29" s="80"/>
      <c r="CO29" s="81"/>
      <c r="CP29" s="81"/>
      <c r="CQ29" s="81"/>
    </row>
    <row r="30" spans="1:96" s="4" customFormat="1" ht="14.1" customHeight="1">
      <c r="A30" s="38" t="s">
        <v>282</v>
      </c>
      <c r="B30" s="40"/>
      <c r="C30" s="49"/>
      <c r="D30" s="42"/>
      <c r="E30" s="49"/>
      <c r="F30" s="43"/>
      <c r="G30" s="49"/>
      <c r="H30" s="43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352"/>
      <c r="AN30" s="1"/>
      <c r="AO30" s="49"/>
      <c r="AP30" s="1"/>
      <c r="AQ30" s="49"/>
      <c r="AR30" s="1"/>
      <c r="AS30" s="49"/>
      <c r="AT30" s="1"/>
      <c r="AU30" s="49"/>
      <c r="AV30" s="1"/>
      <c r="AW30" s="49"/>
      <c r="AX30" s="49"/>
      <c r="AY30" s="49"/>
      <c r="AZ30" s="49"/>
      <c r="BA30" s="49"/>
      <c r="BB30" s="1"/>
      <c r="BC30" s="49"/>
      <c r="BD30" s="1"/>
      <c r="BE30" s="49"/>
      <c r="BF30" s="1"/>
      <c r="BG30" s="49"/>
      <c r="BH30" s="49"/>
      <c r="BI30" s="49"/>
      <c r="BJ30" s="49"/>
      <c r="BK30" s="49"/>
      <c r="BL30" s="49"/>
      <c r="BM30" s="49"/>
      <c r="BN30" s="49"/>
      <c r="BO30" s="49"/>
      <c r="BP30" s="1"/>
      <c r="BQ30" s="82"/>
      <c r="BR30" s="1"/>
      <c r="BS30" s="49"/>
      <c r="BT30" s="49"/>
      <c r="BU30" s="49"/>
      <c r="BV30" s="49"/>
      <c r="BW30" s="49"/>
      <c r="BX30" s="49"/>
      <c r="BY30" s="49"/>
      <c r="BZ30" s="49"/>
      <c r="CA30" s="49"/>
      <c r="CB30" s="42"/>
      <c r="CC30" s="83"/>
      <c r="CD30" s="5"/>
      <c r="CE30" s="49"/>
      <c r="CG30" s="38" t="str">
        <f>A30</f>
        <v>MTD Through November 30, 2001</v>
      </c>
      <c r="CI30" s="49"/>
      <c r="CJ30" s="49"/>
      <c r="CK30" s="83"/>
      <c r="CL30" s="84"/>
      <c r="CM30" s="84"/>
      <c r="CN30" s="85"/>
      <c r="CR30" s="86"/>
    </row>
    <row r="31" spans="1:96" s="4" customFormat="1" ht="15.6">
      <c r="A31" s="41" t="s">
        <v>35</v>
      </c>
      <c r="B31" s="40"/>
      <c r="C31" s="440">
        <f>[3]Report!AA39+[4]Report!W39+([5]Report!C39+[5]Report!E39+[5]Report!G39+[5]Report!U39+[5]Report!AA39)+[6]Report!AA39/1000+[80]Report!W39</f>
        <v>2705.9760000000001</v>
      </c>
      <c r="D31" s="42"/>
      <c r="E31" s="439">
        <f>([8]Report!AQ40+[7]Report!C39+[7]Report!M39)/1000</f>
        <v>770.32929812456882</v>
      </c>
      <c r="F31" s="43" t="s">
        <v>3</v>
      </c>
      <c r="G31" s="440">
        <f>([20]Report!N19+[22]Report!AG39+[10]Report!AA39+[15]Report!AA39+[17]Report!AQ39+'[27]Financial Summary'!AQ39+[25]Report!N19+[21]Report!K39)/1000</f>
        <v>165.44300000000001</v>
      </c>
      <c r="H31" s="43" t="s">
        <v>3</v>
      </c>
      <c r="I31" s="439">
        <f>[23]Report!AE39/1000+[26]Report!AE39/1000+[24]Report!AC39/1000</f>
        <v>7.0000000000000007E-2</v>
      </c>
      <c r="J31" s="89"/>
      <c r="K31" s="440">
        <f>[5]Report!I39+[5]Report!K39+[5]Report!S39</f>
        <v>0</v>
      </c>
      <c r="L31" s="89"/>
      <c r="M31" s="440">
        <f>[5]Report!$Q$39+[5]Report!$W$39+[5]Report!$Y$39</f>
        <v>0</v>
      </c>
      <c r="N31" s="89"/>
      <c r="O31" s="440">
        <f>([47]Report!AC39+[16]Report!AQ39+[40]Report!AK39+[46]Report!AA39)/1000</f>
        <v>3.3678499999999998</v>
      </c>
      <c r="P31" s="89"/>
      <c r="Q31" s="47">
        <f>([35]Report!AS39+[36]Report!Q39+[38]Report!AQ39+[37]Report!AQ39+[39]Report!AE39)/1000</f>
        <v>10.3</v>
      </c>
      <c r="R31" s="89"/>
      <c r="S31" s="440">
        <f>([11]Report!$AE$39+[13]Report!$K$39+[28]Report!$AQ$39+[29]Report!$AQ$39+[79]Report!AQ39+[87]Report!K39)/1000</f>
        <v>146.99277499999999</v>
      </c>
      <c r="T31" s="89"/>
      <c r="U31" s="47">
        <f>([44]Report!AM39+[41]Report!AK39+[19]Report!X39+[14]Report!O39+[43]Report!AQ39+[43]Report!M39+[42]Report!M39+[42]Report!Z39)/1000</f>
        <v>203.87548000000001</v>
      </c>
      <c r="V31" s="89"/>
      <c r="W31" s="440">
        <f>('[18]Financial Summary'!AC39+[30]Report!AQ39+[32]Report!W39+[31]Report!AQ39+[33]Report!AG39+[34]Report!CI39+[45]Report!AA39+[83]Report!W39)/1000</f>
        <v>81.287000000000006</v>
      </c>
      <c r="X31" s="89"/>
      <c r="Y31" s="440">
        <f>(+[48]Report!AC39+[12]Report!K39)/1000</f>
        <v>0</v>
      </c>
      <c r="Z31" s="89"/>
      <c r="AA31" s="440">
        <f>(+[9]Report!AM39)/1000</f>
        <v>2.97</v>
      </c>
      <c r="AB31" s="89"/>
      <c r="AC31" s="439">
        <f>'[108]Power-Summary'!AZ35+'[109]Power-Summary'!AT35+[5]Report!M39+[5]Report!O39+'[110]Power Summary'!AN35/1000</f>
        <v>0</v>
      </c>
      <c r="AD31" s="89"/>
      <c r="AE31" s="87"/>
      <c r="AF31" s="89"/>
      <c r="AG31" s="87"/>
      <c r="AH31" s="89"/>
      <c r="AI31" s="87"/>
      <c r="AJ31" s="89"/>
      <c r="AK31" s="87"/>
      <c r="AL31" s="89"/>
      <c r="AM31" s="359">
        <f t="shared" ref="AM31:AM46" si="0">+C31+E31+G31+I31+K31+M31+O31+Q31+S31+U31+W31+Y31+AA31+AC31+AE31+AG31+AI31+AK31</f>
        <v>4090.6114031245697</v>
      </c>
      <c r="AN31" s="1"/>
      <c r="AO31" s="47">
        <f>[57]Report!AG39+[77]Report!O39+[67]Report!AH39+[73]Report!G39+[52]Report!AC39+[51]Report!AA39+[78]Report!I39+[75]Report!O39</f>
        <v>376.66</v>
      </c>
      <c r="AP31" s="1"/>
      <c r="AQ31" s="47">
        <f>[90]Report!AC39+[96]Report!M39+[72]Report!C39+[101]Report!U39+[102]Report!U39+[100]Report!U39+[99]Report!AH39+[91]Report!AC39+[95]Report!AK39</f>
        <v>0</v>
      </c>
      <c r="AR31" s="1"/>
      <c r="AS31" s="87">
        <f>[50]Report!Y39+[98]Report!Y39+[97]Report!AD39+[53]Report!AB39+[54]Report!W39+[104]Report!$W$39</f>
        <v>37.579500000000003</v>
      </c>
      <c r="AT31" s="1"/>
      <c r="AU31" s="47">
        <f>[56]Report!AW39+[103]Report!AN39+[74]Report!S39+[69]Report!AI39+[64]Report!AQ39+[63]Report!AQ39+[62]Report!AQ39+[62]Report!BO39+[61]Report!AG39+[70]Report!X39+[71]Report!X39+[76]Report!S39+[82]Report!W39</f>
        <v>-151.80000000000001</v>
      </c>
      <c r="AV31" s="1"/>
      <c r="AW31" s="87">
        <f>+[59]Report!AE39+[81]Report!W39</f>
        <v>0</v>
      </c>
      <c r="AX31" s="87"/>
      <c r="AY31" s="87">
        <f>+[65]Report!W39</f>
        <v>0</v>
      </c>
      <c r="AZ31" s="87"/>
      <c r="BA31" s="87">
        <f>+[84]Report!AD39/1000</f>
        <v>0</v>
      </c>
      <c r="BB31" s="1"/>
      <c r="BC31" s="47">
        <f>[60]Report!AL39</f>
        <v>0</v>
      </c>
      <c r="BD31" s="1"/>
      <c r="BE31" s="70">
        <f>CK31</f>
        <v>0</v>
      </c>
      <c r="BF31" s="1"/>
      <c r="BG31" s="47">
        <f>[66]Report!BQ39</f>
        <v>0</v>
      </c>
      <c r="BH31" s="89"/>
      <c r="BI31" s="47">
        <f>[55]Report!$AE$39</f>
        <v>0</v>
      </c>
      <c r="BJ31" s="89"/>
      <c r="BK31" s="440">
        <v>0</v>
      </c>
      <c r="BL31" s="89"/>
      <c r="BM31" s="89"/>
      <c r="BN31" s="89"/>
      <c r="BO31" s="89"/>
      <c r="BP31" s="1"/>
      <c r="BQ31" s="64">
        <f t="shared" ref="BQ31:BQ48" si="1">+AO31+AQ31+AS31+AU31+AW31+AY31+BA31+BC31+BE31+BG31+BI31+BK31+BM31+BO31</f>
        <v>262.43950000000001</v>
      </c>
      <c r="BR31" s="1"/>
      <c r="BS31" s="87">
        <f>[1]Report!F24/1000+[2]Report!E24/1000</f>
        <v>0</v>
      </c>
      <c r="BT31" s="89"/>
      <c r="BU31" s="47">
        <f>[105]Report!AR39</f>
        <v>0</v>
      </c>
      <c r="BV31" s="89"/>
      <c r="BW31" s="87"/>
      <c r="BX31" s="89"/>
      <c r="BY31" s="87"/>
      <c r="BZ31" s="89"/>
      <c r="CA31" s="87"/>
      <c r="CB31" s="42"/>
      <c r="CC31" s="50">
        <f>+BS31+BU31+BW31+BY31+CA31</f>
        <v>0</v>
      </c>
      <c r="CD31" s="42"/>
      <c r="CE31" s="70">
        <f>+CC31+BQ31+AM31</f>
        <v>4353.0509031245701</v>
      </c>
      <c r="CG31" s="41" t="s">
        <v>35</v>
      </c>
      <c r="CI31" s="70">
        <f>[92]Report!BU39</f>
        <v>0</v>
      </c>
      <c r="CJ31" s="70">
        <v>0</v>
      </c>
      <c r="CK31" s="50">
        <f>CI31+CJ31</f>
        <v>0</v>
      </c>
      <c r="CL31"/>
      <c r="CM31" s="84"/>
      <c r="CN31" s="85"/>
      <c r="CR31" s="86"/>
    </row>
    <row r="32" spans="1:96" s="4" customFormat="1" ht="14.1" customHeight="1">
      <c r="A32" s="41" t="s">
        <v>36</v>
      </c>
      <c r="B32" s="40"/>
      <c r="C32" s="441"/>
      <c r="D32" s="42"/>
      <c r="E32" s="49"/>
      <c r="F32" s="43"/>
      <c r="G32" s="441"/>
      <c r="H32" s="43"/>
      <c r="I32" s="49"/>
      <c r="J32" s="49"/>
      <c r="K32" s="441"/>
      <c r="L32" s="49"/>
      <c r="M32" s="49"/>
      <c r="N32" s="49"/>
      <c r="O32" s="441"/>
      <c r="P32" s="49"/>
      <c r="Q32" s="89"/>
      <c r="R32" s="49"/>
      <c r="S32" s="49"/>
      <c r="T32" s="49"/>
      <c r="U32" s="89"/>
      <c r="V32" s="49"/>
      <c r="W32" s="52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352"/>
      <c r="AN32" s="1"/>
      <c r="AO32" s="89"/>
      <c r="AP32" s="1"/>
      <c r="AQ32" s="89"/>
      <c r="AR32" s="1"/>
      <c r="AS32" s="49"/>
      <c r="AT32" s="1"/>
      <c r="AU32" s="89"/>
      <c r="AV32" s="1"/>
      <c r="AW32" s="49"/>
      <c r="AX32" s="49"/>
      <c r="AY32" s="49"/>
      <c r="AZ32" s="49"/>
      <c r="BA32" s="49"/>
      <c r="BB32" s="1"/>
      <c r="BC32" s="49"/>
      <c r="BD32" s="1"/>
      <c r="BE32" s="49"/>
      <c r="BF32" s="1"/>
      <c r="BG32" s="49"/>
      <c r="BH32" s="49"/>
      <c r="BI32" s="49"/>
      <c r="BJ32" s="49"/>
      <c r="BK32" s="49"/>
      <c r="BL32" s="49"/>
      <c r="BM32" s="49"/>
      <c r="BN32" s="49"/>
      <c r="BO32" s="49"/>
      <c r="BP32" s="1"/>
      <c r="BQ32" s="82"/>
      <c r="BR32" s="1"/>
      <c r="BS32" s="49"/>
      <c r="BT32" s="49"/>
      <c r="BU32" s="89"/>
      <c r="BV32" s="49"/>
      <c r="BW32" s="49"/>
      <c r="BX32" s="49"/>
      <c r="BY32" s="49"/>
      <c r="BZ32" s="49"/>
      <c r="CA32" s="49"/>
      <c r="CB32" s="42"/>
      <c r="CC32" s="83"/>
      <c r="CD32" s="5"/>
      <c r="CE32" s="53"/>
      <c r="CG32" s="41" t="s">
        <v>36</v>
      </c>
      <c r="CI32" s="49"/>
      <c r="CJ32" s="49"/>
      <c r="CK32" s="83"/>
      <c r="CL32"/>
      <c r="CM32"/>
      <c r="CN32" s="85"/>
    </row>
    <row r="33" spans="1:92" s="546" customFormat="1" ht="14.1" customHeight="1">
      <c r="A33" s="536" t="s">
        <v>37</v>
      </c>
      <c r="B33" s="537"/>
      <c r="C33" s="538">
        <f>[3]Report!AA41+[4]Report!W41+([5]Report!C41+[5]Report!E41+[5]Report!G41+[5]Report!U41+[5]Report!AA41)+[6]Report!AA41/1000+[80]Report!W41</f>
        <v>70262.164447299991</v>
      </c>
      <c r="D33" s="537"/>
      <c r="E33" s="539">
        <f>([8]Report!AQ42+[7]Report!C41+[7]Report!M41)/1000</f>
        <v>207.47287210688077</v>
      </c>
      <c r="F33" s="540"/>
      <c r="G33" s="538">
        <f>([20]Report!N21+[22]Report!AG41+[10]Report!AA41+[15]Report!AA41+[17]Report!AQ41+'[27]Financial Summary'!AQ41+[25]Report!N21+[21]Report!K41)/1000</f>
        <v>-3323.466800499999</v>
      </c>
      <c r="H33" s="540"/>
      <c r="I33" s="551">
        <f>[23]Report!AE41/1000+[26]Report!AE41/1000+[24]Report!AC41/1000</f>
        <v>0.89176869999960218</v>
      </c>
      <c r="J33" s="539"/>
      <c r="K33" s="538">
        <f>[5]Report!I41+[5]Report!K41+[5]Report!S41</f>
        <v>18369.246999999999</v>
      </c>
      <c r="L33" s="539"/>
      <c r="M33" s="89">
        <f>[5]Report!Q41+[5]Report!W41+[5]Report!Y41</f>
        <v>0</v>
      </c>
      <c r="N33" s="539"/>
      <c r="O33" s="538">
        <f>([47]Report!AC41+[16]Report!AQ41+[40]Report!AK41+[46]Report!AA41)/1000</f>
        <v>1856.9661752000004</v>
      </c>
      <c r="P33" s="539"/>
      <c r="Q33" s="539">
        <f>([35]Report!AS41+[36]Report!Q41+[38]Report!AQ41+[37]Report!AQ41+[39]Report!AE41)/1000</f>
        <v>357.14335150000039</v>
      </c>
      <c r="R33" s="539"/>
      <c r="S33" s="539">
        <f>(+[11]Report!AE41+[13]Report!K41+[28]Report!AQ41+[29]Report!AQ41+[79]Report!AQ41+[87]Report!K41)/1000</f>
        <v>31.432007099999989</v>
      </c>
      <c r="T33" s="539"/>
      <c r="U33" s="539">
        <f>([44]Report!AM41+[41]Report!AK41+[19]Report!X41+[14]Report!O41+[43]Report!AQ41+[43]Report!M41+[42]Report!M41+[42]Report!Z41)/1000</f>
        <v>-8654.7892312000004</v>
      </c>
      <c r="V33" s="539"/>
      <c r="W33" s="539">
        <f>('[18]Financial Summary'!AC41+[30]Report!AQ41+[32]Report!W41+[31]Report!AQ41+[33]Report!AG41+[34]Report!CI41+[45]Report!AA41+[83]Report!W41)/1000</f>
        <v>-1276.9103067999995</v>
      </c>
      <c r="X33" s="539"/>
      <c r="Y33" s="539">
        <f>(+[48]Report!AC41+[12]Report!K41)/1000</f>
        <v>-11.141999999999999</v>
      </c>
      <c r="Z33" s="539"/>
      <c r="AA33" s="539">
        <f>(+[9]Report!AM41)/1000</f>
        <v>-30.088417900000206</v>
      </c>
      <c r="AB33" s="539"/>
      <c r="AC33" s="551">
        <f>'[108]Power-Summary'!AZ37+'[109]Power-Summary'!AR37/1000+[5]Report!M41+[5]Report!O41+'[110]Power Summary'!AN37/1000</f>
        <v>7295.6250531575533</v>
      </c>
      <c r="AD33" s="539"/>
      <c r="AE33" s="539"/>
      <c r="AF33" s="539"/>
      <c r="AG33" s="539"/>
      <c r="AH33" s="539"/>
      <c r="AI33" s="539"/>
      <c r="AJ33" s="539"/>
      <c r="AK33" s="539"/>
      <c r="AL33" s="539"/>
      <c r="AM33" s="541">
        <f t="shared" si="0"/>
        <v>85084.545918664415</v>
      </c>
      <c r="AN33" s="542"/>
      <c r="AO33" s="539">
        <f>[57]Report!AG41+[77]Report!O41+[67]Report!AH41+[73]Report!G41+[52]Report!AC41+[51]Report!AA41+[78]Report!I41+[75]Report!O41</f>
        <v>4354.2271444994594</v>
      </c>
      <c r="AP33" s="539"/>
      <c r="AQ33" s="539">
        <f>[90]Report!AC41+[96]Report!M41+[72]Report!C41+[101]Report!U41+[102]Report!U41+[100]Report!U41+[99]Report!AH41+[91]Report!AC41+[95]Report!AK41</f>
        <v>-18665.288750499996</v>
      </c>
      <c r="AR33" s="539"/>
      <c r="AS33" s="539">
        <f>[50]Report!Y41+[98]Report!Y41+[97]Report!AD41+[53]Report!AB41+[54]Report!W41+[104]Report!W41</f>
        <v>504.32340569999997</v>
      </c>
      <c r="AT33" s="539"/>
      <c r="AU33" s="539">
        <f>[56]Report!AW41+[103]Report!AN41+[74]Report!S41+[69]Report!AI41+[64]Report!AQ41+[63]Report!AQ41+[62]Report!AQ41+[62]Report!BO41+[61]Report!AG41+[70]Report!X41+[71]Report!X41+[76]Report!S41+[82]Report!W41</f>
        <v>1729.6468868000009</v>
      </c>
      <c r="AV33" s="539"/>
      <c r="AW33" s="539">
        <f>+[59]Report!AE41+[81]Report!W41</f>
        <v>4544.4439192669342</v>
      </c>
      <c r="AX33" s="543"/>
      <c r="AY33" s="543">
        <f>+[65]Report!W41</f>
        <v>-4.2010310173259029</v>
      </c>
      <c r="AZ33" s="543"/>
      <c r="BA33" s="543">
        <f>+[84]Report!AD41/1000</f>
        <v>75.956000000000003</v>
      </c>
      <c r="BB33" s="542"/>
      <c r="BC33" s="539">
        <f>[60]Report!AL41</f>
        <v>2864.2696119999996</v>
      </c>
      <c r="BD33" s="542"/>
      <c r="BE33" s="540"/>
      <c r="BF33" s="542"/>
      <c r="BG33" s="539">
        <f>[66]Report!$BQ$41</f>
        <v>338.44097433836396</v>
      </c>
      <c r="BH33" s="539"/>
      <c r="BI33" s="539">
        <f>[55]Report!AE41</f>
        <v>71.668207700000011</v>
      </c>
      <c r="BJ33" s="539"/>
      <c r="BK33" s="539"/>
      <c r="BL33" s="539"/>
      <c r="BM33" s="539"/>
      <c r="BN33" s="539"/>
      <c r="BO33" s="539"/>
      <c r="BP33" s="542"/>
      <c r="BQ33" s="544">
        <f t="shared" si="1"/>
        <v>-4186.5136312125642</v>
      </c>
      <c r="BR33" s="542"/>
      <c r="BS33" s="543">
        <f>[1]Report!F26/1000+[2]Report!E26/1000</f>
        <v>-117.87675</v>
      </c>
      <c r="BT33" s="539"/>
      <c r="BU33" s="539">
        <f>[105]Report!AR41</f>
        <v>-305.81308460000002</v>
      </c>
      <c r="BV33" s="539"/>
      <c r="BW33" s="543"/>
      <c r="BX33" s="539"/>
      <c r="BY33" s="543"/>
      <c r="BZ33" s="539"/>
      <c r="CA33" s="543"/>
      <c r="CB33" s="537"/>
      <c r="CC33" s="545">
        <f t="shared" ref="CC33:CC44" si="2">+BS33+BU33+BW33+BY33+CA33</f>
        <v>-423.68983460000004</v>
      </c>
      <c r="CE33" s="540">
        <f t="shared" ref="CE33:CE46" si="3">+CC33+BQ33+AM33</f>
        <v>80474.342452851852</v>
      </c>
      <c r="CG33" s="536"/>
      <c r="CI33" s="537"/>
      <c r="CJ33" s="537"/>
      <c r="CK33" s="547"/>
      <c r="CL33" s="548"/>
      <c r="CM33" s="548"/>
      <c r="CN33" s="537"/>
    </row>
    <row r="34" spans="1:92" s="4" customFormat="1" ht="14.1" customHeight="1">
      <c r="A34" s="41" t="s">
        <v>38</v>
      </c>
      <c r="B34" s="40"/>
      <c r="C34" s="441">
        <f>[3]Report!AA42+[4]Report!W42+([5]Report!C42+[5]Report!E42+[5]Report!G42+[5]Report!U42+[5]Report!AA42)+[6]Report!AA42/1000+[80]Report!W42</f>
        <v>148184.43013980004</v>
      </c>
      <c r="D34" s="42"/>
      <c r="E34" s="535">
        <f>([8]Report!AQ43+[7]Report!C42+[7]Report!M42)/1000</f>
        <v>-4099.9202586715173</v>
      </c>
      <c r="F34" s="43" t="s">
        <v>3</v>
      </c>
      <c r="G34" s="534">
        <f>([20]Report!N22+[22]Report!AG42+[10]Report!AA42+[15]Report!AA42+[17]Report!AQ42+'[27]Financial Summary'!AQ42+[25]Report!N22+[21]Report!K42)/1000</f>
        <v>20658.767954599985</v>
      </c>
      <c r="H34" s="43" t="s">
        <v>3</v>
      </c>
      <c r="I34" s="89">
        <f>[23]Report!AE42/1000+[26]Report!AE42/1000+[24]Report!AC42/1000</f>
        <v>5297.3090289999973</v>
      </c>
      <c r="J34" s="89"/>
      <c r="K34" s="441">
        <f>[5]Report!I42+[5]Report!K42+[5]Report!S42</f>
        <v>0</v>
      </c>
      <c r="L34" s="89"/>
      <c r="M34" s="89">
        <f>[5]Report!Q42+[5]Report!W42+[5]Report!Y42</f>
        <v>1399.8779999999997</v>
      </c>
      <c r="N34" s="89"/>
      <c r="O34" s="534">
        <f>([47]Report!AC42+[16]Report!AQ42+[40]Report!AK42+[46]Report!AA42)/1000</f>
        <v>-1262.7074840999264</v>
      </c>
      <c r="P34" s="89"/>
      <c r="Q34" s="535">
        <f>([35]Report!AS42+[36]Report!Q42+[38]Report!AQ42+[37]Report!AQ42+[39]Report!AE42)/1000</f>
        <v>8673.1647827000015</v>
      </c>
      <c r="R34" s="89"/>
      <c r="S34" s="89">
        <f>(+[11]Report!AE42+[13]Report!K42+[28]Report!AQ42+[29]Report!AQ42+[79]Report!AQ42+[87]Report!K42)/1000</f>
        <v>-1178.6160659000038</v>
      </c>
      <c r="T34" s="89"/>
      <c r="U34" s="539">
        <f>([44]Report!AM42+[41]Report!AK42+[19]Report!X42+[14]Report!O42+[43]Report!AQ42+[43]Report!M42+[42]Report!M42+[42]Report!Z42)/1000</f>
        <v>-4770.314110700001</v>
      </c>
      <c r="V34" s="89"/>
      <c r="W34" s="89">
        <f>('[18]Financial Summary'!AC42+[30]Report!AQ42+[32]Report!W42+[31]Report!AQ42+[33]Report!AG42+[34]Report!CI42+[45]Report!AA42+[83]Report!W42)/1000</f>
        <v>967.89945419999208</v>
      </c>
      <c r="X34" s="89"/>
      <c r="Y34" s="89">
        <f>(+[48]Report!AC42+[12]Report!K42)/1000</f>
        <v>-1925.7928653999998</v>
      </c>
      <c r="Z34" s="89"/>
      <c r="AA34" s="539">
        <f>(+[9]Report!AM42)/1000</f>
        <v>4757.848896800002</v>
      </c>
      <c r="AB34" s="89"/>
      <c r="AC34" s="89">
        <f>'[108]Power-Summary'!AZ38+'[109]Power-Summary'!AR38/1000+[5]Report!M42+[5]Report!O42+'[110]Power Summary'!AN38/1000+'[110]Power Summary'!AN47/1000+'[108]Power-Summary'!$AZ$47+'[109]Power-Summary'!$AT$47</f>
        <v>105817.89451596122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353">
        <f t="shared" si="0"/>
        <v>282519.84198828979</v>
      </c>
      <c r="AN34" s="1"/>
      <c r="AO34" s="539">
        <f>[57]Report!AG42+[77]Report!O42+[67]Report!AH42+[73]Report!G42+[52]Report!AC42+[51]Report!AA42+[78]Report!I42+[75]Report!O42</f>
        <v>10226.635687741884</v>
      </c>
      <c r="AP34" s="89"/>
      <c r="AQ34" s="539">
        <f>[90]Report!AC42+[96]Report!M42+[72]Report!C42+[101]Report!U42+[102]Report!U42+[100]Report!U42+[99]Report!AH42+[91]Report!AC42+[95]Report!AK42</f>
        <v>16060.705440324949</v>
      </c>
      <c r="AR34" s="89"/>
      <c r="AS34" s="89">
        <f>[50]Report!Y42+[98]Report!Y42+[97]Report!AD42+[53]Report!AB42+[54]Report!W42+[104]Report!W42</f>
        <v>1646.6386506999993</v>
      </c>
      <c r="AT34" s="89"/>
      <c r="AU34" s="89">
        <f>[56]Report!AW42+[103]Report!AN42+[74]Report!S42+[69]Report!AI42+[64]Report!AQ42+[63]Report!AQ42+[62]Report!AQ42+[62]Report!BO42+[61]Report!AG42+[70]Report!X42+[71]Report!X42+[76]Report!S42+[82]Report!W42</f>
        <v>-4709.4783186839413</v>
      </c>
      <c r="AV34" s="89"/>
      <c r="AW34" s="89">
        <f>+[59]Report!AE42+[81]Report!W42</f>
        <v>-3914.1816810969904</v>
      </c>
      <c r="AX34" s="90"/>
      <c r="AY34" s="90">
        <f>+[65]Report!W42</f>
        <v>-940.06608804426469</v>
      </c>
      <c r="AZ34" s="90"/>
      <c r="BA34" s="90">
        <f>+[84]Report!AD42/1000</f>
        <v>-12989.839</v>
      </c>
      <c r="BB34" s="1"/>
      <c r="BC34" s="89">
        <f>[60]Report!AL42</f>
        <v>-23489.359699292938</v>
      </c>
      <c r="BD34" s="1"/>
      <c r="BE34" s="53">
        <f>CK34+CK35</f>
        <v>16691.458017531688</v>
      </c>
      <c r="BF34" s="1"/>
      <c r="BG34" s="89">
        <f>[66]Report!BQ42</f>
        <v>-1858.57395079045</v>
      </c>
      <c r="BH34" s="89"/>
      <c r="BI34" s="89">
        <f>[55]Report!AE42</f>
        <v>-228.16464753944473</v>
      </c>
      <c r="BJ34" s="89"/>
      <c r="BK34" s="89"/>
      <c r="BL34" s="89"/>
      <c r="BM34" s="89"/>
      <c r="BN34" s="89"/>
      <c r="BO34" s="89"/>
      <c r="BP34" s="1"/>
      <c r="BQ34" s="91">
        <f>+AO34+AQ34+AS34+AU34+AW34+AY34+BA34+BC34+BE34+BG34+BI34+BK34+BM34+BO34</f>
        <v>-3504.225589149507</v>
      </c>
      <c r="BR34" s="1"/>
      <c r="BS34" s="312">
        <f>[1]Report!F27/1000+[2]Report!E27/1000</f>
        <v>-2795.7093213999997</v>
      </c>
      <c r="BT34" s="89"/>
      <c r="BU34" s="539">
        <f>[105]Report!AR42</f>
        <v>-1988.3529842000019</v>
      </c>
      <c r="BV34" s="89"/>
      <c r="BW34" s="90"/>
      <c r="BX34" s="89"/>
      <c r="BY34" s="90"/>
      <c r="BZ34" s="89"/>
      <c r="CA34" s="90"/>
      <c r="CB34" s="43"/>
      <c r="CC34" s="56">
        <f t="shared" si="2"/>
        <v>-4784.0623056000013</v>
      </c>
      <c r="CD34" s="92"/>
      <c r="CE34" s="53">
        <f t="shared" si="3"/>
        <v>274231.5540935403</v>
      </c>
      <c r="CG34" s="41" t="s">
        <v>38</v>
      </c>
      <c r="CI34" s="53">
        <f>[92]Report!$C$42+[92]Report!$E$42+[92]Report!$G$42+[92]Report!$O$42+[92]Report!$Q$42+[92]Report!$Y$42+[92]Report!$AE$42+[92]Report!$AM$42+[92]Report!$AS$42+[92]Report!$AU$42+[92]Report!$AW$42</f>
        <v>1397.3466552050322</v>
      </c>
      <c r="CJ34" s="53">
        <f>SUM(RHO_DRIFT!BH131:BH136)</f>
        <v>15294.111362326654</v>
      </c>
      <c r="CK34" s="56">
        <f t="shared" ref="CK34:CK44" si="4">CI34+CJ34</f>
        <v>16691.458017531688</v>
      </c>
      <c r="CL34"/>
      <c r="CM34"/>
    </row>
    <row r="35" spans="1:92" s="4" customFormat="1" ht="14.1" customHeight="1">
      <c r="A35" s="71" t="s">
        <v>39</v>
      </c>
      <c r="B35" s="93"/>
      <c r="C35" s="441">
        <f>[3]Report!AA43+[4]Report!W43+([5]Report!C43+[5]Report!E43+[5]Report!G43+[5]Report!U43+[5]Report!AA43)+[6]Report!AA43/1000+[80]Report!W43</f>
        <v>4551.5590075000009</v>
      </c>
      <c r="D35" s="94"/>
      <c r="E35" s="535">
        <f>([8]Report!AQ44+[7]Report!C43+[7]Report!M43)/1000</f>
        <v>-7274.7707457818469</v>
      </c>
      <c r="F35" s="95" t="s">
        <v>3</v>
      </c>
      <c r="G35" s="534">
        <f>([20]Report!N23+[22]Report!AG43+[10]Report!AA43+[15]Report!AA43+[17]Report!AQ43+'[27]Financial Summary'!AQ43+[25]Report!N23+[21]Report!K43)/1000</f>
        <v>-2076.1350832999869</v>
      </c>
      <c r="H35" s="95" t="s">
        <v>3</v>
      </c>
      <c r="I35" s="89">
        <f>[23]Report!AE43/1000+[26]Report!AE43/1000+[24]Report!AC43/1000</f>
        <v>-346.80234789999997</v>
      </c>
      <c r="J35" s="89"/>
      <c r="K35" s="441">
        <f>[5]Report!I43+[5]Report!K43+[5]Report!S43</f>
        <v>-17850.1324943</v>
      </c>
      <c r="L35" s="89"/>
      <c r="M35" s="89">
        <f>[5]Report!Q43+[5]Report!W43+[5]Report!Y43</f>
        <v>0</v>
      </c>
      <c r="N35" s="89"/>
      <c r="O35" s="534">
        <f>([47]Report!AC43+[16]Report!AQ43+[40]Report!AK43+[46]Report!AA43)/1000</f>
        <v>7051.972029600006</v>
      </c>
      <c r="P35" s="89"/>
      <c r="Q35" s="535">
        <f>([35]Report!AS43+[36]Report!Q43+[38]Report!AQ43+[37]Report!AQ43+[39]Report!AE43)/1000</f>
        <v>-618.40785619999986</v>
      </c>
      <c r="R35" s="89"/>
      <c r="S35" s="89">
        <f>(+[11]Report!AE43+[13]Report!K43+[28]Report!AQ43+[29]Report!AQ43+[79]Report!AQ43+[87]Report!K43)/1000</f>
        <v>-166.94389780000003</v>
      </c>
      <c r="T35" s="89"/>
      <c r="U35" s="539">
        <f>([44]Report!AM43+[41]Report!AK43+[19]Report!X43+[14]Report!O43+[43]Report!AQ43+[43]Report!M43+[42]Report!M43+[42]Report!Z43)/1000</f>
        <v>-191.08308830001846</v>
      </c>
      <c r="V35" s="89"/>
      <c r="W35" s="89">
        <f>('[18]Financial Summary'!AC43+[30]Report!AQ43+[32]Report!W43+[31]Report!AQ43+[33]Report!AG43+[34]Report!CI43+[45]Report!AA43+[83]Report!W43)/1000</f>
        <v>-7033.6865662000009</v>
      </c>
      <c r="X35" s="89"/>
      <c r="Y35" s="89">
        <f>(+[48]Report!AC43+[12]Report!K43)/1000</f>
        <v>2142.7665305</v>
      </c>
      <c r="Z35" s="89"/>
      <c r="AA35" s="539">
        <f>(+[9]Report!AM43)/1000</f>
        <v>199.35329879999975</v>
      </c>
      <c r="AB35" s="89"/>
      <c r="AC35" s="89">
        <f>'[108]Power-Summary'!AZ39+'[109]Power-Summary'!AR39/1000+[5]Report!M43+[5]Report!O43+'[110]Power Summary'!AN39/1000</f>
        <v>0</v>
      </c>
      <c r="AD35" s="89"/>
      <c r="AE35" s="89"/>
      <c r="AF35" s="89"/>
      <c r="AG35" s="89"/>
      <c r="AH35" s="89"/>
      <c r="AI35" s="89"/>
      <c r="AJ35" s="89"/>
      <c r="AK35" s="89"/>
      <c r="AL35" s="89"/>
      <c r="AM35" s="353">
        <f t="shared" si="0"/>
        <v>-21612.311213381847</v>
      </c>
      <c r="AN35" s="1"/>
      <c r="AO35" s="539">
        <f>[57]Report!AG43+[77]Report!O43+[67]Report!AH43+[73]Report!G43+[52]Report!AC43+[51]Report!AA43+[78]Report!I43+[75]Report!O43</f>
        <v>0</v>
      </c>
      <c r="AP35" s="89"/>
      <c r="AQ35" s="539">
        <f>[90]Report!AC43+[96]Report!M43+[72]Report!C43+[101]Report!U43+[102]Report!U43+[100]Report!U43+[99]Report!AH43+[91]Report!AC43+[95]Report!AK43</f>
        <v>0</v>
      </c>
      <c r="AR35" s="89"/>
      <c r="AS35" s="89">
        <f>[50]Report!Y43+[98]Report!Y43+[97]Report!AD43+[53]Report!AB43+[54]Report!W43+[104]Report!W43</f>
        <v>0</v>
      </c>
      <c r="AT35" s="89"/>
      <c r="AU35" s="89">
        <f>[56]Report!AW43+[103]Report!AN43+[74]Report!S43+[69]Report!AI43+[64]Report!AQ43+[63]Report!AQ43+[62]Report!AQ43+[62]Report!BO43+[61]Report!AG43+[70]Report!X43+[71]Report!X43+[76]Report!S43+[82]Report!W43</f>
        <v>0</v>
      </c>
      <c r="AV35" s="89"/>
      <c r="AW35" s="89">
        <f>+[59]Report!AE43+[81]Report!W43</f>
        <v>0</v>
      </c>
      <c r="AX35" s="90"/>
      <c r="AY35" s="90">
        <f>+[65]Report!W43</f>
        <v>0</v>
      </c>
      <c r="AZ35" s="90"/>
      <c r="BA35" s="90">
        <f>+[84]Report!AD43/1000</f>
        <v>0</v>
      </c>
      <c r="BB35" s="1"/>
      <c r="BC35" s="89">
        <f>[60]Report!AL43</f>
        <v>0</v>
      </c>
      <c r="BD35" s="1"/>
      <c r="BE35" s="53">
        <f>CK35*0</f>
        <v>0</v>
      </c>
      <c r="BF35" s="1"/>
      <c r="BG35" s="89">
        <f>[66]Report!BQ43</f>
        <v>0</v>
      </c>
      <c r="BH35" s="89"/>
      <c r="BI35" s="89">
        <f>[55]Report!AE43</f>
        <v>0</v>
      </c>
      <c r="BJ35" s="89"/>
      <c r="BK35" s="89"/>
      <c r="BL35" s="89"/>
      <c r="BM35" s="89"/>
      <c r="BN35" s="89"/>
      <c r="BO35" s="89"/>
      <c r="BP35" s="1"/>
      <c r="BQ35" s="91">
        <f t="shared" si="1"/>
        <v>0</v>
      </c>
      <c r="BR35" s="1"/>
      <c r="BS35" s="312">
        <f>[1]Report!F28/1000+[2]Report!E28/1000</f>
        <v>0</v>
      </c>
      <c r="BT35" s="89"/>
      <c r="BU35" s="539">
        <f>[105]Report!AR43</f>
        <v>0</v>
      </c>
      <c r="BV35" s="89"/>
      <c r="BW35" s="90"/>
      <c r="BX35" s="89"/>
      <c r="BY35" s="90"/>
      <c r="BZ35" s="89"/>
      <c r="CA35" s="90"/>
      <c r="CB35" s="43"/>
      <c r="CC35" s="56">
        <f t="shared" si="2"/>
        <v>0</v>
      </c>
      <c r="CD35" s="92"/>
      <c r="CE35" s="53">
        <f t="shared" si="3"/>
        <v>-21612.311213381847</v>
      </c>
      <c r="CG35" s="71" t="s">
        <v>39</v>
      </c>
      <c r="CI35" s="53">
        <f>[92]Report!$C$43+[92]Report!$E$43+[92]Report!$G$43+[92]Report!$O$43+[92]Report!$Q$43+[92]Report!$Y$43+[92]Report!$AE$43+[92]Report!$AM$43+[92]Report!$AS$43+[92]Report!$AU$43+[92]Report!$AW$43</f>
        <v>0</v>
      </c>
      <c r="CJ35" s="53">
        <v>0</v>
      </c>
      <c r="CK35" s="56">
        <f t="shared" si="4"/>
        <v>0</v>
      </c>
      <c r="CL35"/>
      <c r="CM35"/>
    </row>
    <row r="36" spans="1:92" s="4" customFormat="1" ht="14.1" customHeight="1">
      <c r="A36" s="71" t="s">
        <v>40</v>
      </c>
      <c r="B36" s="93"/>
      <c r="C36" s="441">
        <f>[3]Report!AA44+[4]Report!W44+([5]Report!C44+[5]Report!E44+[5]Report!G44+[5]Report!U44+[5]Report!AA44)+[6]Report!AA44/1000+[80]Report!W44</f>
        <v>0</v>
      </c>
      <c r="D36" s="96"/>
      <c r="E36" s="535">
        <f>([8]Report!AQ45+[7]Report!C44+[7]Report!M44)/1000</f>
        <v>211.49281816471179</v>
      </c>
      <c r="F36" s="95" t="s">
        <v>3</v>
      </c>
      <c r="G36" s="534">
        <f>([20]Report!N24+[22]Report!AG44+[10]Report!AA44+[15]Report!AA44+[17]Report!AQ44+'[27]Financial Summary'!AQ44+[25]Report!N24+[21]Report!K44)/1000</f>
        <v>-4218.7745856999982</v>
      </c>
      <c r="H36" s="95" t="s">
        <v>3</v>
      </c>
      <c r="I36" s="89">
        <f>[23]Report!AE44/1000+[26]Report!AE44/1000+[24]Report!AC44/1000</f>
        <v>-905.07395919999988</v>
      </c>
      <c r="J36" s="89"/>
      <c r="K36" s="441">
        <f>[5]Report!I44+[5]Report!K44+[5]Report!S44</f>
        <v>0</v>
      </c>
      <c r="L36" s="89"/>
      <c r="M36" s="89">
        <f>[5]Report!Q44+[5]Report!W44+[5]Report!Y44</f>
        <v>0</v>
      </c>
      <c r="N36" s="89"/>
      <c r="O36" s="534">
        <f>([47]Report!AC44+[16]Report!AQ44+[40]Report!AK44+[46]Report!AA44)/1000</f>
        <v>-1282.2657225000005</v>
      </c>
      <c r="P36" s="89"/>
      <c r="Q36" s="535">
        <f>([35]Report!AS44+[36]Report!Q44+[38]Report!AQ44+[37]Report!AQ44+[39]Report!AE44)/1000</f>
        <v>-5854.1694287000018</v>
      </c>
      <c r="R36" s="89"/>
      <c r="S36" s="89">
        <f>(+[11]Report!AE44+[13]Report!K44+[28]Report!AQ44+[29]Report!AQ44+[79]Report!AQ44+[87]Report!K44)/1000</f>
        <v>307.41810830000009</v>
      </c>
      <c r="T36" s="89"/>
      <c r="U36" s="539">
        <f>([44]Report!AM44+[41]Report!AK44+[19]Report!X44+[14]Report!O44+[43]Report!AQ44+[43]Report!M44+[42]Report!M44+[42]Report!Z44)/1000</f>
        <v>1988.9513316999999</v>
      </c>
      <c r="V36" s="89"/>
      <c r="W36" s="89">
        <f>('[18]Financial Summary'!AC44+[30]Report!AQ44+[32]Report!W44+[31]Report!AQ44+[33]Report!AG44+[34]Report!CI44+[45]Report!AA44+[83]Report!W44)/1000</f>
        <v>-12173.446181700001</v>
      </c>
      <c r="X36" s="89"/>
      <c r="Y36" s="89">
        <f>(+[48]Report!AC44+[12]Report!K44)/1000</f>
        <v>318.85759090000005</v>
      </c>
      <c r="Z36" s="89"/>
      <c r="AA36" s="539">
        <f>(+[9]Report!AM44)/1000</f>
        <v>-99.169714999999925</v>
      </c>
      <c r="AB36" s="89"/>
      <c r="AC36" s="89">
        <f>'[108]Power-Summary'!AZ40+'[109]Power-Summary'!AR40/1000+[5]Report!M44+[5]Report!O44+'[110]Power Summary'!AN40/1000</f>
        <v>-1376.8613914570656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353">
        <f t="shared" si="0"/>
        <v>-23083.041135192358</v>
      </c>
      <c r="AN36" s="1"/>
      <c r="AO36" s="539">
        <f>[57]Report!AG44+[77]Report!O44+[67]Report!AH44+[73]Report!G44+[52]Report!AC44+[51]Report!AA44+[78]Report!I44+[75]Report!O44</f>
        <v>0</v>
      </c>
      <c r="AP36" s="89"/>
      <c r="AQ36" s="539">
        <f>[90]Report!AC44+[96]Report!M44+[72]Report!C44+[101]Report!U44+[102]Report!U44+[100]Report!U44+[99]Report!AH44+[91]Report!AC44+[95]Report!AK44</f>
        <v>0</v>
      </c>
      <c r="AR36" s="89"/>
      <c r="AS36" s="89">
        <f>[50]Report!Y44+[98]Report!Y44+[97]Report!AD44+[53]Report!AB44+[54]Report!W44+[104]Report!W44</f>
        <v>0</v>
      </c>
      <c r="AT36" s="89"/>
      <c r="AU36" s="89">
        <f>[56]Report!AW44+[103]Report!AN44+[74]Report!S44+[69]Report!AI44+[64]Report!AQ44+[63]Report!AQ44+[62]Report!AQ44+[62]Report!BO44+[61]Report!AG44+[70]Report!X44+[71]Report!X44+[76]Report!S44+[82]Report!W44</f>
        <v>0</v>
      </c>
      <c r="AV36" s="89"/>
      <c r="AW36" s="89">
        <f>+[59]Report!AE44+[81]Report!W44</f>
        <v>0</v>
      </c>
      <c r="AX36" s="90"/>
      <c r="AY36" s="90">
        <f>+[65]Report!W44</f>
        <v>0</v>
      </c>
      <c r="AZ36" s="90"/>
      <c r="BA36" s="90">
        <f>+[84]Report!AD44/1000</f>
        <v>0</v>
      </c>
      <c r="BB36" s="1"/>
      <c r="BC36" s="89">
        <f>[60]Report!AL44</f>
        <v>-47618.624842646619</v>
      </c>
      <c r="BD36" s="1"/>
      <c r="BE36" s="53">
        <f t="shared" ref="BE36:BE41" si="5">CK36</f>
        <v>0</v>
      </c>
      <c r="BF36" s="1"/>
      <c r="BG36" s="89">
        <f>[66]Report!BQ44</f>
        <v>0</v>
      </c>
      <c r="BH36" s="89"/>
      <c r="BI36" s="89">
        <f>[55]Report!AE44</f>
        <v>0</v>
      </c>
      <c r="BJ36" s="89"/>
      <c r="BK36" s="89"/>
      <c r="BL36" s="89"/>
      <c r="BM36" s="89"/>
      <c r="BN36" s="89"/>
      <c r="BO36" s="89"/>
      <c r="BP36" s="1"/>
      <c r="BQ36" s="91">
        <f t="shared" si="1"/>
        <v>-47618.624842646619</v>
      </c>
      <c r="BR36" s="1"/>
      <c r="BS36" s="312">
        <f>[1]Report!F29/1000+[2]Report!E29/1000</f>
        <v>0</v>
      </c>
      <c r="BT36" s="89"/>
      <c r="BU36" s="539">
        <f>[105]Report!AR44</f>
        <v>0</v>
      </c>
      <c r="BV36" s="89"/>
      <c r="BW36" s="90"/>
      <c r="BX36" s="89"/>
      <c r="BY36" s="90"/>
      <c r="BZ36" s="89"/>
      <c r="CA36" s="90"/>
      <c r="CB36" s="43"/>
      <c r="CC36" s="56">
        <f t="shared" si="2"/>
        <v>0</v>
      </c>
      <c r="CD36" s="92"/>
      <c r="CE36" s="53">
        <f t="shared" si="3"/>
        <v>-70701.665977838973</v>
      </c>
      <c r="CF36" s="71"/>
      <c r="CG36" s="71" t="s">
        <v>40</v>
      </c>
      <c r="CI36" s="53">
        <f>[92]Report!$C$44+[92]Report!$E$44+[92]Report!$G$44+[92]Report!$O$44+[92]Report!$Q$44+[92]Report!$Y$44+[92]Report!$AE$44+[92]Report!$AM$44+[92]Report!$AS$44+[92]Report!$AU$44+[92]Report!$AW$44</f>
        <v>0</v>
      </c>
      <c r="CJ36" s="53">
        <v>0</v>
      </c>
      <c r="CK36" s="56">
        <f t="shared" si="4"/>
        <v>0</v>
      </c>
      <c r="CL36"/>
      <c r="CM36"/>
    </row>
    <row r="37" spans="1:92" s="4" customFormat="1" ht="14.1" customHeight="1">
      <c r="A37" s="71" t="s">
        <v>41</v>
      </c>
      <c r="B37" s="93"/>
      <c r="C37" s="441">
        <f>[3]Report!AA45+[4]Report!W45+([5]Report!C45+[5]Report!E45+[5]Report!G45+[5]Report!U45+[5]Report!AA45)+[6]Report!AA45/1000+[80]Report!W45</f>
        <v>8112.7565813999981</v>
      </c>
      <c r="D37" s="94"/>
      <c r="E37" s="535">
        <f>([8]Report!AQ46+[7]Report!C45+[7]Report!M45)/1000</f>
        <v>1063.8543561437614</v>
      </c>
      <c r="F37" s="95" t="s">
        <v>3</v>
      </c>
      <c r="G37" s="534">
        <f>([20]Report!N25+[22]Report!AG45+[10]Report!AA45+[15]Report!AA45+[17]Report!AQ45+'[27]Financial Summary'!AQ45+[25]Report!N25+[21]Report!K45)/1000</f>
        <v>-3626.8869217999995</v>
      </c>
      <c r="H37" s="95" t="s">
        <v>3</v>
      </c>
      <c r="I37" s="89">
        <f>[23]Report!AE45/1000+[26]Report!AE45/1000+[24]Report!AC45/1000</f>
        <v>-392.16999890000005</v>
      </c>
      <c r="J37" s="89"/>
      <c r="K37" s="441">
        <f>[5]Report!I45+[5]Report!K45+[5]Report!S45</f>
        <v>-200.75073639999999</v>
      </c>
      <c r="L37" s="89"/>
      <c r="M37" s="89">
        <f>[5]Report!Q45+[5]Report!W45+[5]Report!Y45</f>
        <v>0</v>
      </c>
      <c r="N37" s="89"/>
      <c r="O37" s="534">
        <f>([47]Report!AC45+[16]Report!AQ45+[40]Report!AK45+[46]Report!AA45)/1000</f>
        <v>872.67400970000006</v>
      </c>
      <c r="P37" s="89"/>
      <c r="Q37" s="535">
        <f>([35]Report!AS45+[36]Report!Q45+[38]Report!AQ45+[37]Report!AQ45+[39]Report!AE45)/1000</f>
        <v>245.06842340000003</v>
      </c>
      <c r="R37" s="89"/>
      <c r="S37" s="89">
        <f>(+[11]Report!AE45+[13]Report!K45+[28]Report!AQ45+[29]Report!AQ45+[79]Report!AQ45+[87]Report!K45)/1000</f>
        <v>7.0228276000000012</v>
      </c>
      <c r="T37" s="89"/>
      <c r="U37" s="539">
        <f>([44]Report!AM45+[41]Report!AK45+[19]Report!X45+[14]Report!O45+[43]Report!AQ45+[43]Report!M45+[42]Report!M45+[42]Report!Z45)/1000</f>
        <v>0</v>
      </c>
      <c r="V37" s="89"/>
      <c r="W37" s="89">
        <f>('[18]Financial Summary'!AC45+[30]Report!AQ45+[32]Report!W45+[31]Report!AQ45+[33]Report!AG45+[34]Report!CI45+[45]Report!AA45+[83]Report!W45)/1000</f>
        <v>147.46802959999997</v>
      </c>
      <c r="X37" s="89"/>
      <c r="Y37" s="89">
        <f>(+[48]Report!AC45+[12]Report!K45)/1000</f>
        <v>-88.414976899999999</v>
      </c>
      <c r="Z37" s="89"/>
      <c r="AA37" s="539">
        <f>(+[9]Report!AM45)/1000</f>
        <v>-1.2000000000000002E-4</v>
      </c>
      <c r="AB37" s="89"/>
      <c r="AC37" s="89">
        <f>'[108]Power-Summary'!AZ41+'[109]Power-Summary'!AR41/1000+[5]Report!M45+[5]Report!O45+'[110]Power Summary'!AN41/1000</f>
        <v>-195.80585994742458</v>
      </c>
      <c r="AD37" s="89"/>
      <c r="AE37" s="89"/>
      <c r="AF37" s="89"/>
      <c r="AG37" s="89"/>
      <c r="AH37" s="89"/>
      <c r="AI37" s="89"/>
      <c r="AJ37" s="89"/>
      <c r="AK37" s="89"/>
      <c r="AL37" s="89"/>
      <c r="AM37" s="353">
        <f t="shared" si="0"/>
        <v>5944.815613896335</v>
      </c>
      <c r="AN37" s="22"/>
      <c r="AO37" s="539">
        <f>[57]Report!AG45+[77]Report!O45+[67]Report!AH45+[73]Report!G45+[52]Report!AC45+[51]Report!AA45+[78]Report!I45+[75]Report!O45</f>
        <v>-4661.8177070000011</v>
      </c>
      <c r="AP37" s="89"/>
      <c r="AQ37" s="539">
        <f>[90]Report!AC45+[96]Report!M45+[72]Report!C45+[101]Report!U45+[102]Report!U45+[100]Report!U45+[99]Report!AH45+[91]Report!AC45+[95]Report!AK45</f>
        <v>-2152.1793045999993</v>
      </c>
      <c r="AR37" s="89"/>
      <c r="AS37" s="89">
        <f>[50]Report!Y45+[98]Report!Y45+[97]Report!AD45+[53]Report!AB45+[54]Report!W45+[104]Report!W45</f>
        <v>-67.1077102</v>
      </c>
      <c r="AT37" s="89"/>
      <c r="AU37" s="89">
        <f>[56]Report!AW45+[103]Report!AN45+[74]Report!S45+[69]Report!AI45+[64]Report!AQ45+[63]Report!AQ45+[62]Report!AQ45+[62]Report!BO45+[61]Report!AG45+[70]Report!X45+[71]Report!X45+[76]Report!S45+[82]Report!W45</f>
        <v>486.58340289999995</v>
      </c>
      <c r="AV37" s="89"/>
      <c r="AW37" s="89">
        <f>+[59]Report!AE45+[81]Report!W45</f>
        <v>796.88299432135648</v>
      </c>
      <c r="AX37" s="90"/>
      <c r="AY37" s="90">
        <f>+[65]Report!W45</f>
        <v>-148.62101136656855</v>
      </c>
      <c r="AZ37" s="90"/>
      <c r="BA37" s="90">
        <f>+[84]Report!AD45/1000</f>
        <v>-160.40700000000001</v>
      </c>
      <c r="BB37" s="1"/>
      <c r="BC37" s="89">
        <f>[60]Report!AL45</f>
        <v>-865.58590729999992</v>
      </c>
      <c r="BD37" s="1"/>
      <c r="BE37" s="53">
        <f t="shared" si="5"/>
        <v>0</v>
      </c>
      <c r="BF37" s="1"/>
      <c r="BG37" s="89">
        <f>[66]Report!BQ45</f>
        <v>0</v>
      </c>
      <c r="BH37" s="89"/>
      <c r="BI37" s="89">
        <f>[55]Report!AE45</f>
        <v>-71.645261700000006</v>
      </c>
      <c r="BJ37" s="89"/>
      <c r="BK37" s="89"/>
      <c r="BL37" s="89"/>
      <c r="BM37" s="89"/>
      <c r="BN37" s="89"/>
      <c r="BO37" s="89"/>
      <c r="BP37" s="1"/>
      <c r="BQ37" s="91">
        <f t="shared" si="1"/>
        <v>-6843.8975049452129</v>
      </c>
      <c r="BR37" s="1"/>
      <c r="BS37" s="312">
        <f>[1]Report!F30/1000+[2]Report!E30/1000</f>
        <v>-5.8259999999999996</v>
      </c>
      <c r="BT37" s="89"/>
      <c r="BU37" s="539">
        <f>[105]Report!AR45</f>
        <v>-23.741796199999996</v>
      </c>
      <c r="BV37" s="89"/>
      <c r="BW37" s="90"/>
      <c r="BX37" s="89"/>
      <c r="BY37" s="90"/>
      <c r="BZ37" s="89"/>
      <c r="CA37" s="90"/>
      <c r="CB37" s="43"/>
      <c r="CC37" s="56">
        <f t="shared" si="2"/>
        <v>-29.567796199999997</v>
      </c>
      <c r="CD37" s="92"/>
      <c r="CE37" s="53">
        <f t="shared" si="3"/>
        <v>-928.64968724887785</v>
      </c>
      <c r="CG37" s="71" t="s">
        <v>41</v>
      </c>
      <c r="CI37" s="53">
        <f>[92]Report!$C$45+[92]Report!$E$45+[92]Report!$G$45+[92]Report!$O$45+[92]Report!$Q$45+[92]Report!$Y$45+[92]Report!$AE$45+[92]Report!$AM$45+[92]Report!$AS$45+[92]Report!$AU$45+[92]Report!$AW$45</f>
        <v>0</v>
      </c>
      <c r="CJ37" s="53">
        <v>0</v>
      </c>
      <c r="CK37" s="56">
        <f t="shared" si="4"/>
        <v>0</v>
      </c>
      <c r="CL37"/>
      <c r="CM37"/>
    </row>
    <row r="38" spans="1:92" s="4" customFormat="1" ht="14.1" customHeight="1">
      <c r="A38" s="71" t="s">
        <v>42</v>
      </c>
      <c r="B38" s="93"/>
      <c r="C38" s="441">
        <f>[3]Report!AA46+[4]Report!W46+([5]Report!C46+[5]Report!E46+[5]Report!G46+[5]Report!U46+[5]Report!AA46)+[6]Report!AA46/1000+[80]Report!W46</f>
        <v>-7939.1558099999993</v>
      </c>
      <c r="D38" s="94"/>
      <c r="E38" s="535">
        <f>([8]Report!AQ47+[7]Report!C46+[7]Report!M46)/1000</f>
        <v>505.59367747600822</v>
      </c>
      <c r="F38" s="95"/>
      <c r="G38" s="534">
        <f>([20]Report!N26+[22]Report!AG46+[10]Report!AA46+[15]Report!AA46+[17]Report!AQ46+'[27]Financial Summary'!AQ46+[25]Report!N26+[21]Report!K46)/1000</f>
        <v>4662.4364367000017</v>
      </c>
      <c r="H38" s="95" t="s">
        <v>3</v>
      </c>
      <c r="I38" s="89">
        <f>[23]Report!AE46/1000+[26]Report!AE46/1000+[24]Report!AC46/1000</f>
        <v>124.11674579999999</v>
      </c>
      <c r="J38" s="89"/>
      <c r="K38" s="441">
        <f>[5]Report!I46+[5]Report!K46+[5]Report!S46</f>
        <v>210.19965920000004</v>
      </c>
      <c r="L38" s="89"/>
      <c r="M38" s="89">
        <f>[5]Report!Q46+[5]Report!W46+[5]Report!Y46</f>
        <v>0</v>
      </c>
      <c r="N38" s="89"/>
      <c r="O38" s="534">
        <f>([47]Report!AC46+[16]Report!AQ46+[40]Report!AK46+[46]Report!AA46)/1000</f>
        <v>14.798096599999999</v>
      </c>
      <c r="P38" s="89"/>
      <c r="Q38" s="535">
        <f>([35]Report!AS46+[36]Report!Q46+[38]Report!AQ46+[37]Report!AQ46+[39]Report!AE46)/1000</f>
        <v>-141.85107589999998</v>
      </c>
      <c r="R38" s="89"/>
      <c r="S38" s="89">
        <f>(+[11]Report!AE46+[13]Report!K46+[28]Report!AQ46+[29]Report!AQ46+[79]Report!AQ46+[87]Report!K46)/1000</f>
        <v>-15.8000141</v>
      </c>
      <c r="T38" s="89"/>
      <c r="U38" s="539">
        <f>([44]Report!AM46+[41]Report!AK46+[19]Report!X46+[14]Report!O46+[43]Report!AQ46+[43]Report!M46+[42]Report!M46+[42]Report!Z46)/1000</f>
        <v>0</v>
      </c>
      <c r="V38" s="89"/>
      <c r="W38" s="89">
        <f>('[18]Financial Summary'!AC46+[30]Report!AQ46+[32]Report!W46+[31]Report!AQ46+[33]Report!AG46+[34]Report!CI46+[45]Report!AA46+[83]Report!W46)/1000</f>
        <v>-22.075447799999999</v>
      </c>
      <c r="X38" s="89"/>
      <c r="Y38" s="89">
        <f>(+[48]Report!AC46+[12]Report!K46)/1000</f>
        <v>-9.4867984000000032</v>
      </c>
      <c r="Z38" s="89"/>
      <c r="AA38" s="539">
        <f>(+[9]Report!AM46)/1000</f>
        <v>0.11987400000000001</v>
      </c>
      <c r="AB38" s="89"/>
      <c r="AC38" s="89">
        <f>'[108]Power-Summary'!AZ42+'[109]Power-Summary'!AR42/1000+[5]Report!M46+[5]Report!O46+'[110]Power Summary'!AN42/1000</f>
        <v>598.37681551107562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353">
        <f t="shared" si="0"/>
        <v>-2012.727840912914</v>
      </c>
      <c r="AN38" s="22"/>
      <c r="AO38" s="539">
        <f>[57]Report!AG46+[77]Report!O46+[67]Report!AH46+[73]Report!G46+[52]Report!AC46+[51]Report!AA46+[78]Report!I46+[75]Report!O46</f>
        <v>-8039.6168752999993</v>
      </c>
      <c r="AP38" s="89"/>
      <c r="AQ38" s="539">
        <f>[90]Report!AC46+[96]Report!M46+[72]Report!C46+[101]Report!U46+[102]Report!U46+[100]Report!U46+[99]Report!AH46+[91]Report!AC46+[95]Report!AK46</f>
        <v>-789.01298649999967</v>
      </c>
      <c r="AR38" s="89"/>
      <c r="AS38" s="89">
        <f>[50]Report!Y46+[98]Report!Y46+[97]Report!AD46+[53]Report!AB46+[54]Report!W46+[104]Report!W46</f>
        <v>-56.873448199999991</v>
      </c>
      <c r="AT38" s="89"/>
      <c r="AU38" s="89">
        <f>[56]Report!AW46+[103]Report!AN46+[74]Report!S46+[69]Report!AI46+[64]Report!AQ46+[63]Report!AQ46+[62]Report!AQ46+[62]Report!BO46+[61]Report!AG46+[70]Report!X46+[71]Report!X46+[76]Report!S46+[82]Report!W46</f>
        <v>137.73993409999989</v>
      </c>
      <c r="AV38" s="89"/>
      <c r="AW38" s="89">
        <f>+[59]Report!AE46+[81]Report!W46</f>
        <v>99.903945699999994</v>
      </c>
      <c r="AX38" s="90"/>
      <c r="AY38" s="90">
        <f>+[65]Report!W46</f>
        <v>2E-3</v>
      </c>
      <c r="AZ38" s="90"/>
      <c r="BA38" s="90">
        <f>+[84]Report!AD46/1000</f>
        <v>0</v>
      </c>
      <c r="BB38" s="1"/>
      <c r="BC38" s="89">
        <f>[60]Report!AL46</f>
        <v>-8534.5469954000018</v>
      </c>
      <c r="BD38" s="1"/>
      <c r="BE38" s="53">
        <f t="shared" si="5"/>
        <v>0</v>
      </c>
      <c r="BF38" s="1"/>
      <c r="BG38" s="89">
        <f>[66]Report!BQ46</f>
        <v>0</v>
      </c>
      <c r="BH38" s="89"/>
      <c r="BI38" s="89">
        <f>[55]Report!AE46</f>
        <v>0</v>
      </c>
      <c r="BJ38" s="89"/>
      <c r="BK38" s="89"/>
      <c r="BL38" s="89"/>
      <c r="BM38" s="89"/>
      <c r="BN38" s="89"/>
      <c r="BO38" s="89"/>
      <c r="BP38" s="1"/>
      <c r="BQ38" s="91">
        <f t="shared" si="1"/>
        <v>-17182.404425599998</v>
      </c>
      <c r="BR38" s="1"/>
      <c r="BS38" s="312">
        <f>[1]Report!F31/1000+[2]Report!E31/1000</f>
        <v>1719.491</v>
      </c>
      <c r="BT38" s="89"/>
      <c r="BU38" s="539">
        <f>[105]Report!AR46</f>
        <v>0</v>
      </c>
      <c r="BV38" s="89"/>
      <c r="BW38" s="90"/>
      <c r="BX38" s="89"/>
      <c r="BY38" s="90"/>
      <c r="BZ38" s="89"/>
      <c r="CA38" s="90"/>
      <c r="CB38" s="43"/>
      <c r="CC38" s="56">
        <f t="shared" si="2"/>
        <v>1719.491</v>
      </c>
      <c r="CD38" s="5"/>
      <c r="CE38" s="53">
        <f t="shared" si="3"/>
        <v>-17475.64126651291</v>
      </c>
      <c r="CG38" s="71" t="s">
        <v>42</v>
      </c>
      <c r="CI38" s="53">
        <f>[92]Report!$C$46+[92]Report!$E$46+[92]Report!$G$46+[92]Report!$O$46+[92]Report!$Q$46+[92]Report!$Y$46+[92]Report!$AE$46+[92]Report!$AM$46+[92]Report!$AS$46+[92]Report!$AU$46+[92]Report!$AW$46</f>
        <v>0</v>
      </c>
      <c r="CJ38" s="53">
        <v>0</v>
      </c>
      <c r="CK38" s="56">
        <f t="shared" si="4"/>
        <v>0</v>
      </c>
      <c r="CL38"/>
      <c r="CM38"/>
    </row>
    <row r="39" spans="1:92" s="4" customFormat="1" ht="14.1" customHeight="1">
      <c r="A39" s="71" t="s">
        <v>43</v>
      </c>
      <c r="B39" s="93"/>
      <c r="C39" s="441">
        <f>[3]Report!AA47+[4]Report!W47+([5]Report!C47+[5]Report!E47+[5]Report!G47+[5]Report!U47+[5]Report!AA47)+[6]Report!AA47/1000+[80]Report!W47</f>
        <v>-11482.177787500001</v>
      </c>
      <c r="D39" s="94"/>
      <c r="E39" s="535">
        <f>([8]Report!AQ48+[7]Report!C47+[7]Report!M47)/1000</f>
        <v>-907.17493570846136</v>
      </c>
      <c r="F39" s="95"/>
      <c r="G39" s="534">
        <f>([20]Report!N27+[22]Report!AG47+[10]Report!AA47+[15]Report!AA47+[17]Report!AQ47+'[27]Financial Summary'!AQ47+[25]Report!N27+[21]Report!K47)/1000</f>
        <v>-3907.2136278999988</v>
      </c>
      <c r="H39" s="95" t="s">
        <v>3</v>
      </c>
      <c r="I39" s="89">
        <f>[23]Report!AE47/1000+[26]Report!AE47/1000+[24]Report!AC47/1000</f>
        <v>416.36041569999981</v>
      </c>
      <c r="J39" s="89"/>
      <c r="K39" s="441">
        <f>[5]Report!I47+[5]Report!K47+[5]Report!S47</f>
        <v>-28.428809999999999</v>
      </c>
      <c r="L39" s="89"/>
      <c r="M39" s="89">
        <f>[5]Report!Q47+[5]Report!W47+[5]Report!Y47</f>
        <v>0</v>
      </c>
      <c r="N39" s="89"/>
      <c r="O39" s="534">
        <f>([47]Report!AC47+[16]Report!AQ47+[40]Report!AK47+[46]Report!AA47)/1000</f>
        <v>-271.99145820000001</v>
      </c>
      <c r="P39" s="89"/>
      <c r="Q39" s="535">
        <f>([35]Report!AS47+[36]Report!Q47+[38]Report!AQ47+[37]Report!AQ47+[39]Report!AE47)/1000</f>
        <v>-200.00767810000002</v>
      </c>
      <c r="R39" s="89"/>
      <c r="S39" s="89">
        <f>(+[11]Report!AE47+[13]Report!K47+[28]Report!AQ47+[29]Report!AQ47+[79]Report!AQ47+[87]Report!K47)/1000</f>
        <v>-13.169884999999999</v>
      </c>
      <c r="T39" s="89"/>
      <c r="U39" s="539">
        <f>([44]Report!AM47+[41]Report!AK47+[19]Report!X47+[14]Report!O47+[43]Report!AQ47+[43]Report!M47+[42]Report!M47+[42]Report!Z47)/1000</f>
        <v>0</v>
      </c>
      <c r="V39" s="89"/>
      <c r="W39" s="89">
        <f>('[18]Financial Summary'!AC47+[30]Report!AQ47+[32]Report!W47+[31]Report!AQ47+[33]Report!AG47+[34]Report!CI47+[45]Report!AA47+[83]Report!W47)/1000</f>
        <v>-202.31477920000006</v>
      </c>
      <c r="X39" s="89"/>
      <c r="Y39" s="89">
        <f>(+[48]Report!AC47+[12]Report!K47)/1000</f>
        <v>34.917664900000013</v>
      </c>
      <c r="Z39" s="89"/>
      <c r="AA39" s="539">
        <f>(+[9]Report!AM47)/1000</f>
        <v>-1.4447600000000001E-2</v>
      </c>
      <c r="AB39" s="89"/>
      <c r="AC39" s="89">
        <f>'[108]Power-Summary'!AZ43+'[109]Power-Summary'!AR43/1000+[5]Report!M47+[5]Report!O47+'[110]Power Summary'!AN43/1000</f>
        <v>-459.40312826720583</v>
      </c>
      <c r="AD39" s="89"/>
      <c r="AE39" s="89"/>
      <c r="AF39" s="89"/>
      <c r="AG39" s="89"/>
      <c r="AH39" s="89"/>
      <c r="AI39" s="89"/>
      <c r="AJ39" s="89"/>
      <c r="AK39" s="89"/>
      <c r="AL39" s="89"/>
      <c r="AM39" s="353">
        <f t="shared" si="0"/>
        <v>-17020.618456875665</v>
      </c>
      <c r="AN39" s="22"/>
      <c r="AO39" s="539">
        <f>[57]Report!AG47+[77]Report!O47+[67]Report!AH47+[73]Report!G47+[52]Report!AC47+[51]Report!AA47+[78]Report!I47+[75]Report!O47</f>
        <v>2070.4798814999999</v>
      </c>
      <c r="AP39" s="89"/>
      <c r="AQ39" s="539">
        <f>[90]Report!AC47+[96]Report!M47+[72]Report!C47+[101]Report!U47+[102]Report!U47+[100]Report!U47+[99]Report!AH47+[91]Report!AC47+[95]Report!AK47</f>
        <v>1305.8446838</v>
      </c>
      <c r="AR39" s="89"/>
      <c r="AS39" s="89">
        <f>[50]Report!Y47+[98]Report!Y47+[97]Report!AD47+[53]Report!AB47+[54]Report!W47+[104]Report!W47</f>
        <v>65.985810499999999</v>
      </c>
      <c r="AT39" s="89"/>
      <c r="AU39" s="89">
        <f>[56]Report!AW47+[103]Report!AN47+[74]Report!S47+[69]Report!AI47+[64]Report!AQ47+[63]Report!AQ47+[62]Report!AQ47+[62]Report!BO47+[61]Report!AG47+[70]Report!X47+[71]Report!X47+[76]Report!S47+[82]Report!W47</f>
        <v>68.371583499999986</v>
      </c>
      <c r="AV39" s="89"/>
      <c r="AW39" s="89">
        <f>+[59]Report!AE47+[81]Report!W47</f>
        <v>-2027.7272871840432</v>
      </c>
      <c r="AX39" s="90"/>
      <c r="AY39" s="90">
        <f>+[65]Report!W47</f>
        <v>197.69861431361468</v>
      </c>
      <c r="AZ39" s="90"/>
      <c r="BA39" s="90">
        <f>+[84]Report!AD47/1000</f>
        <v>-4267.2790000000005</v>
      </c>
      <c r="BB39" s="1"/>
      <c r="BC39" s="89">
        <f>[60]Report!AL47</f>
        <v>3200.5371660000001</v>
      </c>
      <c r="BD39" s="1"/>
      <c r="BE39" s="53">
        <f t="shared" si="5"/>
        <v>0</v>
      </c>
      <c r="BF39" s="1"/>
      <c r="BG39" s="89">
        <f>[66]Report!BQ47</f>
        <v>0</v>
      </c>
      <c r="BH39" s="89"/>
      <c r="BI39" s="89">
        <f>[55]Report!AE47</f>
        <v>2.2382539000000006</v>
      </c>
      <c r="BJ39" s="89"/>
      <c r="BK39" s="89"/>
      <c r="BL39" s="89"/>
      <c r="BM39" s="89"/>
      <c r="BN39" s="89"/>
      <c r="BO39" s="89"/>
      <c r="BP39" s="1"/>
      <c r="BQ39" s="91">
        <f t="shared" si="1"/>
        <v>616.14970632957056</v>
      </c>
      <c r="BR39" s="1"/>
      <c r="BS39" s="312">
        <f>[1]Report!F32/1000+[2]Report!E32/1000</f>
        <v>37.076287399999998</v>
      </c>
      <c r="BT39" s="89"/>
      <c r="BU39" s="539">
        <f>[105]Report!AR47</f>
        <v>-204.4219287</v>
      </c>
      <c r="BV39" s="89"/>
      <c r="BW39" s="90"/>
      <c r="BX39" s="89"/>
      <c r="BY39" s="90"/>
      <c r="BZ39" s="89"/>
      <c r="CA39" s="90"/>
      <c r="CB39" s="43"/>
      <c r="CC39" s="56">
        <f t="shared" si="2"/>
        <v>-167.34564130000001</v>
      </c>
      <c r="CD39" s="5"/>
      <c r="CE39" s="53">
        <f t="shared" si="3"/>
        <v>-16571.814391846096</v>
      </c>
      <c r="CG39" s="71" t="s">
        <v>43</v>
      </c>
      <c r="CI39" s="53">
        <f>[92]Report!$C$47+[92]Report!$E$47+[92]Report!$G$47+[92]Report!$O$47+[92]Report!$Q$47+[92]Report!$Y$47+[92]Report!$AE$47+[92]Report!$AM$47+[92]Report!$AS$47+[92]Report!$AU$47+[92]Report!$AW$47</f>
        <v>0</v>
      </c>
      <c r="CJ39" s="53">
        <v>0</v>
      </c>
      <c r="CK39" s="56">
        <f t="shared" si="4"/>
        <v>0</v>
      </c>
      <c r="CL39"/>
      <c r="CM39"/>
    </row>
    <row r="40" spans="1:92" s="4" customFormat="1" ht="14.1" customHeight="1">
      <c r="A40" s="71" t="s">
        <v>44</v>
      </c>
      <c r="B40" s="93"/>
      <c r="C40" s="441">
        <f>[3]Report!AA48+[4]Report!W48+([5]Report!C48+[5]Report!E48+[5]Report!G48+[5]Report!U48+[5]Report!AA48)+[6]Report!AA48/1000+[80]Report!W48</f>
        <v>0</v>
      </c>
      <c r="D40" s="94"/>
      <c r="E40" s="535">
        <f>([8]Report!AQ49+[7]Report!C48+[7]Report!M48)/1000</f>
        <v>-112.46565890986639</v>
      </c>
      <c r="F40" s="95"/>
      <c r="G40" s="534">
        <f>([20]Report!N28+[22]Report!AG48+[10]Report!AA48+[15]Report!AA48+[17]Report!AQ48+'[27]Financial Summary'!AQ48+[25]Report!N28+[21]Report!K48)/1000</f>
        <v>1E-3</v>
      </c>
      <c r="H40" s="95" t="s">
        <v>3</v>
      </c>
      <c r="I40" s="89">
        <f>[23]Report!AE48/1000+[26]Report!AE48/1000+[24]Report!AC48/1000</f>
        <v>-155.96684590000001</v>
      </c>
      <c r="J40" s="89"/>
      <c r="K40" s="441">
        <f>[5]Report!I48+[5]Report!K48+[5]Report!S48</f>
        <v>0</v>
      </c>
      <c r="L40" s="89"/>
      <c r="M40" s="89">
        <f>[5]Report!Q48+[5]Report!W48+[5]Report!Y48</f>
        <v>0</v>
      </c>
      <c r="N40" s="89"/>
      <c r="O40" s="534">
        <f>([47]Report!AC48+[16]Report!AQ48+[40]Report!AK48+[46]Report!AA48)/1000</f>
        <v>0</v>
      </c>
      <c r="P40" s="89"/>
      <c r="Q40" s="535">
        <f>([35]Report!AS48+[36]Report!Q48+[38]Report!AQ48+[37]Report!AQ48+[39]Report!AE48)/1000</f>
        <v>0</v>
      </c>
      <c r="R40" s="89"/>
      <c r="S40" s="89">
        <f>(+[11]Report!AE48+[13]Report!K48+[28]Report!AQ48+[29]Report!AQ48+[79]Report!AQ48+[87]Report!K48)/1000</f>
        <v>0</v>
      </c>
      <c r="T40" s="89"/>
      <c r="U40" s="89">
        <f>([44]Report!AM48+[41]Report!AK48+[19]Report!X48+[14]Report!O48+[43]Report!AQ48+[43]Report!M48+[42]Report!M48+[42]Report!Z48)/1000</f>
        <v>0</v>
      </c>
      <c r="V40" s="89"/>
      <c r="W40" s="89">
        <f>('[18]Financial Summary'!AC48+[30]Report!AQ48+[32]Report!W48+[31]Report!AQ48+[33]Report!AG48+[34]Report!CI48+[45]Report!AA48+[83]Report!W48)/1000</f>
        <v>0</v>
      </c>
      <c r="X40" s="89"/>
      <c r="Y40" s="89">
        <f>(+[48]Report!AC48+[12]Report!K48)/1000</f>
        <v>0</v>
      </c>
      <c r="Z40" s="89"/>
      <c r="AA40" s="539">
        <f>(+[9]Report!AM48)/1000</f>
        <v>0</v>
      </c>
      <c r="AB40" s="89"/>
      <c r="AC40" s="89">
        <f>'[108]Power-Summary'!AZ44+'[109]Power-Summary'!AR44/1000+[5]Report!M48+[5]Report!O48+'[110]Power Summary'!AN44/1000</f>
        <v>0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353">
        <f t="shared" si="0"/>
        <v>-268.4315048098664</v>
      </c>
      <c r="AN40" s="22"/>
      <c r="AO40" s="539">
        <f>[57]Report!AG48+[77]Report!O48+[67]Report!AH48+[73]Report!G48+[52]Report!AC48+[51]Report!AA48+[78]Report!I48+[75]Report!O48</f>
        <v>0</v>
      </c>
      <c r="AP40" s="89"/>
      <c r="AQ40" s="539">
        <f>[90]Report!AC48+[96]Report!M48+[72]Report!C48+[101]Report!U48+[102]Report!U48+[100]Report!U48+[99]Report!AH48+[91]Report!AC48+[95]Report!AK48</f>
        <v>0</v>
      </c>
      <c r="AR40" s="89"/>
      <c r="AS40" s="89">
        <f>[50]Report!Y48+[98]Report!Y48+[97]Report!AD48+[53]Report!AB48+[54]Report!W48+[104]Report!W48</f>
        <v>0</v>
      </c>
      <c r="AT40" s="89"/>
      <c r="AU40" s="89">
        <f>[56]Report!AW48+[103]Report!AN48+[74]Report!S48+[69]Report!AI48+[64]Report!AQ48+[63]Report!AQ48+[62]Report!AQ48+[62]Report!BO48+[61]Report!AG48+[70]Report!X48+[71]Report!X48+[76]Report!S48+[82]Report!W48</f>
        <v>0</v>
      </c>
      <c r="AV40" s="89"/>
      <c r="AW40" s="89">
        <f>+[59]Report!AE48+[81]Report!W48</f>
        <v>0</v>
      </c>
      <c r="AX40" s="90"/>
      <c r="AY40" s="90">
        <f>+[65]Report!W48</f>
        <v>0</v>
      </c>
      <c r="AZ40" s="90"/>
      <c r="BA40" s="90">
        <f>+[84]Report!AD48/1000</f>
        <v>0</v>
      </c>
      <c r="BB40" s="1"/>
      <c r="BC40" s="89">
        <f>[60]Report!AL48</f>
        <v>0</v>
      </c>
      <c r="BD40" s="1"/>
      <c r="BE40" s="53">
        <f t="shared" si="5"/>
        <v>-6356.0218261206173</v>
      </c>
      <c r="BF40" s="1"/>
      <c r="BG40" s="89">
        <f>[66]Report!BQ48</f>
        <v>0</v>
      </c>
      <c r="BH40" s="89"/>
      <c r="BI40" s="89">
        <f>[55]Report!AE48</f>
        <v>0</v>
      </c>
      <c r="BJ40" s="89"/>
      <c r="BK40" s="89"/>
      <c r="BL40" s="89"/>
      <c r="BM40" s="89"/>
      <c r="BN40" s="89"/>
      <c r="BO40" s="89"/>
      <c r="BP40" s="1"/>
      <c r="BQ40" s="91">
        <f t="shared" si="1"/>
        <v>-6356.0218261206173</v>
      </c>
      <c r="BR40" s="1"/>
      <c r="BS40" s="312">
        <f>[1]Report!F33/1000+[2]Report!E33/1000</f>
        <v>0</v>
      </c>
      <c r="BT40" s="89"/>
      <c r="BU40" s="539">
        <f>[105]Report!AR48</f>
        <v>0</v>
      </c>
      <c r="BV40" s="89"/>
      <c r="BW40" s="90"/>
      <c r="BX40" s="89"/>
      <c r="BY40" s="90"/>
      <c r="BZ40" s="89"/>
      <c r="CA40" s="90"/>
      <c r="CB40" s="43"/>
      <c r="CC40" s="56">
        <f t="shared" si="2"/>
        <v>0</v>
      </c>
      <c r="CD40" s="3"/>
      <c r="CE40" s="53">
        <f t="shared" si="3"/>
        <v>-6624.4533309304834</v>
      </c>
      <c r="CG40" s="71" t="s">
        <v>45</v>
      </c>
      <c r="CI40" s="53">
        <f>[92]Report!$C$48+[92]Report!$E$48+[92]Report!$G$48+[92]Report!$O$48+[92]Report!$Q$48+[92]Report!$Y$48+[92]Report!$AE$48+[92]Report!$AM$48+[92]Report!$AS$48+[92]Report!$AU$48+[92]Report!$AW$48</f>
        <v>0</v>
      </c>
      <c r="CJ40" s="53">
        <f>SUM(RHO_DRIFT!BI131:BI136)</f>
        <v>-6356.0218261206173</v>
      </c>
      <c r="CK40" s="56">
        <f t="shared" si="4"/>
        <v>-6356.0218261206173</v>
      </c>
      <c r="CL40"/>
      <c r="CM40"/>
    </row>
    <row r="41" spans="1:92" s="4" customFormat="1" ht="15.75" customHeight="1">
      <c r="A41" s="71" t="s">
        <v>46</v>
      </c>
      <c r="B41" s="93"/>
      <c r="C41" s="441">
        <f>[3]Report!AA49+[4]Report!W49+([5]Report!C49+[5]Report!E49+[5]Report!G49+[5]Report!U49+[5]Report!AA49)+[6]Report!AA49/1000+[80]Report!W49</f>
        <v>-598.39406499999996</v>
      </c>
      <c r="D41" s="97"/>
      <c r="E41" s="535">
        <f>([8]Report!AQ51+[7]Report!C49+[7]Report!M49)/1000</f>
        <v>-20.373831775700936</v>
      </c>
      <c r="F41" s="98"/>
      <c r="G41" s="534">
        <f>([20]Report!N29+[22]Report!AG49+[10]Report!AA49+[15]Report!AA49+[17]Report!AQ49+'[27]Financial Summary'!AQ49+[25]Report!N29+[21]Report!K49)/1000</f>
        <v>-129.44892999999999</v>
      </c>
      <c r="H41" s="98" t="s">
        <v>3</v>
      </c>
      <c r="I41" s="89">
        <f>[23]Report!AE49/1000+[26]Report!AE49/1000+[24]Report!AC49/1000</f>
        <v>-4.173</v>
      </c>
      <c r="J41" s="89"/>
      <c r="K41" s="441">
        <f>[5]Report!I49+[5]Report!K49+[5]Report!S49</f>
        <v>0</v>
      </c>
      <c r="L41" s="89"/>
      <c r="M41" s="89">
        <f>[5]Report!Q49+[5]Report!W49+[5]Report!Y49</f>
        <v>0</v>
      </c>
      <c r="N41" s="89"/>
      <c r="O41" s="534">
        <f>([47]Report!AC49+[16]Report!AQ49+[40]Report!AK49+[46]Report!AA49)/1000</f>
        <v>-6.4740000000000002</v>
      </c>
      <c r="P41" s="89"/>
      <c r="Q41" s="535">
        <f>([35]Report!AS49+[36]Report!Q49+[38]Report!AQ49+[37]Report!AQ49+[39]Report!AE49)/1000</f>
        <v>-1.232</v>
      </c>
      <c r="R41" s="89"/>
      <c r="S41" s="89">
        <f>(+[11]Report!AE49+[13]Report!K49+[28]Report!AQ49+[29]Report!AQ49+[79]Report!AQ49+[87]Report!K49)/1000</f>
        <v>0</v>
      </c>
      <c r="T41" s="89"/>
      <c r="U41" s="89">
        <f>([44]Report!AM49+[41]Report!AK49+[19]Report!X49+[14]Report!O49+[43]Report!AQ49+[43]Report!M49+[42]Report!M49+[42]Report!Z49)/1000</f>
        <v>-77.156999999999996</v>
      </c>
      <c r="V41" s="89"/>
      <c r="W41" s="89">
        <f>('[18]Financial Summary'!AC49+[30]Report!AQ49+[32]Report!W49+[31]Report!AQ49+[33]Report!AG49+[34]Report!CI49+[45]Report!AA49+[83]Report!W49)/1000</f>
        <v>-0.1</v>
      </c>
      <c r="X41" s="89"/>
      <c r="Y41" s="89">
        <f>(+[48]Report!AC49+[12]Report!K49)/1000</f>
        <v>0</v>
      </c>
      <c r="Z41" s="89"/>
      <c r="AA41" s="539">
        <f>(+[9]Report!AM49)/1000</f>
        <v>-1.4850000000000001</v>
      </c>
      <c r="AB41" s="89"/>
      <c r="AC41" s="89">
        <f>'[108]Power-Summary'!AZ46+'[109]Power-Summary'!AR46/1000+[5]Report!M49+[5]Report!O49+'[110]Power Summary'!AN46/1000</f>
        <v>-202.98528520839869</v>
      </c>
      <c r="AD41" s="89"/>
      <c r="AE41" s="89"/>
      <c r="AF41" s="89"/>
      <c r="AG41" s="89"/>
      <c r="AH41" s="89"/>
      <c r="AI41" s="89"/>
      <c r="AJ41" s="89"/>
      <c r="AK41" s="89"/>
      <c r="AL41" s="89"/>
      <c r="AM41" s="353">
        <f t="shared" si="0"/>
        <v>-1041.8231119840998</v>
      </c>
      <c r="AN41" s="22"/>
      <c r="AO41" s="539">
        <f>[57]Report!AG49+[77]Report!O49+[67]Report!AH49+[73]Report!G49+[52]Report!AC49+[51]Report!AA49+[78]Report!I49+[75]Report!O49</f>
        <v>-412.654</v>
      </c>
      <c r="AP41" s="89"/>
      <c r="AQ41" s="539">
        <f>[90]Report!AC49+[96]Report!M49+[72]Report!C49+[101]Report!U49+[102]Report!U49+[100]Report!U49+[99]Report!AH49+[91]Report!AC49+[95]Report!AK49</f>
        <v>-60.975000000000001</v>
      </c>
      <c r="AR41" s="89"/>
      <c r="AS41" s="89">
        <f>[50]Report!Y49+[98]Report!Y49+[97]Report!AD49+[53]Report!AB49+[54]Report!W49+[104]Report!W49</f>
        <v>-66.974000000000004</v>
      </c>
      <c r="AT41" s="89"/>
      <c r="AU41" s="89">
        <f>[56]Report!AW49+[103]Report!AN49+[74]Report!S49+[69]Report!AI49+[64]Report!AQ49+[63]Report!AQ49+[62]Report!AQ49+[62]Report!BO49+[61]Report!AG49+[70]Report!X49+[71]Report!X49+[76]Report!S49+[82]Report!W49</f>
        <v>-78.960499999999996</v>
      </c>
      <c r="AV41" s="89"/>
      <c r="AW41" s="89">
        <f>+[59]Report!AE49+[81]Report!W49</f>
        <v>-90.077600000000004</v>
      </c>
      <c r="AX41" s="90"/>
      <c r="AY41" s="90">
        <f>+[65]Report!W49</f>
        <v>-6.375</v>
      </c>
      <c r="AZ41" s="90"/>
      <c r="BA41" s="90">
        <f>+[84]Report!AD50/1000</f>
        <v>-13.75</v>
      </c>
      <c r="BB41" s="1"/>
      <c r="BC41" s="89">
        <f>[60]Report!AL49</f>
        <v>0</v>
      </c>
      <c r="BD41" s="1"/>
      <c r="BE41" s="53">
        <f t="shared" si="5"/>
        <v>0</v>
      </c>
      <c r="BF41" s="1"/>
      <c r="BG41" s="89">
        <f>[66]Report!BQ49</f>
        <v>0</v>
      </c>
      <c r="BH41" s="89"/>
      <c r="BI41" s="89">
        <f>[55]Report!AE49</f>
        <v>0</v>
      </c>
      <c r="BJ41" s="89"/>
      <c r="BK41" s="89"/>
      <c r="BL41" s="89"/>
      <c r="BM41" s="89"/>
      <c r="BN41" s="89"/>
      <c r="BO41" s="89"/>
      <c r="BP41" s="1"/>
      <c r="BQ41" s="91">
        <f t="shared" si="1"/>
        <v>-729.76610000000005</v>
      </c>
      <c r="BR41" s="1"/>
      <c r="BS41" s="312">
        <f>[1]Report!F34/1000+'[2]Management New Roll'!G34/1000</f>
        <v>0</v>
      </c>
      <c r="BT41" s="89"/>
      <c r="BU41" s="539">
        <f>[105]Report!AR49</f>
        <v>0</v>
      </c>
      <c r="BV41" s="89"/>
      <c r="BW41" s="90"/>
      <c r="BX41" s="89"/>
      <c r="BY41" s="90"/>
      <c r="BZ41" s="89"/>
      <c r="CA41" s="90"/>
      <c r="CB41" s="53"/>
      <c r="CC41" s="56">
        <f t="shared" si="2"/>
        <v>0</v>
      </c>
      <c r="CD41" s="99"/>
      <c r="CE41" s="53">
        <f t="shared" si="3"/>
        <v>-1771.5892119840998</v>
      </c>
      <c r="CG41" s="71" t="s">
        <v>46</v>
      </c>
      <c r="CI41" s="53">
        <f>[92]Report!$C$49+[92]Report!$E$49+[92]Report!$G$49+[92]Report!$O$49+[92]Report!$Q$49+[92]Report!$Y$49+[92]Report!$AE$49+[92]Report!$AM$49+[92]Report!$AS$49+[92]Report!$AU$49+[92]Report!$AW$49</f>
        <v>0</v>
      </c>
      <c r="CJ41" s="53">
        <v>0</v>
      </c>
      <c r="CK41" s="56">
        <f t="shared" si="4"/>
        <v>0</v>
      </c>
      <c r="CL41"/>
      <c r="CM41"/>
    </row>
    <row r="42" spans="1:92" s="4" customFormat="1" ht="14.1" customHeight="1">
      <c r="A42" s="100" t="s">
        <v>47</v>
      </c>
      <c r="B42" s="101"/>
      <c r="C42" s="102">
        <f>SUM(C33:C41)</f>
        <v>211091.18251350004</v>
      </c>
      <c r="D42" s="527"/>
      <c r="E42" s="102">
        <f>SUM(E33:E41)</f>
        <v>-10426.29170695603</v>
      </c>
      <c r="F42" s="114"/>
      <c r="G42" s="105">
        <f>SUM(G33:G41)</f>
        <v>8039.2794421000044</v>
      </c>
      <c r="H42" s="104" t="s">
        <v>3</v>
      </c>
      <c r="I42" s="102">
        <f>SUM(I33:I41)</f>
        <v>4034.4918072999967</v>
      </c>
      <c r="J42" s="341"/>
      <c r="K42" s="102">
        <f>SUM(K33:K41)</f>
        <v>500.13461849999942</v>
      </c>
      <c r="L42" s="341"/>
      <c r="M42" s="102">
        <f>SUM(M33:M41)</f>
        <v>1399.8779999999997</v>
      </c>
      <c r="N42" s="341"/>
      <c r="O42" s="102">
        <f>SUM(O33:O41)</f>
        <v>6972.9716463000786</v>
      </c>
      <c r="P42" s="341"/>
      <c r="Q42" s="102">
        <f>SUM(Q33:Q41)</f>
        <v>2459.7085187000012</v>
      </c>
      <c r="R42" s="341"/>
      <c r="S42" s="324">
        <f>SUM(S33:S41)</f>
        <v>-1028.6569198000038</v>
      </c>
      <c r="T42" s="341"/>
      <c r="U42" s="102">
        <f>SUM(U33:U41)</f>
        <v>-11704.392098500019</v>
      </c>
      <c r="V42" s="341"/>
      <c r="W42" s="102">
        <f>SUM(W33:W41)</f>
        <v>-19593.165797900012</v>
      </c>
      <c r="X42" s="341"/>
      <c r="Y42" s="102">
        <f>SUM(Y33:Y41)</f>
        <v>461.70514560000038</v>
      </c>
      <c r="Z42" s="341"/>
      <c r="AA42" s="102">
        <f>SUM(AA33:AA41)</f>
        <v>4826.5643691000023</v>
      </c>
      <c r="AB42" s="341"/>
      <c r="AC42" s="102">
        <f>SUM(AC33:AC41)</f>
        <v>111476.84071974974</v>
      </c>
      <c r="AD42" s="341"/>
      <c r="AE42" s="102"/>
      <c r="AF42" s="341"/>
      <c r="AG42" s="102"/>
      <c r="AH42" s="341"/>
      <c r="AI42" s="102"/>
      <c r="AJ42" s="341"/>
      <c r="AK42" s="102"/>
      <c r="AL42" s="341"/>
      <c r="AM42" s="358">
        <f t="shared" si="0"/>
        <v>308510.25025769381</v>
      </c>
      <c r="AN42" s="22"/>
      <c r="AO42" s="102">
        <f>SUM(AO33:AO41)</f>
        <v>3537.2541314413411</v>
      </c>
      <c r="AP42" s="1"/>
      <c r="AQ42" s="102">
        <f>SUM(AQ33:AQ41)</f>
        <v>-4300.9059174750464</v>
      </c>
      <c r="AR42" s="1"/>
      <c r="AS42" s="105">
        <f>SUM(AS33:AS41)</f>
        <v>2025.9927084999993</v>
      </c>
      <c r="AT42" s="1"/>
      <c r="AU42" s="64">
        <f>SUM(AU33:AU41)</f>
        <v>-2366.0970113839408</v>
      </c>
      <c r="AV42" s="1"/>
      <c r="AW42" s="64">
        <f>SUM(AW33:AW41)</f>
        <v>-590.75570899274305</v>
      </c>
      <c r="AX42" s="64"/>
      <c r="AY42" s="64">
        <f>SUM(AY33:AY41)</f>
        <v>-901.56251611454456</v>
      </c>
      <c r="AZ42" s="64"/>
      <c r="BA42" s="64">
        <f>SUM(BA33:BA41)</f>
        <v>-17355.319</v>
      </c>
      <c r="BB42" s="1"/>
      <c r="BC42" s="102">
        <f>SUM(BC33:BC41)</f>
        <v>-74443.310666639562</v>
      </c>
      <c r="BD42" s="1"/>
      <c r="BE42" s="64">
        <f>SUM(BE33:BE41)</f>
        <v>10335.43619141107</v>
      </c>
      <c r="BF42" s="1"/>
      <c r="BG42" s="64">
        <f>SUM(BG33:BG41)</f>
        <v>-1520.132976452086</v>
      </c>
      <c r="BH42" s="334"/>
      <c r="BI42" s="64">
        <f>SUM(BI33:BI41)</f>
        <v>-225.90344763944475</v>
      </c>
      <c r="BJ42" s="334"/>
      <c r="BK42" s="64">
        <f>SUM(BK33:BK41)</f>
        <v>0</v>
      </c>
      <c r="BL42" s="334"/>
      <c r="BM42" s="334"/>
      <c r="BN42" s="334"/>
      <c r="BO42" s="334"/>
      <c r="BP42" s="1"/>
      <c r="BQ42" s="88">
        <f t="shared" si="1"/>
        <v>-85805.304213344949</v>
      </c>
      <c r="BR42" s="1"/>
      <c r="BS42" s="64">
        <f>SUM(BS33:BS41)</f>
        <v>-1162.8447839999997</v>
      </c>
      <c r="BT42" s="334"/>
      <c r="BU42" s="530">
        <f>SUM(BU33:BU41)</f>
        <v>-2522.329793700002</v>
      </c>
      <c r="BV42" s="334"/>
      <c r="BW42" s="64"/>
      <c r="BX42" s="334"/>
      <c r="BY42" s="64"/>
      <c r="BZ42" s="334"/>
      <c r="CA42" s="64"/>
      <c r="CB42" s="106"/>
      <c r="CC42" s="50">
        <f t="shared" si="2"/>
        <v>-3685.1745777000015</v>
      </c>
      <c r="CD42" s="3"/>
      <c r="CE42" s="64">
        <f t="shared" si="3"/>
        <v>219019.77146664885</v>
      </c>
      <c r="CF42" s="107"/>
      <c r="CG42" s="100" t="s">
        <v>47</v>
      </c>
      <c r="CH42" s="107"/>
      <c r="CI42" s="574">
        <f>SUM(CI33:CI41)</f>
        <v>1397.3466552050322</v>
      </c>
      <c r="CJ42" s="574">
        <f>SUM(CJ33:CJ41)</f>
        <v>8938.0895362060364</v>
      </c>
      <c r="CK42" s="50">
        <f t="shared" si="4"/>
        <v>10335.436191411069</v>
      </c>
      <c r="CL42"/>
      <c r="CM42"/>
    </row>
    <row r="43" spans="1:92" s="4" customFormat="1" ht="14.1" customHeight="1">
      <c r="A43" s="71" t="s">
        <v>48</v>
      </c>
      <c r="B43" s="93"/>
      <c r="C43" s="440">
        <f>[3]Report!AA51+[4]Report!W51+([5]Report!C51+[5]Report!E51+[5]Report!G51+[5]Report!U51+[5]Report!AA51)+[6]Report!AA51/1000+[80]Report!W51</f>
        <v>0</v>
      </c>
      <c r="D43" s="108">
        <v>0</v>
      </c>
      <c r="E43" s="87">
        <f>([8]Report!AQ53+[7]Report!C51+[7]Report!M51)/1000</f>
        <v>0</v>
      </c>
      <c r="F43" s="95"/>
      <c r="G43" s="325">
        <f>([20]Report!N31+[22]Report!AG51+[10]Report!AA51+[15]Report!AA51+[17]Report!AQ51+'[27]Financial Summary'!AQ51+[25]Report!N31+[21]Report!K51)/1000</f>
        <v>0</v>
      </c>
      <c r="H43" s="95" t="s">
        <v>3</v>
      </c>
      <c r="I43" s="47">
        <f>[23]Report!AE51/1000+[26]Report!AE51/1000+[24]Report!AC51/1000</f>
        <v>0</v>
      </c>
      <c r="J43" s="89"/>
      <c r="K43" s="325">
        <f>[5]Report!I51+[5]Report!K51+[5]Report!S51</f>
        <v>0</v>
      </c>
      <c r="L43" s="89"/>
      <c r="M43" s="47">
        <f>[5]Report!Q51+[5]Report!W51+[5]Report!Y51</f>
        <v>0</v>
      </c>
      <c r="N43" s="89"/>
      <c r="O43" s="325">
        <f>([47]Report!AC51+[16]Report!AQ51+[40]Report!AK51+[46]Report!AA51)/1000</f>
        <v>0</v>
      </c>
      <c r="P43" s="89"/>
      <c r="Q43" s="325">
        <f>(+[35]Report!AS51+[36]Report!Q51+[38]Report!AQ51+[37]Report!AQ51+[39]Report!AE51)/1000</f>
        <v>0</v>
      </c>
      <c r="R43" s="89"/>
      <c r="S43" s="47">
        <f>(+[11]Report!AE51+[13]Report!K51+[28]Report!AQ51+[29]Report!AQ51+[79]Report!AQ51+[87]Report!K51)/1000</f>
        <v>0</v>
      </c>
      <c r="T43" s="89"/>
      <c r="U43" s="47">
        <f>([44]Report!AM51+[41]Report!AK51+[19]Report!X51+[14]Report!O51+[43]Report!AQ51+[43]Report!M51+[42]Report!M51+[42]Report!Z51)/1000</f>
        <v>0</v>
      </c>
      <c r="V43" s="89"/>
      <c r="W43" s="47">
        <f>('[18]Financial Summary'!AC51+[30]Report!AQ51+[32]Report!W51+[31]Report!AQ51+[33]Report!AG51+[34]Report!CI51+[45]Report!AA51+[83]Report!W51)/1000</f>
        <v>0</v>
      </c>
      <c r="X43" s="89"/>
      <c r="Y43" s="47">
        <f>(+[48]Report!AC51+[12]Report!K51)/1000</f>
        <v>0</v>
      </c>
      <c r="Z43" s="89"/>
      <c r="AA43" s="47">
        <f>(+[9]Report!AM51)/1000</f>
        <v>0</v>
      </c>
      <c r="AB43" s="89"/>
      <c r="AC43" s="47">
        <f>'[108]Power-Summary'!AZ49+'[109]Power-Summary'!AR49/1000+[5]Report!M51+[5]Report!O51+'[110]Power Summary'!AN49/1000</f>
        <v>1.182343112304811E-15</v>
      </c>
      <c r="AD43" s="89"/>
      <c r="AE43" s="47"/>
      <c r="AF43" s="89"/>
      <c r="AG43" s="47"/>
      <c r="AH43" s="89"/>
      <c r="AI43" s="47"/>
      <c r="AJ43" s="89"/>
      <c r="AK43" s="47"/>
      <c r="AL43" s="89"/>
      <c r="AM43" s="360">
        <f t="shared" si="0"/>
        <v>1.182343112304811E-15</v>
      </c>
      <c r="AN43" s="22"/>
      <c r="AO43" s="325">
        <f>[57]Report!AG51+[67]Report!AH51+[73]Report!G51+[52]Report!AC51+[51]Report!AA51+[78]Report!I51+[75]Report!O51</f>
        <v>0</v>
      </c>
      <c r="AP43" s="1"/>
      <c r="AQ43" s="323">
        <f>[90]Report!AC51+[96]Report!M51+[72]Report!C51+[101]Report!U51+[102]Report!U51+[100]Report!U51+[99]Report!AH51+[91]Report!AC51+[95]Report!AK51</f>
        <v>0</v>
      </c>
      <c r="AR43" s="1"/>
      <c r="AS43" s="323">
        <f>[50]Report!Y51+[98]Report!Y51+[97]Report!AD51+[53]Report!AB51+[54]Report!W51+[104]Report!W51</f>
        <v>0</v>
      </c>
      <c r="AT43" s="1"/>
      <c r="AU43" s="47">
        <f>[56]Report!AW51+[103]Report!AN51+[74]Report!S51+[69]Report!AI51+[64]Report!AQ51+[63]Report!AQ51+[62]Report!AQ51+[62]Report!BO51+[61]Report!AG51+[70]Report!X51+[71]Report!X51+[76]Report!S51+[82]Report!W51</f>
        <v>0</v>
      </c>
      <c r="AV43" s="1"/>
      <c r="AW43" s="60">
        <f>+[59]Report!AE51+[81]Report!W51</f>
        <v>0</v>
      </c>
      <c r="AX43" s="60"/>
      <c r="AY43" s="60">
        <f>+[65]Report!W51</f>
        <v>0</v>
      </c>
      <c r="AZ43" s="60"/>
      <c r="BA43" s="60">
        <f>+[84]Report!AD51/1000</f>
        <v>0</v>
      </c>
      <c r="BB43" s="1"/>
      <c r="BC43" s="47">
        <f>[60]Report!AL51</f>
        <v>0</v>
      </c>
      <c r="BD43" s="1"/>
      <c r="BE43" s="70">
        <f>CK43</f>
        <v>0</v>
      </c>
      <c r="BF43" s="1"/>
      <c r="BG43" s="47">
        <f>[66]Report!BQ51</f>
        <v>0</v>
      </c>
      <c r="BH43" s="89"/>
      <c r="BI43" s="47">
        <f>[55]Report!AE51</f>
        <v>0</v>
      </c>
      <c r="BJ43" s="89"/>
      <c r="BK43" s="47"/>
      <c r="BL43" s="89"/>
      <c r="BM43" s="89"/>
      <c r="BN43" s="89"/>
      <c r="BO43" s="89"/>
      <c r="BP43" s="1"/>
      <c r="BQ43" s="88">
        <f t="shared" si="1"/>
        <v>0</v>
      </c>
      <c r="BR43" s="1"/>
      <c r="BS43" s="60">
        <f>[1]Report!F36/1000+[2]Report!E38/1000</f>
        <v>0</v>
      </c>
      <c r="BT43" s="89"/>
      <c r="BU43" s="47">
        <f>[105]Report!AR51</f>
        <v>0</v>
      </c>
      <c r="BV43" s="89"/>
      <c r="BW43" s="60"/>
      <c r="BX43" s="89"/>
      <c r="BY43" s="60"/>
      <c r="BZ43" s="89"/>
      <c r="CA43" s="60"/>
      <c r="CB43" s="42"/>
      <c r="CC43" s="50">
        <f t="shared" si="2"/>
        <v>0</v>
      </c>
      <c r="CD43" s="3"/>
      <c r="CE43" s="70">
        <f t="shared" si="3"/>
        <v>1.182343112304811E-15</v>
      </c>
      <c r="CG43" s="71" t="s">
        <v>48</v>
      </c>
      <c r="CI43" s="70">
        <f>[92]Report!BW51</f>
        <v>0</v>
      </c>
      <c r="CJ43" s="70">
        <v>0</v>
      </c>
      <c r="CK43" s="50">
        <f t="shared" si="4"/>
        <v>0</v>
      </c>
      <c r="CL43"/>
      <c r="CM43"/>
    </row>
    <row r="44" spans="1:92" s="4" customFormat="1" ht="13.5" customHeight="1">
      <c r="A44" s="71" t="s">
        <v>49</v>
      </c>
      <c r="B44" s="93"/>
      <c r="C44" s="440">
        <f>[3]Report!AA52+[4]Report!W52+([5]Report!C52+[5]Report!E52+[5]Report!G52+[5]Report!U52+[5]Report!AA52)+[6]Report!AA52/1000+[80]Report!W52</f>
        <v>-18.128</v>
      </c>
      <c r="D44" s="108" t="s">
        <v>3</v>
      </c>
      <c r="E44" s="87">
        <f>([8]Report!AQ54+[7]Report!C52+[7]Report!M52)/1000</f>
        <v>525.76198663990465</v>
      </c>
      <c r="F44" s="95"/>
      <c r="G44" s="325">
        <f>([20]Report!N32+[22]Report!AG52+[10]Report!AA52+[15]Report!AA52+[17]Report!AQ52+'[27]Financial Summary'!AQ52+[25]Report!N32+[21]Report!K52)/1000</f>
        <v>-87.128892399999984</v>
      </c>
      <c r="H44" s="95" t="s">
        <v>3</v>
      </c>
      <c r="I44" s="47">
        <f>[23]Report!AE52/1000+[26]Report!AE52/1000+[24]Report!AC52/1000</f>
        <v>-135.84252770000001</v>
      </c>
      <c r="J44" s="89"/>
      <c r="K44" s="325">
        <f>[5]Report!I52+[5]Report!K52+[5]Report!S52</f>
        <v>0</v>
      </c>
      <c r="L44" s="89"/>
      <c r="M44" s="47">
        <f>[5]Report!Q52+[5]Report!W52+[5]Report!Y52</f>
        <v>0</v>
      </c>
      <c r="N44" s="89"/>
      <c r="O44" s="325">
        <f>([47]Report!AC52+[16]Report!AQ52+[40]Report!AK52+[46]Report!AA52)/1000</f>
        <v>-1067.7123939000001</v>
      </c>
      <c r="P44" s="89"/>
      <c r="Q44" s="325">
        <f>(+[35]Report!AS52+[36]Report!Q52+[38]Report!AQ52+[37]Report!AQ52+[39]Report!AE52)/1000</f>
        <v>37.143364099999999</v>
      </c>
      <c r="R44" s="89"/>
      <c r="S44" s="47">
        <f>(+[11]Report!AE52+[13]Report!K52+[28]Report!AQ52+[29]Report!AQ52+[79]Report!AQ52+[87]Report!K52)/1000</f>
        <v>-7.2482395999999989</v>
      </c>
      <c r="T44" s="89"/>
      <c r="U44" s="47">
        <f>([44]Report!AM52+[41]Report!AK52+[19]Report!X52+[14]Report!O52+[43]Report!AQ52+[43]Report!M52+[42]Report!M52+[42]Report!Z52)/1000</f>
        <v>4.5828173999999979</v>
      </c>
      <c r="V44" s="89"/>
      <c r="W44" s="47">
        <f>('[18]Financial Summary'!AC52+[30]Report!AQ52+[32]Report!W52+[31]Report!AQ52+[33]Report!AG52+[34]Report!CI52+[45]Report!AA52+[83]Report!W52)/1000</f>
        <v>13.099472900000009</v>
      </c>
      <c r="X44" s="89"/>
      <c r="Y44" s="47">
        <f>(+[48]Report!AC52+[12]Report!K52)/1000</f>
        <v>29.892857200000002</v>
      </c>
      <c r="Z44" s="89"/>
      <c r="AA44" s="47">
        <f>(+[9]Report!AM52)/1000</f>
        <v>2.4317083999999993</v>
      </c>
      <c r="AB44" s="89"/>
      <c r="AC44" s="325">
        <f>'[108]Power-Summary'!AZ52+'[108]Power-Summary'!AZ50+'[108]Power-Summary'!AZ51+('[109]Power-Summary'!AR52+'[109]Power-Summary'!AR51+'[109]Power-Summary'!AR50)/1000+[5]Report!M52+[5]Report!O52+('[110]Power Summary'!AN52+'[110]Power Summary'!AN50+'[110]Power Summary'!AN51)/1000</f>
        <v>607.30400821395256</v>
      </c>
      <c r="AD44" s="89"/>
      <c r="AE44" s="325"/>
      <c r="AF44" s="89"/>
      <c r="AG44" s="325"/>
      <c r="AH44" s="89"/>
      <c r="AI44" s="325"/>
      <c r="AJ44" s="89"/>
      <c r="AK44" s="325"/>
      <c r="AL44" s="89"/>
      <c r="AM44" s="361">
        <f t="shared" si="0"/>
        <v>-95.843838746142865</v>
      </c>
      <c r="AN44" s="22"/>
      <c r="AO44" s="325">
        <f>[57]Report!AG52+[67]Report!AH52+[73]Report!G52+[52]Report!AC52+[51]Report!AA52+[78]Report!I52+[75]Report!O52</f>
        <v>0</v>
      </c>
      <c r="AP44" s="1"/>
      <c r="AQ44" s="323">
        <f>[90]Report!AC52+[96]Report!M52+[72]Report!C52+[101]Report!U52+[102]Report!U52+[100]Report!U52+[99]Report!AH52+[91]Report!AC52+[95]Report!AK52</f>
        <v>-12.285867781085832</v>
      </c>
      <c r="AR44" s="1"/>
      <c r="AS44" s="323">
        <f>[50]Report!Y52+[98]Report!Y52+[97]Report!AD52+[53]Report!AB52+[54]Report!W52+[104]Report!W52</f>
        <v>0</v>
      </c>
      <c r="AT44" s="1"/>
      <c r="AU44" s="47">
        <f>[56]Report!AW52+[103]Report!AN52+[74]Report!S52+[69]Report!AI52+[64]Report!AQ52+[63]Report!AQ52+[62]Report!AQ52+[62]Report!BO52+[61]Report!AG52+[70]Report!X52+[71]Report!X52+[76]Report!S52+[82]Report!W52</f>
        <v>-840.83414689999995</v>
      </c>
      <c r="AV44" s="1"/>
      <c r="AW44" s="60">
        <f>+[59]Report!AE52+[81]Report!W52</f>
        <v>0</v>
      </c>
      <c r="AX44" s="60"/>
      <c r="AY44" s="60">
        <f>+[65]Report!W52</f>
        <v>0</v>
      </c>
      <c r="AZ44" s="60"/>
      <c r="BA44" s="60">
        <f>+[84]Report!AD54/1000+[84]Report!AD55/1000+[84]Report!AD56/1000</f>
        <v>0</v>
      </c>
      <c r="BB44" s="1"/>
      <c r="BC44" s="47">
        <f>[60]Report!AL52</f>
        <v>0</v>
      </c>
      <c r="BD44" s="1"/>
      <c r="BE44" s="70">
        <f>CK44</f>
        <v>12184.209491484693</v>
      </c>
      <c r="BF44" s="1"/>
      <c r="BG44" s="47">
        <f>[66]Report!$BQ$52</f>
        <v>0</v>
      </c>
      <c r="BH44" s="89"/>
      <c r="BI44" s="47">
        <f>[55]Report!AE52</f>
        <v>0</v>
      </c>
      <c r="BJ44" s="89"/>
      <c r="BK44" s="47"/>
      <c r="BL44" s="89"/>
      <c r="BM44" s="89"/>
      <c r="BN44" s="89"/>
      <c r="BO44" s="89"/>
      <c r="BP44" s="1"/>
      <c r="BQ44" s="88">
        <f t="shared" si="1"/>
        <v>11331.089476803607</v>
      </c>
      <c r="BR44" s="1"/>
      <c r="BS44" s="60">
        <f>[1]Report!F39/1000+[1]Report!F40/1000+[1]Report!F41/1000+([2]Report!$E$39+[2]Report!$E$40+[2]Report!$E$41)/1000</f>
        <v>0</v>
      </c>
      <c r="BT44" s="89"/>
      <c r="BU44" s="47">
        <f>[105]Report!AR52</f>
        <v>0</v>
      </c>
      <c r="BV44" s="89"/>
      <c r="BW44" s="60"/>
      <c r="BX44" s="89"/>
      <c r="BY44" s="60"/>
      <c r="BZ44" s="89"/>
      <c r="CA44" s="60"/>
      <c r="CB44" s="42"/>
      <c r="CC44" s="50">
        <f t="shared" si="2"/>
        <v>0</v>
      </c>
      <c r="CD44" s="3"/>
      <c r="CE44" s="70">
        <f t="shared" si="3"/>
        <v>11235.245638057464</v>
      </c>
      <c r="CG44" s="71" t="s">
        <v>49</v>
      </c>
      <c r="CI44" s="70">
        <f>[92]Report!$BW$52</f>
        <v>1603.8236909777477</v>
      </c>
      <c r="CJ44" s="70">
        <f>SUM(RHO_DRIFT!BJ131:BK136)</f>
        <v>10580.385800506945</v>
      </c>
      <c r="CK44" s="50">
        <f t="shared" si="4"/>
        <v>12184.209491484693</v>
      </c>
      <c r="CL44"/>
      <c r="CM44"/>
      <c r="CN44" s="85"/>
    </row>
    <row r="45" spans="1:92" s="4" customFormat="1" ht="16.5" customHeight="1">
      <c r="A45" s="109"/>
      <c r="B45" s="93"/>
      <c r="C45" s="94"/>
      <c r="D45" s="94"/>
      <c r="E45" s="94"/>
      <c r="F45" s="95"/>
      <c r="G45" s="110"/>
      <c r="H45" s="95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352"/>
      <c r="AN45" s="22"/>
      <c r="AO45" s="49"/>
      <c r="AP45" s="1"/>
      <c r="AQ45" s="49"/>
      <c r="AR45" s="1"/>
      <c r="AS45" s="111"/>
      <c r="AT45" s="1"/>
      <c r="AU45" s="49"/>
      <c r="AV45" s="1"/>
      <c r="AW45" s="49"/>
      <c r="AX45" s="49"/>
      <c r="AY45" s="49"/>
      <c r="AZ45" s="49"/>
      <c r="BA45" s="49"/>
      <c r="BB45" s="1"/>
      <c r="BC45" s="49"/>
      <c r="BD45" s="1"/>
      <c r="BE45" s="49"/>
      <c r="BF45" s="1"/>
      <c r="BG45" s="49"/>
      <c r="BH45" s="49"/>
      <c r="BI45" s="49"/>
      <c r="BJ45" s="49"/>
      <c r="BK45" s="49"/>
      <c r="BL45" s="49"/>
      <c r="BM45" s="49"/>
      <c r="BN45" s="49"/>
      <c r="BO45" s="49"/>
      <c r="BP45" s="1"/>
      <c r="BQ45" s="82"/>
      <c r="BR45" s="1"/>
      <c r="BS45" s="49"/>
      <c r="BT45" s="49"/>
      <c r="BU45" s="49"/>
      <c r="BV45" s="49"/>
      <c r="BW45" s="49"/>
      <c r="BX45" s="49"/>
      <c r="BY45" s="49"/>
      <c r="BZ45" s="49"/>
      <c r="CA45" s="49"/>
      <c r="CB45" s="40"/>
      <c r="CC45" s="83"/>
      <c r="CD45" s="3"/>
      <c r="CE45" s="49"/>
      <c r="CF45"/>
      <c r="CG45" s="112"/>
      <c r="CI45" s="49"/>
      <c r="CJ45" s="49"/>
      <c r="CK45" s="83"/>
      <c r="CL45"/>
      <c r="CM45"/>
      <c r="CN45" s="85"/>
    </row>
    <row r="46" spans="1:92" s="48" customFormat="1" ht="13.5" customHeight="1">
      <c r="A46" s="100" t="s">
        <v>50</v>
      </c>
      <c r="B46" s="101"/>
      <c r="C46" s="102">
        <f>C31+C42+C43+C44</f>
        <v>213779.03051350004</v>
      </c>
      <c r="D46" s="113"/>
      <c r="E46" s="102">
        <f>E31+E42+E43+E44</f>
        <v>-9130.2004221915558</v>
      </c>
      <c r="F46" s="114"/>
      <c r="G46" s="102">
        <f>G31+G42+G43+G44</f>
        <v>8117.5935497000046</v>
      </c>
      <c r="H46"/>
      <c r="I46" s="105">
        <f>I31+I42+I43+I44</f>
        <v>3898.7192795999968</v>
      </c>
      <c r="J46" s="342"/>
      <c r="K46" s="105">
        <f>K31+K42+K43+K44</f>
        <v>500.13461849999942</v>
      </c>
      <c r="L46" s="342"/>
      <c r="M46" s="105">
        <f>M31+M42+M43+M44</f>
        <v>1399.8779999999997</v>
      </c>
      <c r="N46" s="342"/>
      <c r="O46" s="105">
        <f>O31+O42+O43+O44</f>
        <v>5908.627102400078</v>
      </c>
      <c r="P46" s="342"/>
      <c r="Q46" s="105">
        <f>Q31+Q42+Q43+Q44</f>
        <v>2507.1518828000012</v>
      </c>
      <c r="R46" s="342"/>
      <c r="S46" s="105">
        <f>S31+S42+S43+S44</f>
        <v>-888.91238440000393</v>
      </c>
      <c r="T46" s="342"/>
      <c r="U46" s="105">
        <f>U31+U42+U43+U44</f>
        <v>-11495.933801100018</v>
      </c>
      <c r="V46" s="342"/>
      <c r="W46" s="105">
        <f>W31+W42+W43+W44</f>
        <v>-19498.77932500001</v>
      </c>
      <c r="X46" s="342"/>
      <c r="Y46" s="105">
        <f>Y31+Y42+Y43+Y44</f>
        <v>491.59800280000036</v>
      </c>
      <c r="Z46" s="342"/>
      <c r="AA46" s="105">
        <f>AA31+AA42+AA43+AA44</f>
        <v>4831.9660775000029</v>
      </c>
      <c r="AB46" s="342"/>
      <c r="AC46" s="102">
        <f>AC31+AC42+AC43+AC44</f>
        <v>112084.14472796369</v>
      </c>
      <c r="AD46" s="341"/>
      <c r="AE46" s="102"/>
      <c r="AF46" s="341"/>
      <c r="AG46" s="102"/>
      <c r="AH46" s="341"/>
      <c r="AI46" s="102"/>
      <c r="AJ46" s="341"/>
      <c r="AK46" s="102"/>
      <c r="AL46" s="341"/>
      <c r="AM46" s="358">
        <f t="shared" si="0"/>
        <v>312505.01782207226</v>
      </c>
      <c r="AN46" s="115"/>
      <c r="AO46" s="102">
        <f>AO31+AO42+AO43+AO44</f>
        <v>3913.9141314413409</v>
      </c>
      <c r="AP46"/>
      <c r="AQ46" s="102">
        <f>AQ31+AQ42+AQ43+AQ44</f>
        <v>-4313.1917852561319</v>
      </c>
      <c r="AR46"/>
      <c r="AS46" s="102">
        <f>AS31+AS42+AS43+AS44</f>
        <v>2063.5722084999993</v>
      </c>
      <c r="AT46"/>
      <c r="AU46" s="102">
        <f>AU31+AU42+AU43+AU44</f>
        <v>-3358.7311582839411</v>
      </c>
      <c r="AV46"/>
      <c r="AW46" s="102">
        <f>AW31+AW42+AW43+AW44</f>
        <v>-590.75570899274305</v>
      </c>
      <c r="AX46" s="102"/>
      <c r="AY46" s="102">
        <f>AY31+AY42+AY43+AY44</f>
        <v>-901.56251611454456</v>
      </c>
      <c r="AZ46" s="102"/>
      <c r="BA46" s="102">
        <f>BA31+BA42+BA43+BA44</f>
        <v>-17355.319</v>
      </c>
      <c r="BB46"/>
      <c r="BC46" s="102">
        <f>BC31+BC42+BC43+BC44</f>
        <v>-74443.310666639562</v>
      </c>
      <c r="BD46"/>
      <c r="BE46" s="102">
        <f>BE31+BE42+BE43+BE44</f>
        <v>22519.645682895763</v>
      </c>
      <c r="BF46" s="1"/>
      <c r="BG46" s="102">
        <f>BG31+BG42+BG43+BG44</f>
        <v>-1520.132976452086</v>
      </c>
      <c r="BH46" s="341"/>
      <c r="BI46" s="102">
        <f>BI31+BI42+BI43+BI44</f>
        <v>-225.90344763944475</v>
      </c>
      <c r="BJ46" s="341"/>
      <c r="BK46" s="102">
        <f>BK31+BK42+BK43+BK44</f>
        <v>0</v>
      </c>
      <c r="BL46" s="341"/>
      <c r="BM46" s="341"/>
      <c r="BN46" s="341"/>
      <c r="BO46" s="341"/>
      <c r="BP46"/>
      <c r="BQ46" s="102">
        <f t="shared" si="1"/>
        <v>-74211.775236541362</v>
      </c>
      <c r="BR46" s="105"/>
      <c r="BS46" s="102">
        <f>BS31+BS42+BS43+BS44</f>
        <v>-1162.8447839999997</v>
      </c>
      <c r="BT46" s="341"/>
      <c r="BU46" s="102">
        <f>BU31+BU42+BU43+BU44</f>
        <v>-2522.329793700002</v>
      </c>
      <c r="BV46" s="341"/>
      <c r="BW46" s="102"/>
      <c r="BX46" s="341"/>
      <c r="BY46" s="102"/>
      <c r="BZ46" s="341"/>
      <c r="CA46" s="102"/>
      <c r="CB46" s="103"/>
      <c r="CC46" s="65">
        <f>+BS46+BU46+BW46+BY46+CA46</f>
        <v>-3685.1745777000015</v>
      </c>
      <c r="CD46" s="116"/>
      <c r="CE46" s="102">
        <f t="shared" si="3"/>
        <v>234608.06800783088</v>
      </c>
      <c r="CG46" s="100" t="s">
        <v>50</v>
      </c>
      <c r="CI46" s="102">
        <f>CI31+CI42+CI43+CI44</f>
        <v>3001.1703461827801</v>
      </c>
      <c r="CJ46" s="102">
        <f>CJ31+CJ42+CJ43+CJ44</f>
        <v>19518.475336712982</v>
      </c>
      <c r="CK46" s="573">
        <f>CI46+CJ46</f>
        <v>22519.64568289576</v>
      </c>
      <c r="CL46"/>
      <c r="CM46" s="516">
        <f>CM29-CM51</f>
        <v>-32936.833470980055</v>
      </c>
      <c r="CN46" s="517">
        <f>CJ46+CM46</f>
        <v>-13418.358134267073</v>
      </c>
    </row>
    <row r="47" spans="1:92" s="48" customFormat="1" ht="18.75" customHeight="1">
      <c r="B47" s="93"/>
      <c r="C47" s="117"/>
      <c r="D47" s="118"/>
      <c r="E47" s="116"/>
      <c r="F47" s="119"/>
      <c r="G47" s="120">
        <v>-2416.7590000000005</v>
      </c>
      <c r="H47" s="119"/>
      <c r="AC47" s="121">
        <v>-1587.9813175999996</v>
      </c>
      <c r="AD47" s="121"/>
      <c r="AE47" s="121"/>
      <c r="AF47" s="121"/>
      <c r="AG47" s="121"/>
      <c r="AH47" s="121"/>
      <c r="AI47" s="121"/>
      <c r="AJ47" s="121"/>
      <c r="AK47" s="121"/>
      <c r="AL47" s="121"/>
      <c r="AM47" s="354"/>
      <c r="AN47" s="22"/>
      <c r="AO47" s="121" t="s">
        <v>3</v>
      </c>
      <c r="AP47" s="1"/>
      <c r="AR47" s="1"/>
      <c r="AS47" s="130"/>
      <c r="AT47" s="1"/>
      <c r="AU47" s="121"/>
      <c r="AV47" s="1"/>
      <c r="AW47" s="121">
        <v>1</v>
      </c>
      <c r="AX47" s="121"/>
      <c r="AY47" s="121">
        <v>1</v>
      </c>
      <c r="AZ47" s="121"/>
      <c r="BA47" s="121">
        <v>1</v>
      </c>
      <c r="BB47" s="1"/>
      <c r="BC47" s="121"/>
      <c r="BD47" s="1"/>
      <c r="BE47" s="121"/>
      <c r="BF47" s="1"/>
      <c r="BG47" s="112"/>
      <c r="BH47" s="112"/>
      <c r="BI47" s="112"/>
      <c r="BJ47" s="112"/>
      <c r="BK47" s="112"/>
      <c r="BL47" s="112"/>
      <c r="BM47" s="112"/>
      <c r="BN47" s="112"/>
      <c r="BO47" s="112"/>
      <c r="BP47" s="1"/>
      <c r="BQ47" s="122"/>
      <c r="BR47" s="1"/>
      <c r="BS47" s="121">
        <v>1</v>
      </c>
      <c r="BT47" s="112"/>
      <c r="BU47" s="121">
        <v>1</v>
      </c>
      <c r="BV47" s="112"/>
      <c r="BW47" s="121"/>
      <c r="BX47" s="112"/>
      <c r="BY47" s="121"/>
      <c r="BZ47" s="112"/>
      <c r="CA47" s="121"/>
      <c r="CB47" s="93"/>
      <c r="CC47" s="123"/>
      <c r="CD47" s="112"/>
      <c r="CE47" s="111"/>
      <c r="CF47" s="71"/>
      <c r="CK47" s="124"/>
      <c r="CL47"/>
      <c r="CM47"/>
    </row>
    <row r="48" spans="1:92" s="5" customFormat="1" ht="14.1" customHeight="1">
      <c r="A48" s="52" t="s">
        <v>283</v>
      </c>
      <c r="C48" s="128">
        <f>C27+C43-C50</f>
        <v>0</v>
      </c>
      <c r="D48" s="128"/>
      <c r="E48" s="128">
        <f>E27+E43-E50</f>
        <v>0</v>
      </c>
      <c r="F48" s="127"/>
      <c r="G48" s="128">
        <f>G27+G43-G50</f>
        <v>1E-3</v>
      </c>
      <c r="H48" s="127"/>
      <c r="I48" s="130">
        <f>I27+I43-I50</f>
        <v>0</v>
      </c>
      <c r="J48" s="130"/>
      <c r="K48" s="130">
        <f>K27+K43-K50</f>
        <v>0</v>
      </c>
      <c r="L48" s="130"/>
      <c r="M48" s="130">
        <f>M27+M43-M50</f>
        <v>0</v>
      </c>
      <c r="N48" s="130"/>
      <c r="O48" s="130">
        <f>O27+O43-O50</f>
        <v>0</v>
      </c>
      <c r="P48" s="130"/>
      <c r="Q48" s="130">
        <f>Q27+Q43-Q50</f>
        <v>0</v>
      </c>
      <c r="R48" s="130"/>
      <c r="S48" s="130">
        <f>S27+S43-S50</f>
        <v>0</v>
      </c>
      <c r="T48" s="130"/>
      <c r="U48" s="130">
        <f>U27+U43-U50</f>
        <v>0</v>
      </c>
      <c r="V48" s="130"/>
      <c r="W48" s="130">
        <f>W27+W43-W50</f>
        <v>0</v>
      </c>
      <c r="X48" s="130"/>
      <c r="Y48" s="130">
        <f>Y27+Y43-Y50</f>
        <v>0</v>
      </c>
      <c r="Z48" s="130"/>
      <c r="AA48" s="130">
        <f>AA27+AA43-AA50</f>
        <v>0</v>
      </c>
      <c r="AB48" s="130"/>
      <c r="AC48" s="133">
        <f>AC27+AC43-AC50</f>
        <v>32639.994460000002</v>
      </c>
      <c r="AD48" s="133"/>
      <c r="AE48" s="133"/>
      <c r="AF48" s="133"/>
      <c r="AG48" s="133"/>
      <c r="AH48" s="133"/>
      <c r="AI48" s="133"/>
      <c r="AJ48" s="133"/>
      <c r="AK48" s="133"/>
      <c r="AL48" s="133"/>
      <c r="AM48" s="355">
        <f>AM27+AM43-AM50</f>
        <v>32046.106331137889</v>
      </c>
      <c r="AN48" s="129"/>
      <c r="AO48" s="130">
        <f>AO27+AO43-AO50</f>
        <v>0</v>
      </c>
      <c r="AP48" s="131"/>
      <c r="AQ48" s="130">
        <f>AQ27+AQ43-AQ50</f>
        <v>0</v>
      </c>
      <c r="AR48" s="131"/>
      <c r="AS48" s="130">
        <f>AS27+AS43-AS50</f>
        <v>0</v>
      </c>
      <c r="AT48" s="131"/>
      <c r="AU48" s="133">
        <f>AU27+AU43-AU50</f>
        <v>0</v>
      </c>
      <c r="AV48" s="131"/>
      <c r="AW48" s="133">
        <f>AW27+AW43-AW50</f>
        <v>0</v>
      </c>
      <c r="AX48" s="133"/>
      <c r="AY48" s="133">
        <f>AY27+AY43-AY50</f>
        <v>0</v>
      </c>
      <c r="AZ48" s="133"/>
      <c r="BA48" s="133">
        <f>BA27+BA43-BA50</f>
        <v>0</v>
      </c>
      <c r="BB48" s="131"/>
      <c r="BC48" s="130">
        <f>BC27+BC43-BC50</f>
        <v>0</v>
      </c>
      <c r="BD48" s="131"/>
      <c r="BE48" s="130">
        <f>BE27+BE43-BE50</f>
        <v>0</v>
      </c>
      <c r="BF48" s="131"/>
      <c r="BG48" s="130">
        <f>BG27+BG43-BG50</f>
        <v>0</v>
      </c>
      <c r="BH48" s="130"/>
      <c r="BI48" s="130">
        <f>BI27+BI43-BI50</f>
        <v>0</v>
      </c>
      <c r="BJ48" s="130"/>
      <c r="BK48" s="130">
        <f>BK27+BK43-BK50</f>
        <v>0</v>
      </c>
      <c r="BL48" s="130"/>
      <c r="BM48" s="130"/>
      <c r="BN48" s="130"/>
      <c r="BO48" s="130"/>
      <c r="BP48" s="131" t="s">
        <v>3</v>
      </c>
      <c r="BQ48" s="134">
        <f t="shared" si="1"/>
        <v>0</v>
      </c>
      <c r="BR48" s="131"/>
      <c r="BS48" s="133">
        <f>BS27+BS43-BS50</f>
        <v>0</v>
      </c>
      <c r="BT48" s="130"/>
      <c r="BU48" s="133">
        <f>BU27+BU43-BU50</f>
        <v>0</v>
      </c>
      <c r="BV48" s="130"/>
      <c r="BW48" s="133"/>
      <c r="BX48" s="130"/>
      <c r="BY48" s="133"/>
      <c r="BZ48" s="130"/>
      <c r="CA48" s="133"/>
      <c r="CB48" s="136"/>
      <c r="CC48" s="135">
        <f>CC27+CC43-CC50</f>
        <v>0</v>
      </c>
      <c r="CD48" s="40"/>
      <c r="CE48" s="42"/>
      <c r="CF48" s="137"/>
      <c r="CG48" s="52" t="str">
        <f>A48</f>
        <v>LTD Through November 30, 2001</v>
      </c>
      <c r="CI48" s="130"/>
      <c r="CJ48" s="130">
        <f>CJ27+CJ43-CJ50</f>
        <v>0</v>
      </c>
      <c r="CK48" s="138">
        <f>CK27+CK43-CK50</f>
        <v>0</v>
      </c>
      <c r="CL48"/>
      <c r="CM48"/>
    </row>
    <row r="49" spans="1:92" s="4" customFormat="1" ht="14.1" customHeight="1">
      <c r="A49" s="71" t="s">
        <v>31</v>
      </c>
      <c r="B49" s="139"/>
      <c r="C49" s="599">
        <f>[3]Report!AA60+[4]Report!W60+([5]Report!C60+[5]Report!E60+[5]Report!G60+[5]Report!U60+[5]Report!AA60)+[6]Report!AA60/1000+[80]Report!W60</f>
        <v>953986.69615447009</v>
      </c>
      <c r="D49" s="61"/>
      <c r="E49" s="597">
        <f>((([8]Report!AQ65-[8]Report!AE57+[7]Report!C60)/1000)+([7]Report!M60)/1000)</f>
        <v>489649.75099698937</v>
      </c>
      <c r="F49" s="62"/>
      <c r="G49" s="599">
        <f>([20]Report!N40+[22]Report!AG60+[10]Report!AA60+[15]Report!AA60+[17]Report!AQ60+'[27]Financial Summary'!AQ60+[25]Report!N40+[21]Report!K60)/1000</f>
        <v>226721.00270090002</v>
      </c>
      <c r="H49" s="62"/>
      <c r="I49" s="598">
        <f>[23]Report!AE60/1000+[26]Report!AE60/1000+[24]Report!AC60/1000</f>
        <v>-11854.915182499997</v>
      </c>
      <c r="J49" s="108"/>
      <c r="K49" s="60">
        <f>[5]Report!I60+[5]Report!K60+[5]Report!S60</f>
        <v>0</v>
      </c>
      <c r="L49" s="108"/>
      <c r="M49" s="597">
        <f>[5]Report!Q60+[5]Report!W60+[5]Report!Y60</f>
        <v>722.8779999999997</v>
      </c>
      <c r="N49" s="108"/>
      <c r="O49" s="600">
        <f>(+[47]Report!AC60+[16]Report!AQ60+[40]Report!AK60+[46]Report!AA60)/1000</f>
        <v>-454690.78847479995</v>
      </c>
      <c r="P49" s="108"/>
      <c r="Q49" s="598">
        <f>([35]Report!AS60+[36]Report!Q60+[38]Report!AQ60+[37]Report!AQ60+[39]Report!AE60)/1000</f>
        <v>19972.474526299997</v>
      </c>
      <c r="R49" s="108"/>
      <c r="S49" s="598">
        <f>(+[11]Report!AE60+[13]Report!K60+[28]Report!AQ60+[29]Report!AQ60+[79]Report!AQ60+[87]Report!K60)/1000</f>
        <v>4599.8707399999985</v>
      </c>
      <c r="T49" s="108"/>
      <c r="U49" s="599">
        <f>([44]Report!AM60+[41]Report!AK60+[19]Report!X60+[14]Report!O60+[43]Report!AQ60+[43]Report!M60+[42]Report!M60+[42]Report!Z60)/1000</f>
        <v>-213173.47704980004</v>
      </c>
      <c r="V49" s="108"/>
      <c r="W49" s="598">
        <f>('[18]Financial Summary'!AC60+[30]Report!AQ60+[32]Report!W60+[31]Report!AQ60+[33]Report!AG60+[34]Report!CI60+[45]Report!AA60+[83]Report!W60)/1000</f>
        <v>19351.799348099998</v>
      </c>
      <c r="X49" s="108"/>
      <c r="Y49" s="598">
        <f>(+[48]Report!AC60+[12]Report!K60)/1000</f>
        <v>7182.9005884000007</v>
      </c>
      <c r="Z49" s="108"/>
      <c r="AA49" s="598">
        <f>(+[9]Report!AM60)/1000</f>
        <v>19644.422872400002</v>
      </c>
      <c r="AB49" s="108"/>
      <c r="AC49" s="47">
        <f>'[108]Power-Summary'!AZ61+'[109]Power-Summary'!AR61/1000+[5]Report!M60+'[110]Power Summary'!AN61/1000+[5]Report!O60</f>
        <v>1313234.9736461728</v>
      </c>
      <c r="AD49" s="89"/>
      <c r="AE49" s="47"/>
      <c r="AF49" s="89"/>
      <c r="AG49" s="47"/>
      <c r="AH49" s="89"/>
      <c r="AI49" s="47"/>
      <c r="AJ49" s="89"/>
      <c r="AK49" s="47"/>
      <c r="AL49" s="89"/>
      <c r="AM49" s="360">
        <f>+C49+G49+I49+O49+Q49+S49+U49+W49+Y49+AA49</f>
        <v>571739.98622347019</v>
      </c>
      <c r="AN49" s="22"/>
      <c r="AO49" s="47">
        <f>[57]Report!AG60+[77]Report!O60+[67]Report!AH60+[73]Report!G60+[52]Report!AC60+[51]Report!AA60+[75]Report!O60+[78]Report!I60</f>
        <v>23511.625217573554</v>
      </c>
      <c r="AP49" s="1"/>
      <c r="AQ49" s="60">
        <f>[90]Report!AC60+[96]Report!M60+[72]Report!C60+[101]Report!U60+[102]Report!U60+[100]Report!U60+[99]Report!AH60+[91]Report!AC60+[95]Report!AK60</f>
        <v>-40866.871949920198</v>
      </c>
      <c r="AR49" s="1"/>
      <c r="AS49" s="47">
        <f>[50]Report!Y60+[98]Report!$Y60+[97]Report!$AD60+[53]Report!AB60+[54]Report!W60+[104]Report!W60</f>
        <v>65021.431083799995</v>
      </c>
      <c r="AT49" s="1"/>
      <c r="AU49" s="47">
        <f>[56]Report!AW60+[103]Report!AN60+[74]Report!S60+[69]Report!AI60+[64]Report!AQ60+[63]Report!AQ60+[62]Report!AQ60+[62]Report!BO60+[61]Report!AG60+[70]Report!X60+[76]Report!S60+[71]Report!X60+[82]Report!W60</f>
        <v>52062.581193747385</v>
      </c>
      <c r="AV49" s="1"/>
      <c r="AW49" s="60">
        <f>+[59]Report!AE60+[81]Report!W60</f>
        <v>161763.56353605108</v>
      </c>
      <c r="AX49" s="60"/>
      <c r="AY49" s="60">
        <f>+[65]Report!W60</f>
        <v>-39666.60005860978</v>
      </c>
      <c r="AZ49" s="60"/>
      <c r="BA49" s="60">
        <f>+[84]Report!AD64/1000</f>
        <v>58338.795082936595</v>
      </c>
      <c r="BB49" s="1"/>
      <c r="BC49" s="47">
        <f>[60]Report!AL56</f>
        <v>49293.804093377155</v>
      </c>
      <c r="BD49" s="1"/>
      <c r="BE49" s="66">
        <f>CK49</f>
        <v>49083.282214214385</v>
      </c>
      <c r="BF49" s="1"/>
      <c r="BG49" s="67">
        <f>[66]Report!BQ56</f>
        <v>-18123.067826281727</v>
      </c>
      <c r="BH49" s="364"/>
      <c r="BI49" s="67">
        <f>+[55]Report!AE60</f>
        <v>21371.228672674697</v>
      </c>
      <c r="BJ49" s="364"/>
      <c r="BK49" s="365">
        <v>0</v>
      </c>
      <c r="BL49" s="364"/>
      <c r="BM49" s="364"/>
      <c r="BN49" s="364"/>
      <c r="BO49" s="364"/>
      <c r="BP49" s="63"/>
      <c r="BQ49" s="64">
        <f>+AO49+AQ49+AS49+AU49+AW49+AY49+BA49+BC49+BE49+BG49+BI49+BK49+BM49+BO49</f>
        <v>381789.7712595631</v>
      </c>
      <c r="BR49" s="1"/>
      <c r="BS49" s="60">
        <f>[1]Report!F49/1000+[2]Report!$E$49/1000</f>
        <v>87116.960579999999</v>
      </c>
      <c r="BT49" s="364"/>
      <c r="BU49" s="363">
        <f>[105]Report!AR60</f>
        <v>148790.96451229998</v>
      </c>
      <c r="BV49" s="364"/>
      <c r="BW49" s="60"/>
      <c r="BX49" s="364"/>
      <c r="BY49" s="60"/>
      <c r="BZ49" s="364"/>
      <c r="CA49" s="60"/>
      <c r="CB49" s="68"/>
      <c r="CC49" s="50">
        <f>+BS49+BU49+BW49+BY49+CA49</f>
        <v>235907.92509229999</v>
      </c>
      <c r="CD49" s="69"/>
      <c r="CE49" s="70">
        <f>+CC49+BQ49+AM49</f>
        <v>1189437.6825753334</v>
      </c>
      <c r="CF49" s="41"/>
      <c r="CG49" s="71" t="s">
        <v>31</v>
      </c>
      <c r="CI49" s="66">
        <f>+[92]Report!$C$60+[92]Report!$E$60+[92]Report!$G$60+[92]Report!$O$60+[92]Report!$Q$60+[92]Report!$Y$60+[92]Report!$AE$60+[92]Report!$AM$60+[92]Report!$AS$60+[92]Report!$AU$60+[92]Report!$AW$60</f>
        <v>-93887.934419139987</v>
      </c>
      <c r="CJ49" s="66">
        <f>22151.3+CJ42+CJ43-4276+4350+SUM(RHO_DRIFT!C104:C160)-RHO_DRIFT!BE250-RHO_DRIFT!BD250-RHO_DRIFT!BC250+SUM(RHO_DRIFT!E163:E207)</f>
        <v>142971.21663335437</v>
      </c>
      <c r="CK49" s="65">
        <f>CI49+CJ49</f>
        <v>49083.282214214385</v>
      </c>
      <c r="CL49"/>
      <c r="CM49"/>
    </row>
    <row r="50" spans="1:92" s="4" customFormat="1" ht="14.1" customHeight="1">
      <c r="A50" s="71" t="s">
        <v>32</v>
      </c>
      <c r="B50" s="140"/>
      <c r="C50" s="47">
        <f>[3]Report!AA61+[4]Report!W61+([5]Report!C61+[5]Report!E61+[5]Report!G61+[5]Report!U61+[5]Report!AA61)+[6]Report!AA61/1000+[80]Report!W61</f>
        <v>0</v>
      </c>
      <c r="D50" s="73"/>
      <c r="E50" s="60">
        <f>([8]Report!AQ66+[7]Report!M61+[7]Report!C61)/1000</f>
        <v>-593.88912886211233</v>
      </c>
      <c r="F50" s="74"/>
      <c r="G50" s="47">
        <f>([20]Report!N41+[22]Report!AG61+[10]Report!AA61+[15]Report!AA61+[17]Report!AQ61+'[27]Financial Summary'!AQ61+[25]Report!N41+[21]Report!K61)/1000</f>
        <v>0</v>
      </c>
      <c r="H50" s="74"/>
      <c r="I50" s="60">
        <f>[23]Report!AE61/1000+[26]Report!AE61/1000+[24]Report!AC61/1000</f>
        <v>3.0000000000000001E-3</v>
      </c>
      <c r="J50" s="108"/>
      <c r="K50" s="60">
        <f>[5]Report!I61+[5]Report!K61+[5]Report!S61</f>
        <v>0</v>
      </c>
      <c r="L50" s="108"/>
      <c r="M50" s="60">
        <f>[5]Report!Q61+[5]Report!W61+[5]Report!Y61</f>
        <v>0</v>
      </c>
      <c r="N50" s="108"/>
      <c r="O50" s="363">
        <f>(+[47]Report!AC61+[16]Report!AQ61+[40]Report!AK61+[46]Report!AA61)/1000</f>
        <v>0</v>
      </c>
      <c r="P50" s="108"/>
      <c r="Q50" s="60">
        <f>([35]Report!AS61+[36]Report!Q61+[38]Report!AQ61+[37]Report!AQ61+[39]Report!AE61)/1000</f>
        <v>2E-3</v>
      </c>
      <c r="R50" s="108"/>
      <c r="S50" s="60">
        <f>(+[11]Report!AE61+[13]Report!K61+[28]Report!AQ61+[29]Report!AQ61+[79]Report!AQ61+[87]Report!K61)/1000</f>
        <v>0</v>
      </c>
      <c r="T50" s="108"/>
      <c r="U50" s="47">
        <f>([44]Report!AM61+[41]Report!AK61+[19]Report!X61+[14]Report!O61+[43]Report!AQ61+[43]Report!M61+[42]Report!M61+[42]Report!Z61)/1000</f>
        <v>0</v>
      </c>
      <c r="V50" s="108"/>
      <c r="W50" s="60">
        <f>('[18]Financial Summary'!AC61+[30]Report!AQ61+[32]Report!W61+[31]Report!AQ61+[33]Report!AG61+[34]Report!CI61+[45]Report!AA61+[83]Report!W61)/1000</f>
        <v>-8.0000000000000002E-3</v>
      </c>
      <c r="X50" s="108"/>
      <c r="Y50" s="60">
        <f>(+[48]Report!AC61+[12]Report!K61)/1000</f>
        <v>0</v>
      </c>
      <c r="Z50" s="108"/>
      <c r="AA50" s="60">
        <f>(+[9]Report!AM61)/1000</f>
        <v>0</v>
      </c>
      <c r="AB50" s="108"/>
      <c r="AC50" s="47">
        <f>'[108]Power-Summary'!AZ62+'[109]Power-Summary'!AR62/1000+[5]Report!M61+'[110]Power Summary'!AN62/1000+[5]Report!O61</f>
        <v>0</v>
      </c>
      <c r="AD50" s="89"/>
      <c r="AE50" s="47"/>
      <c r="AF50" s="89"/>
      <c r="AG50" s="47"/>
      <c r="AH50" s="89"/>
      <c r="AI50" s="47"/>
      <c r="AJ50" s="89"/>
      <c r="AK50" s="47"/>
      <c r="AL50" s="89"/>
      <c r="AM50" s="360">
        <f>+C50+G50+I50+O50+Q50+S50+U50+W50+Y50+AA50</f>
        <v>-3.0000000000000001E-3</v>
      </c>
      <c r="AN50" s="22"/>
      <c r="AO50" s="47">
        <f>[57]Report!AG61+[77]Report!O61+[67]Report!AH61+[73]Report!G61+[52]Report!AC61+[51]Report!AA61+[75]Report!O61+[78]Report!I61</f>
        <v>0</v>
      </c>
      <c r="AP50" s="1"/>
      <c r="AQ50" s="60">
        <f>[90]Report!AC61+[96]Report!M61+[72]Report!C61+[101]Report!U61+[102]Report!U61+[100]Report!U61+[99]Report!AH61+[91]Report!AC61+[95]Report!AK61</f>
        <v>-8.6416599999938621E-4</v>
      </c>
      <c r="AR50" s="1"/>
      <c r="AS50" s="47">
        <f>[50]Report!Y61+[98]Report!$Y61+[97]Report!$AD61+[53]Report!AB61+[54]Report!W61+[104]Report!W61</f>
        <v>-446.82575132097401</v>
      </c>
      <c r="AT50" s="1"/>
      <c r="AU50" s="47">
        <f>[56]Report!AW61+[103]Report!AN61+[74]Report!S61+[69]Report!AI61+[64]Report!AQ61+[63]Report!AQ61+[62]Report!AQ61+[62]Report!BO61+[61]Report!AG61+[70]Report!X61+[76]Report!S61+[71]Report!X61+[82]Report!W61</f>
        <v>0.34033999999997677</v>
      </c>
      <c r="AV50" s="1"/>
      <c r="AW50" s="60">
        <f>+[59]Report!AE61+[81]Report!W61</f>
        <v>0</v>
      </c>
      <c r="AX50" s="60"/>
      <c r="AY50" s="60">
        <f>+[65]Report!W61</f>
        <v>0</v>
      </c>
      <c r="AZ50" s="60"/>
      <c r="BA50" s="60">
        <f>+[84]Report!AD65/1000</f>
        <v>0</v>
      </c>
      <c r="BB50" s="1"/>
      <c r="BC50" s="47">
        <f>[60]Report!$AL$61</f>
        <v>-127.611</v>
      </c>
      <c r="BD50" s="1"/>
      <c r="BE50" s="66">
        <f>CK50</f>
        <v>0</v>
      </c>
      <c r="BF50" s="1"/>
      <c r="BG50" s="67">
        <f>[66]Report!BQ61</f>
        <v>0</v>
      </c>
      <c r="BH50" s="364"/>
      <c r="BI50" s="67">
        <f>+[55]Report!AE61</f>
        <v>0</v>
      </c>
      <c r="BJ50" s="364"/>
      <c r="BK50" s="365">
        <v>0</v>
      </c>
      <c r="BL50" s="364"/>
      <c r="BM50" s="364"/>
      <c r="BN50" s="364"/>
      <c r="BO50" s="364"/>
      <c r="BP50" s="63"/>
      <c r="BQ50" s="64">
        <f>+AO50+AQ50+AS50+AU50+AW50+AY50+BA50+BC50+BE50+BG50+BI50+BK50+BM50+BO50</f>
        <v>-574.09727548697401</v>
      </c>
      <c r="BR50" s="1"/>
      <c r="BS50" s="60">
        <f>[1]Report!F50/1000+[2]Report!$E$50/1000</f>
        <v>0</v>
      </c>
      <c r="BT50" s="364"/>
      <c r="BU50" s="363">
        <f>[105]Report!AR61</f>
        <v>0</v>
      </c>
      <c r="BV50" s="364"/>
      <c r="BW50" s="60"/>
      <c r="BX50" s="364"/>
      <c r="BY50" s="60"/>
      <c r="BZ50" s="364"/>
      <c r="CA50" s="60"/>
      <c r="CB50" s="75"/>
      <c r="CC50" s="50">
        <f>+BS50+BU50+BW50+BY50+CA50</f>
        <v>0</v>
      </c>
      <c r="CD50" s="76"/>
      <c r="CE50" s="70">
        <f>+CC50+BQ50+AM50</f>
        <v>-574.10027548697406</v>
      </c>
      <c r="CF50" s="41"/>
      <c r="CG50" s="71" t="s">
        <v>32</v>
      </c>
      <c r="CI50" s="66">
        <f>[92]Report!$BW$61</f>
        <v>0</v>
      </c>
      <c r="CJ50" s="66">
        <v>0</v>
      </c>
      <c r="CK50" s="65">
        <f>CI50+CJ50</f>
        <v>0</v>
      </c>
      <c r="CL50"/>
      <c r="CM50"/>
    </row>
    <row r="51" spans="1:92" s="4" customFormat="1" ht="14.1" customHeight="1">
      <c r="A51" s="71" t="s">
        <v>33</v>
      </c>
      <c r="B51" s="140"/>
      <c r="C51" s="47">
        <f>[3]Report!AA62+[4]Report!W62+([5]Report!C62+[5]Report!E62+[5]Report!G62+[5]Report!U62+[5]Report!AA62)+[6]Report!AA62/1000+[80]Report!W62</f>
        <v>1116480.5417309999</v>
      </c>
      <c r="D51" s="61"/>
      <c r="E51" s="60">
        <f>([8]Report!AQ67+[7]Report!M62+[7]Report!C62)/1000</f>
        <v>-362246.53752413439</v>
      </c>
      <c r="F51" s="62"/>
      <c r="G51" s="47">
        <f>([20]Report!N42+[22]Report!AG62+[10]Report!AA62+[15]Report!AA62+[17]Report!AQ62+'[27]Financial Summary'!AQ62+[25]Report!N42+[21]Report!K62)/1000</f>
        <v>543647.02352279995</v>
      </c>
      <c r="H51" s="62"/>
      <c r="I51" s="60">
        <f>[23]Report!AE62/1000+[26]Report!AE62/1000+[24]Report!AC62/1000</f>
        <v>179620.19617460005</v>
      </c>
      <c r="J51" s="108"/>
      <c r="K51" s="60">
        <f>[5]Report!I62+[5]Report!K62+[5]Report!S62</f>
        <v>5241.4292737000005</v>
      </c>
      <c r="L51" s="108"/>
      <c r="M51" s="60">
        <f>[5]Report!Q62+[5]Report!W62+[5]Report!Y62</f>
        <v>170.81077450000001</v>
      </c>
      <c r="N51" s="108"/>
      <c r="O51" s="363">
        <f>(+[47]Report!AC62+[16]Report!AQ62+[40]Report!AK62+[46]Report!AA62)/1000</f>
        <v>766602.89721229987</v>
      </c>
      <c r="P51" s="108"/>
      <c r="Q51" s="60">
        <f>([35]Report!AS62+[36]Report!Q62+[38]Report!AQ62+[37]Report!AQ62+[39]Report!AE62)/1000</f>
        <v>119745.4259442</v>
      </c>
      <c r="R51" s="108"/>
      <c r="S51" s="60">
        <f>(+[11]Report!AE62+[13]Report!K62+[28]Report!AQ62+[29]Report!AQ62+[79]Report!AQ62+[87]Report!K62)/1000</f>
        <v>48958.493721199986</v>
      </c>
      <c r="T51" s="108"/>
      <c r="U51" s="47">
        <f>([44]Report!AM62+[41]Report!AK62+[19]Report!X62+[14]Report!O62+[43]Report!AQ62+[43]Report!M62+[42]Report!M62+[42]Report!Z62)/1000</f>
        <v>587814.81560760003</v>
      </c>
      <c r="V51" s="108"/>
      <c r="W51" s="60">
        <f>('[18]Financial Summary'!AC62+[30]Report!AQ62+[32]Report!W62+[31]Report!AQ62+[33]Report!AG62+[34]Report!CI62+[45]Report!AA62+[83]Report!W62)/1000</f>
        <v>72454.360961300001</v>
      </c>
      <c r="X51" s="108"/>
      <c r="Y51" s="60">
        <f>(+[48]Report!AC62+[12]Report!K62)/1000</f>
        <v>7669.842343199999</v>
      </c>
      <c r="Z51" s="108"/>
      <c r="AA51" s="60">
        <f>(+[9]Report!AM62)/1000</f>
        <v>96524.568300900006</v>
      </c>
      <c r="AB51" s="108"/>
      <c r="AC51" s="47">
        <f>'[108]Power-Summary'!AZ63+'[109]Power-Summary'!AR63/1000+[5]Report!M62+'[110]Power Summary'!AN63/1000+[5]Report!O62</f>
        <v>952770.41946492356</v>
      </c>
      <c r="AD51" s="89"/>
      <c r="AE51" s="47"/>
      <c r="AF51" s="89"/>
      <c r="AG51" s="47"/>
      <c r="AH51" s="89"/>
      <c r="AI51" s="47"/>
      <c r="AJ51" s="89"/>
      <c r="AK51" s="47"/>
      <c r="AL51" s="89"/>
      <c r="AM51" s="360">
        <f>+C51+G51+I51+O51+Q51+S51+U51+W51+Y51+AA51</f>
        <v>3539518.1655190997</v>
      </c>
      <c r="AN51" s="22"/>
      <c r="AO51" s="47">
        <f>[57]Report!AG62+[77]Report!O62+[67]Report!AH62+[73]Report!G62+[52]Report!AC62+[51]Report!AA62+[75]Report!O62+[78]Report!I62</f>
        <v>249688.55781628191</v>
      </c>
      <c r="AP51" s="1"/>
      <c r="AQ51" s="60">
        <f>[90]Report!AC62+[96]Report!M62+[72]Report!C62+[101]Report!U62+[102]Report!U62+[100]Report!U62+[99]Report!AH62+[91]Report!AC62+[95]Report!AK62</f>
        <v>-63372.690331790145</v>
      </c>
      <c r="AR51" s="1"/>
      <c r="AS51" s="47">
        <f>[50]Report!Y62+[98]Report!$Y62+[97]Report!$AD62+[53]Report!AB62+[54]Report!W62+[104]Report!W62</f>
        <v>248952.55988497927</v>
      </c>
      <c r="AT51" s="1"/>
      <c r="AU51" s="47">
        <f>[56]Report!AW62+[103]Report!AN62+[74]Report!S62+[69]Report!AI62+[64]Report!AQ62+[63]Report!AQ62+[62]Report!AQ62+[62]Report!BO62+[61]Report!AG62+[70]Report!X62+[76]Report!S62+[71]Report!X62+[82]Report!W62</f>
        <v>18165.982253571223</v>
      </c>
      <c r="AV51" s="1"/>
      <c r="AW51" s="60">
        <f>+[59]Report!AE62+[81]Report!W62</f>
        <v>20880.200468611722</v>
      </c>
      <c r="AX51" s="60"/>
      <c r="AY51" s="60">
        <f>+[65]Report!W62</f>
        <v>44277.227699653922</v>
      </c>
      <c r="AZ51" s="60"/>
      <c r="BA51" s="60">
        <f>+[84]Report!AD66/1000</f>
        <v>-5670.3059999999996</v>
      </c>
      <c r="BB51" s="1"/>
      <c r="BC51" s="47">
        <f>[60]Report!$AL$62</f>
        <v>-123638.22668240008</v>
      </c>
      <c r="BD51" s="1"/>
      <c r="BE51" s="66">
        <f>CK51</f>
        <v>132532.88319879194</v>
      </c>
      <c r="BF51" s="1"/>
      <c r="BG51" s="60">
        <f>[66]Report!BQ62</f>
        <v>26829.868473730243</v>
      </c>
      <c r="BH51" s="108"/>
      <c r="BI51" s="67">
        <f>+[55]Report!AE62</f>
        <v>286.40278129999615</v>
      </c>
      <c r="BJ51" s="108"/>
      <c r="BK51" s="365">
        <v>-262.26269000000002</v>
      </c>
      <c r="BL51" s="108"/>
      <c r="BM51" s="108"/>
      <c r="BN51" s="108"/>
      <c r="BO51" s="108"/>
      <c r="BP51" s="63"/>
      <c r="BQ51" s="64">
        <f>+AO51+AQ51+AS51+AU51+AW51+AY51+BA51+BC51+BE51+BG51+BI51+BK51+BM51+BO51</f>
        <v>548670.19687273004</v>
      </c>
      <c r="BR51" s="1"/>
      <c r="BS51" s="60">
        <f>[1]Report!F51/1000+[2]Report!$E$51/1000</f>
        <v>18007.195174600001</v>
      </c>
      <c r="BT51" s="108"/>
      <c r="BU51" s="363">
        <f>[105]Report!AR62</f>
        <v>-77553.825313900001</v>
      </c>
      <c r="BV51" s="108"/>
      <c r="BW51" s="60"/>
      <c r="BX51" s="108"/>
      <c r="BY51" s="60"/>
      <c r="BZ51" s="108"/>
      <c r="CA51" s="60"/>
      <c r="CB51" s="68"/>
      <c r="CC51" s="50">
        <f>+BS51+BU51+BW51+BY51+CA51</f>
        <v>-59546.630139300003</v>
      </c>
      <c r="CD51" s="69"/>
      <c r="CE51" s="70">
        <f>+CC51+BQ51+AM51</f>
        <v>4028641.7322525298</v>
      </c>
      <c r="CF51" s="41"/>
      <c r="CG51" s="71" t="s">
        <v>33</v>
      </c>
      <c r="CI51" s="53">
        <f>[92]Report!$C$62+[92]Report!$E$62+[92]Report!$G$62+[92]Report!$O$62+[92]Report!$Q$62+[92]Report!$Y$62+[92]Report!$AE$62+[92]Report!$AM$62+[92]Report!$AS$62+[92]Report!$AU$62+[92]Report!$AW$62</f>
        <v>-100177.73664068725</v>
      </c>
      <c r="CJ51" s="66">
        <f>RHO_DRIFT!BE250+RHO_DRIFT!BD250+RHO_DRIFT!BC250+SUM(RHO_DRIFT!G163:K207)+CJ44</f>
        <v>232710.61983947919</v>
      </c>
      <c r="CK51" s="65">
        <f>CI51+CJ51</f>
        <v>132532.88319879194</v>
      </c>
      <c r="CL51"/>
      <c r="CM51" s="516">
        <f>SUM(CJ49:CJ51)</f>
        <v>375681.83647283353</v>
      </c>
    </row>
    <row r="52" spans="1:92" s="4" customFormat="1" ht="14.1" customHeight="1">
      <c r="A52" s="79" t="s">
        <v>34</v>
      </c>
      <c r="B52" s="140"/>
      <c r="C52" s="77">
        <f>C29+C46</f>
        <v>2071502.0719114002</v>
      </c>
      <c r="D52" s="77">
        <f>D29+D46</f>
        <v>0</v>
      </c>
      <c r="E52" s="77">
        <f>E29+E46</f>
        <v>1384619.7364743389</v>
      </c>
      <c r="F52" s="74"/>
      <c r="G52" s="77">
        <f>G29+G46</f>
        <v>1295198.4269680998</v>
      </c>
      <c r="H52" s="74"/>
      <c r="I52" s="78">
        <f>I29+I46</f>
        <v>526150.36598720518</v>
      </c>
      <c r="J52" s="197"/>
      <c r="K52" s="78">
        <f>K29+K46</f>
        <v>5241.428420199999</v>
      </c>
      <c r="L52" s="197"/>
      <c r="M52" s="78">
        <f>M29+M46</f>
        <v>894.03652159999979</v>
      </c>
      <c r="N52" s="197"/>
      <c r="O52" s="363">
        <f>(+[47]Report!AC63+[16]Report!AQ63+[40]Report!AK63+[46]Report!AA63)/1000</f>
        <v>311912.65950739995</v>
      </c>
      <c r="P52" s="197"/>
      <c r="Q52" s="60">
        <f>([35]Report!AS63+[36]Report!Q63+[38]Report!AQ63+[37]Report!AQ63+[39]Report!AE63)/1000</f>
        <v>139717.9018465</v>
      </c>
      <c r="R52" s="197"/>
      <c r="S52" s="60">
        <f>(+[11]Report!AE63+[13]Report!K63+[28]Report!AQ63+[29]Report!AQ63+[79]Report!AQ63+[87]Report!K63)/1000</f>
        <v>53558.364461199992</v>
      </c>
      <c r="T52" s="197"/>
      <c r="U52" s="47">
        <f>([44]Report!AM63+[41]Report!AK63+[19]Report!X63+[14]Report!O63+[43]Report!AQ63+[43]Report!M63+[42]Report!M63+[42]Report!Z63)/1000</f>
        <v>374641.3379046999</v>
      </c>
      <c r="V52" s="197"/>
      <c r="W52" s="60">
        <f>('[18]Financial Summary'!AC63+[30]Report!AQ63+[32]Report!W63+[31]Report!AQ63+[33]Report!AG63+[34]Report!CI63+[45]Report!AA63+[83]Report!W63)/1000</f>
        <v>91806.156282500015</v>
      </c>
      <c r="X52" s="197"/>
      <c r="Y52" s="60">
        <f>(+[48]Report!AC63+[12]Report!K63)/1000</f>
        <v>14852.742921900001</v>
      </c>
      <c r="Z52" s="197"/>
      <c r="AA52" s="60">
        <f>(+[9]Report!AM63)/1000</f>
        <v>116168.99143720001</v>
      </c>
      <c r="AB52" s="197"/>
      <c r="AC52" s="78">
        <f>AC29+AC46</f>
        <v>2965998.7207856565</v>
      </c>
      <c r="AD52" s="197"/>
      <c r="AE52" s="78"/>
      <c r="AF52" s="197"/>
      <c r="AG52" s="78"/>
      <c r="AH52" s="197"/>
      <c r="AI52" s="78"/>
      <c r="AJ52" s="197"/>
      <c r="AK52" s="78"/>
      <c r="AL52" s="197"/>
      <c r="AM52" s="360">
        <f>+C52+G52+I52+O52+Q52+S52+U52+W52+Y52+AA52</f>
        <v>4995509.0192281064</v>
      </c>
      <c r="AN52" s="22"/>
      <c r="AO52" s="47">
        <f>[57]Report!AG63+[77]Report!O63+[67]Report!AH63+[73]Report!G63+[52]Report!AC63+[51]Report!AA63+[75]Report!O63+[78]Report!I63</f>
        <v>273200.18926385551</v>
      </c>
      <c r="AP52" s="1"/>
      <c r="AQ52" s="60">
        <f>[90]Report!AC63+[96]Report!M63+[72]Report!C63+[101]Report!U63+[102]Report!U63+[100]Report!U63+[99]Report!AH63+[91]Report!AC63+[95]Report!AK63</f>
        <v>-104239.56359279132</v>
      </c>
      <c r="AR52" s="1"/>
      <c r="AS52" s="78">
        <f>AS29+AS46</f>
        <v>508647.40441535099</v>
      </c>
      <c r="AT52" s="1"/>
      <c r="AU52" s="47">
        <f>[56]Report!AW63+[103]Report!AN63+[74]Report!S63+[69]Report!AI63+[64]Report!AQ63+[63]Report!AQ63+[62]Report!AQ63+[62]Report!BO63+[61]Report!AG63+[70]Report!X63+[76]Report!S63+[71]Report!X63+[82]Report!W63</f>
        <v>70227.291242372507</v>
      </c>
      <c r="AV52" s="1"/>
      <c r="AW52" s="77">
        <f>AW29+AW46</f>
        <v>182687.16851986173</v>
      </c>
      <c r="AX52" s="77"/>
      <c r="AY52" s="77">
        <f>AY29+AY46</f>
        <v>4610.6415175057764</v>
      </c>
      <c r="AZ52" s="77"/>
      <c r="BA52" s="77">
        <f>BA29+BA46</f>
        <v>52575.803</v>
      </c>
      <c r="BB52" s="1"/>
      <c r="BC52" s="78">
        <f>BC29+BC46</f>
        <v>-74443.680470494306</v>
      </c>
      <c r="BD52" s="1"/>
      <c r="BE52" s="66">
        <f>CK52</f>
        <v>868791.59164376277</v>
      </c>
      <c r="BF52" s="1"/>
      <c r="BG52" s="77">
        <f>BG29+BG46</f>
        <v>8712.9403542394684</v>
      </c>
      <c r="BH52" s="114"/>
      <c r="BI52" s="67">
        <f>+[55]Report!AE63</f>
        <v>21657.631257135246</v>
      </c>
      <c r="BJ52" s="114"/>
      <c r="BK52" s="365">
        <v>-261.42599999999999</v>
      </c>
      <c r="BL52" s="114"/>
      <c r="BM52" s="114"/>
      <c r="BN52" s="114"/>
      <c r="BO52" s="114"/>
      <c r="BP52" s="1"/>
      <c r="BQ52" s="64">
        <f>+AO52+AQ52+AS52+AU52+AW52+AY52+BA52+BC52+BE52+BG52+BI52+BK52+BM52+BO52</f>
        <v>1812165.9911507983</v>
      </c>
      <c r="BR52" s="1"/>
      <c r="BS52" s="77">
        <f>BS29+BS46</f>
        <v>100725.00624449998</v>
      </c>
      <c r="BT52" s="114"/>
      <c r="BU52" s="363">
        <f>[105]Report!AR63</f>
        <v>71237.139197900004</v>
      </c>
      <c r="BV52" s="114"/>
      <c r="BW52" s="77"/>
      <c r="BX52" s="114"/>
      <c r="BY52" s="77"/>
      <c r="BZ52" s="114"/>
      <c r="CA52" s="77"/>
      <c r="CB52" s="75"/>
      <c r="CC52" s="50">
        <f>+BS52+BU52+BW52+BY52+CA52</f>
        <v>171962.14544239998</v>
      </c>
      <c r="CD52" s="76"/>
      <c r="CE52" s="70">
        <f>+CC52+BQ52+AM52</f>
        <v>6979637.1558213048</v>
      </c>
      <c r="CF52" s="41"/>
      <c r="CG52" s="79" t="s">
        <v>34</v>
      </c>
      <c r="CI52" s="77">
        <f>CI29+CI46</f>
        <v>506259.84120228002</v>
      </c>
      <c r="CJ52" s="77">
        <f>CJ29+CJ46</f>
        <v>362531.7504414827</v>
      </c>
      <c r="CK52" s="65">
        <f>CI52+CJ52</f>
        <v>868791.59164376277</v>
      </c>
      <c r="CL52"/>
      <c r="CM52"/>
      <c r="CN52" s="85"/>
    </row>
    <row r="53" spans="1:92" s="147" customFormat="1" ht="15.6">
      <c r="A53" s="7"/>
      <c r="B53" s="140"/>
      <c r="C53" s="141"/>
      <c r="D53" s="120"/>
      <c r="E53" s="141"/>
      <c r="F53" s="142"/>
      <c r="G53" s="120"/>
      <c r="H53" s="142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529"/>
      <c r="AN53" s="22"/>
      <c r="AO53" s="141"/>
      <c r="AP53" s="1"/>
      <c r="AQ53" s="117"/>
      <c r="AR53" s="1"/>
      <c r="AS53" s="121"/>
      <c r="AT53" s="1"/>
      <c r="AU53" s="141"/>
      <c r="AV53" s="1"/>
      <c r="AW53" s="143"/>
      <c r="AX53" s="143"/>
      <c r="AY53" s="143"/>
      <c r="AZ53" s="143"/>
      <c r="BA53" s="143"/>
      <c r="BB53" s="1"/>
      <c r="BC53" s="5"/>
      <c r="BD53" s="1"/>
      <c r="BE53" s="117"/>
      <c r="BF53" s="1"/>
      <c r="BG53" s="116"/>
      <c r="BH53" s="116"/>
      <c r="BI53" s="116"/>
      <c r="BJ53" s="116"/>
      <c r="BK53" s="116"/>
      <c r="BL53" s="116"/>
      <c r="BM53" s="116"/>
      <c r="BN53" s="116"/>
      <c r="BO53" s="116"/>
      <c r="BP53" s="1"/>
      <c r="BQ53" s="395"/>
      <c r="BR53" s="1"/>
      <c r="BS53" s="143"/>
      <c r="BT53" s="116"/>
      <c r="BU53" s="143"/>
      <c r="BV53" s="116"/>
      <c r="BW53" s="143"/>
      <c r="BX53" s="116"/>
      <c r="BY53" s="143"/>
      <c r="BZ53" s="116"/>
      <c r="CA53" s="143"/>
      <c r="CB53" s="40"/>
      <c r="CC53" s="531"/>
      <c r="CD53" s="146"/>
      <c r="CE53" s="5"/>
      <c r="CF53" s="137"/>
      <c r="CG53" s="5" t="s">
        <v>3</v>
      </c>
      <c r="CH53" s="5"/>
      <c r="CI53" s="126"/>
      <c r="CJ53" s="126"/>
      <c r="CK53" s="145"/>
      <c r="CL53"/>
      <c r="CM53"/>
    </row>
    <row r="54" spans="1:92" s="5" customFormat="1" ht="16.5" customHeight="1">
      <c r="A54" s="270"/>
      <c r="B54" s="221"/>
      <c r="C54" s="370"/>
      <c r="D54" s="366"/>
      <c r="E54" s="370"/>
      <c r="F54" s="366"/>
      <c r="G54" s="370"/>
      <c r="H54" s="366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0"/>
      <c r="AI54" s="370"/>
      <c r="AJ54" s="370"/>
      <c r="AK54" s="370"/>
      <c r="AL54" s="370"/>
      <c r="AM54" s="370"/>
      <c r="AN54" s="129"/>
      <c r="AO54" s="370"/>
      <c r="AP54" s="129"/>
      <c r="AQ54" s="370"/>
      <c r="AR54" s="129"/>
      <c r="AS54" s="370"/>
      <c r="AT54" s="129"/>
      <c r="AU54" s="371"/>
      <c r="AV54" s="129"/>
      <c r="AW54" s="371"/>
      <c r="AX54" s="371"/>
      <c r="AY54" s="371"/>
      <c r="AZ54" s="371"/>
      <c r="BA54" s="371"/>
      <c r="BB54" s="129"/>
      <c r="BC54" s="370"/>
      <c r="BD54" s="129"/>
      <c r="BE54" s="370"/>
      <c r="BF54" s="129"/>
      <c r="BG54" s="370"/>
      <c r="BH54" s="370"/>
      <c r="BI54" s="370"/>
      <c r="BJ54" s="370"/>
      <c r="BK54" s="370"/>
      <c r="BL54" s="370"/>
      <c r="BM54" s="370"/>
      <c r="BN54" s="370"/>
      <c r="BO54" s="370"/>
      <c r="BP54" s="129"/>
      <c r="BQ54" s="221"/>
      <c r="BR54" s="129"/>
      <c r="BS54" s="371"/>
      <c r="BT54" s="370"/>
      <c r="BU54" s="371"/>
      <c r="BV54" s="370"/>
      <c r="BW54" s="371"/>
      <c r="BX54" s="370"/>
      <c r="BY54" s="371"/>
      <c r="BZ54" s="370"/>
      <c r="CA54" s="371"/>
      <c r="CB54" s="260"/>
      <c r="CC54" s="366"/>
      <c r="CD54" s="372"/>
      <c r="CE54" s="372"/>
      <c r="CF54" s="137"/>
      <c r="CG54" s="52" t="s">
        <v>51</v>
      </c>
      <c r="CI54" s="125">
        <f>CI52-SUM(CI49:CI51)</f>
        <v>700325.51226210722</v>
      </c>
      <c r="CJ54" s="125">
        <f>CJ52-SUM(CJ49:CJ51)</f>
        <v>-13150.086031350831</v>
      </c>
      <c r="CK54" s="148">
        <f>CK52-SUM(CK49:CK51)</f>
        <v>687175.42623075645</v>
      </c>
      <c r="CL54"/>
      <c r="CM54"/>
    </row>
    <row r="55" spans="1:92" s="4" customFormat="1" ht="15.6">
      <c r="A55" s="373"/>
      <c r="B55" s="374"/>
      <c r="C55" s="197"/>
      <c r="D55" s="12"/>
      <c r="E55" s="197"/>
      <c r="F55" s="12"/>
      <c r="G55" s="197"/>
      <c r="H55" s="12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22"/>
      <c r="AO55" s="197"/>
      <c r="AP55" s="22"/>
      <c r="AQ55" s="197"/>
      <c r="AR55" s="22"/>
      <c r="AS55" s="197"/>
      <c r="AT55" s="22"/>
      <c r="AU55" s="197"/>
      <c r="AV55" s="22"/>
      <c r="AW55" s="197"/>
      <c r="AX55" s="197"/>
      <c r="AY55" s="197"/>
      <c r="AZ55" s="197"/>
      <c r="BA55" s="197"/>
      <c r="BB55" s="22"/>
      <c r="BC55" s="197"/>
      <c r="BD55" s="22"/>
      <c r="BE55" s="197"/>
      <c r="BF55" s="22"/>
      <c r="BG55" s="197"/>
      <c r="BH55" s="197"/>
      <c r="BI55" s="197"/>
      <c r="BJ55" s="197"/>
      <c r="BK55" s="197"/>
      <c r="BL55" s="197"/>
      <c r="BM55" s="197"/>
      <c r="BN55" s="197"/>
      <c r="BO55" s="197"/>
      <c r="BP55" s="22"/>
      <c r="BQ55" s="197"/>
      <c r="BR55" s="22"/>
      <c r="BS55" s="197"/>
      <c r="BT55" s="197"/>
      <c r="BU55" s="197"/>
      <c r="BV55" s="197"/>
      <c r="BW55" s="197"/>
      <c r="BX55" s="197"/>
      <c r="BY55" s="197"/>
      <c r="BZ55" s="197"/>
      <c r="CA55" s="197"/>
      <c r="CB55" s="375"/>
      <c r="CC55" s="197"/>
      <c r="CD55" s="376"/>
      <c r="CE55" s="197"/>
      <c r="CF55" s="41"/>
      <c r="CG55" s="79" t="s">
        <v>34</v>
      </c>
      <c r="CI55" s="70">
        <v>73210.040676955046</v>
      </c>
      <c r="CJ55" s="70">
        <v>423746.88109722344</v>
      </c>
      <c r="CK55" s="65">
        <v>496956.92177417898</v>
      </c>
      <c r="CL55"/>
      <c r="CM55"/>
    </row>
    <row r="56" spans="1:92" s="147" customFormat="1" ht="15.6">
      <c r="A56" s="266"/>
      <c r="B56" s="377"/>
      <c r="C56" s="378"/>
      <c r="D56" s="368"/>
      <c r="E56" s="114"/>
      <c r="F56" s="368"/>
      <c r="G56" s="114"/>
      <c r="H56" s="368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"/>
      <c r="AO56" s="379"/>
      <c r="AP56" s="22"/>
      <c r="AQ56" s="380"/>
      <c r="AR56" s="22"/>
      <c r="AS56" s="227"/>
      <c r="AT56" s="22"/>
      <c r="AU56" s="379"/>
      <c r="AV56" s="22"/>
      <c r="AW56" s="379"/>
      <c r="AX56" s="379"/>
      <c r="AY56" s="379"/>
      <c r="AZ56" s="379"/>
      <c r="BA56" s="379"/>
      <c r="BB56" s="22"/>
      <c r="BC56" s="381"/>
      <c r="BD56" s="22"/>
      <c r="BE56" s="379"/>
      <c r="BF56" s="22"/>
      <c r="BG56" s="379"/>
      <c r="BH56" s="379"/>
      <c r="BI56" s="379"/>
      <c r="BJ56" s="379"/>
      <c r="BK56" s="379"/>
      <c r="BL56" s="379"/>
      <c r="BM56" s="379"/>
      <c r="BN56" s="379"/>
      <c r="BO56" s="379"/>
      <c r="BP56" s="22"/>
      <c r="BQ56" s="227"/>
      <c r="BR56" s="22"/>
      <c r="BS56" s="379"/>
      <c r="BT56" s="379"/>
      <c r="BU56" s="379"/>
      <c r="BV56" s="379"/>
      <c r="BW56" s="379"/>
      <c r="BX56" s="379"/>
      <c r="BY56" s="379"/>
      <c r="BZ56" s="379"/>
      <c r="CA56" s="379"/>
      <c r="CB56" s="382"/>
      <c r="CC56" s="379"/>
      <c r="CD56" s="383"/>
      <c r="CE56" s="381"/>
      <c r="CF56" s="151"/>
      <c r="CG56" s="48"/>
      <c r="CI56" s="149"/>
      <c r="CJ56" s="149"/>
      <c r="CK56" s="150"/>
      <c r="CL56"/>
      <c r="CM56"/>
    </row>
    <row r="57" spans="1:92" s="48" customFormat="1" ht="14.1" customHeight="1">
      <c r="A57" s="384"/>
      <c r="B57" s="266"/>
      <c r="C57" s="370"/>
      <c r="D57" s="366"/>
      <c r="E57" s="370"/>
      <c r="F57" s="366"/>
      <c r="G57" s="370"/>
      <c r="H57" s="366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129"/>
      <c r="AO57" s="370"/>
      <c r="AP57" s="129"/>
      <c r="AQ57" s="370"/>
      <c r="AR57" s="129"/>
      <c r="AS57" s="370"/>
      <c r="AT57" s="129"/>
      <c r="AU57" s="370"/>
      <c r="AV57" s="129"/>
      <c r="AW57" s="371"/>
      <c r="AX57" s="371"/>
      <c r="AY57" s="371"/>
      <c r="AZ57" s="371"/>
      <c r="BA57" s="371"/>
      <c r="BB57" s="129"/>
      <c r="BC57" s="370"/>
      <c r="BD57" s="129"/>
      <c r="BE57" s="370"/>
      <c r="BF57" s="129"/>
      <c r="BG57" s="370"/>
      <c r="BH57" s="370"/>
      <c r="BI57" s="370"/>
      <c r="BJ57" s="370"/>
      <c r="BK57" s="370"/>
      <c r="BL57" s="370"/>
      <c r="BM57" s="370"/>
      <c r="BN57" s="370"/>
      <c r="BO57" s="370"/>
      <c r="BP57" s="129"/>
      <c r="BQ57" s="12"/>
      <c r="BR57" s="129"/>
      <c r="BS57" s="371"/>
      <c r="BT57" s="370"/>
      <c r="BU57" s="371"/>
      <c r="BV57" s="370"/>
      <c r="BW57" s="371"/>
      <c r="BX57" s="370"/>
      <c r="BY57" s="371"/>
      <c r="BZ57" s="370"/>
      <c r="CA57" s="371"/>
      <c r="CB57" s="372"/>
      <c r="CC57" s="385"/>
      <c r="CD57" s="372"/>
      <c r="CE57" s="372"/>
      <c r="CF57" s="137"/>
      <c r="CG57" s="52" t="s">
        <v>52</v>
      </c>
      <c r="CH57" s="5"/>
      <c r="CI57" s="125">
        <f>SUM(CI58:CI60)-CI52+CI55</f>
        <v>-627115.47158515221</v>
      </c>
      <c r="CJ57" s="125">
        <f>SUM(CJ58:CJ60)-CJ52+CJ55</f>
        <v>436896.96712857427</v>
      </c>
      <c r="CK57" s="148">
        <f>SUM(CK58:CK60)-CK52+CK55</f>
        <v>-190218.50445657747</v>
      </c>
      <c r="CL57"/>
      <c r="CM57"/>
    </row>
    <row r="58" spans="1:92" s="4" customFormat="1" ht="14.1" customHeight="1">
      <c r="A58" s="10"/>
      <c r="B58" s="377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22"/>
      <c r="AO58" s="114"/>
      <c r="AP58" s="22"/>
      <c r="AQ58" s="114"/>
      <c r="AR58" s="22"/>
      <c r="AS58" s="114"/>
      <c r="AT58" s="22"/>
      <c r="AU58" s="114"/>
      <c r="AV58" s="22"/>
      <c r="AW58" s="114"/>
      <c r="AX58" s="114"/>
      <c r="AY58" s="114"/>
      <c r="AZ58" s="114"/>
      <c r="BA58" s="114"/>
      <c r="BB58" s="22"/>
      <c r="BC58" s="114"/>
      <c r="BD58" s="22"/>
      <c r="BE58" s="114"/>
      <c r="BF58" s="22"/>
      <c r="BG58" s="114"/>
      <c r="BH58" s="114"/>
      <c r="BI58" s="114"/>
      <c r="BJ58" s="114"/>
      <c r="BK58" s="114"/>
      <c r="BL58" s="114"/>
      <c r="BM58" s="114"/>
      <c r="BN58" s="114"/>
      <c r="BO58" s="114"/>
      <c r="BP58" s="22"/>
      <c r="BQ58" s="197"/>
      <c r="BR58" s="22"/>
      <c r="BS58" s="114"/>
      <c r="BT58" s="114"/>
      <c r="BU58" s="114"/>
      <c r="BV58" s="114"/>
      <c r="BW58" s="114"/>
      <c r="BX58" s="114"/>
      <c r="BY58" s="114"/>
      <c r="BZ58" s="114"/>
      <c r="CA58" s="114"/>
      <c r="CB58" s="375"/>
      <c r="CC58" s="197"/>
      <c r="CD58" s="376"/>
      <c r="CE58" s="197"/>
      <c r="CF58" s="41"/>
      <c r="CG58" s="41" t="s">
        <v>31</v>
      </c>
      <c r="CI58" s="66">
        <f t="shared" ref="CI58:CK61" si="6">CI49</f>
        <v>-93887.934419139987</v>
      </c>
      <c r="CJ58" s="66">
        <f t="shared" si="6"/>
        <v>142971.21663335437</v>
      </c>
      <c r="CK58" s="65">
        <f t="shared" si="6"/>
        <v>49083.282214214385</v>
      </c>
      <c r="CL58"/>
      <c r="CM58"/>
    </row>
    <row r="59" spans="1:92" s="4" customFormat="1" ht="14.1" customHeight="1">
      <c r="A59" s="10"/>
      <c r="B59" s="386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22"/>
      <c r="AO59" s="114"/>
      <c r="AP59" s="22"/>
      <c r="AQ59" s="114"/>
      <c r="AR59" s="22"/>
      <c r="AS59" s="114"/>
      <c r="AT59" s="22"/>
      <c r="AU59" s="114"/>
      <c r="AV59" s="22"/>
      <c r="AW59" s="114"/>
      <c r="AX59" s="114"/>
      <c r="AY59" s="114"/>
      <c r="AZ59" s="114"/>
      <c r="BA59" s="114"/>
      <c r="BB59" s="22"/>
      <c r="BC59" s="114"/>
      <c r="BD59" s="22"/>
      <c r="BE59" s="114"/>
      <c r="BF59" s="22"/>
      <c r="BG59" s="114"/>
      <c r="BH59" s="114"/>
      <c r="BI59" s="114"/>
      <c r="BJ59" s="114"/>
      <c r="BK59" s="114"/>
      <c r="BL59" s="114"/>
      <c r="BM59" s="114"/>
      <c r="BN59" s="114"/>
      <c r="BO59" s="114"/>
      <c r="BP59" s="22"/>
      <c r="BQ59" s="197"/>
      <c r="BR59" s="22"/>
      <c r="BS59" s="114"/>
      <c r="BT59" s="114"/>
      <c r="BU59" s="114"/>
      <c r="BV59" s="114"/>
      <c r="BW59" s="114"/>
      <c r="BX59" s="114"/>
      <c r="BY59" s="114"/>
      <c r="BZ59" s="114"/>
      <c r="CA59" s="114"/>
      <c r="CB59" s="260"/>
      <c r="CC59" s="197"/>
      <c r="CD59" s="386"/>
      <c r="CE59" s="197"/>
      <c r="CF59" s="41"/>
      <c r="CG59" s="41" t="s">
        <v>53</v>
      </c>
      <c r="CI59" s="66">
        <f t="shared" si="6"/>
        <v>0</v>
      </c>
      <c r="CJ59" s="66">
        <f t="shared" si="6"/>
        <v>0</v>
      </c>
      <c r="CK59" s="65">
        <f t="shared" si="6"/>
        <v>0</v>
      </c>
      <c r="CL59"/>
      <c r="CM59"/>
    </row>
    <row r="60" spans="1:92" s="4" customFormat="1" ht="14.1" customHeight="1">
      <c r="A60" s="10"/>
      <c r="B60" s="386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22"/>
      <c r="AO60" s="114"/>
      <c r="AP60" s="22"/>
      <c r="AQ60" s="114"/>
      <c r="AR60" s="22"/>
      <c r="AS60" s="114"/>
      <c r="AT60" s="22"/>
      <c r="AU60" s="114"/>
      <c r="AV60" s="22"/>
      <c r="AW60" s="114"/>
      <c r="AX60" s="114"/>
      <c r="AY60" s="114"/>
      <c r="AZ60" s="114"/>
      <c r="BA60" s="114"/>
      <c r="BB60" s="22"/>
      <c r="BC60" s="114"/>
      <c r="BD60" s="22"/>
      <c r="BE60" s="114"/>
      <c r="BF60" s="22"/>
      <c r="BG60" s="114"/>
      <c r="BH60" s="114"/>
      <c r="BI60" s="114"/>
      <c r="BJ60" s="114"/>
      <c r="BK60" s="114"/>
      <c r="BL60" s="114"/>
      <c r="BM60" s="114"/>
      <c r="BN60" s="114"/>
      <c r="BO60" s="114"/>
      <c r="BP60" s="22"/>
      <c r="BQ60" s="197"/>
      <c r="BR60" s="22"/>
      <c r="BS60" s="114"/>
      <c r="BT60" s="114"/>
      <c r="BU60" s="114"/>
      <c r="BV60" s="114"/>
      <c r="BW60" s="114"/>
      <c r="BX60" s="114"/>
      <c r="BY60" s="114"/>
      <c r="BZ60" s="114"/>
      <c r="CA60" s="114"/>
      <c r="CB60" s="260"/>
      <c r="CC60" s="197"/>
      <c r="CD60" s="386"/>
      <c r="CE60" s="197"/>
      <c r="CG60" s="41" t="s">
        <v>33</v>
      </c>
      <c r="CI60" s="66">
        <f t="shared" si="6"/>
        <v>-100177.73664068725</v>
      </c>
      <c r="CJ60" s="66">
        <f t="shared" si="6"/>
        <v>232710.61983947919</v>
      </c>
      <c r="CK60" s="65">
        <f t="shared" si="6"/>
        <v>132532.88319879194</v>
      </c>
      <c r="CL60"/>
      <c r="CM60"/>
    </row>
    <row r="61" spans="1:92" s="4" customFormat="1" ht="14.25" customHeight="1">
      <c r="A61" s="10"/>
      <c r="B61" s="260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22"/>
      <c r="AO61" s="114"/>
      <c r="AP61" s="22"/>
      <c r="AQ61" s="114"/>
      <c r="AR61" s="22"/>
      <c r="AS61" s="114"/>
      <c r="AT61" s="22"/>
      <c r="AU61" s="114"/>
      <c r="AV61" s="22"/>
      <c r="AW61" s="114"/>
      <c r="AX61" s="114"/>
      <c r="AY61" s="114"/>
      <c r="AZ61" s="114"/>
      <c r="BA61" s="114"/>
      <c r="BB61" s="22"/>
      <c r="BC61" s="114"/>
      <c r="BD61" s="22"/>
      <c r="BE61" s="114"/>
      <c r="BF61" s="22"/>
      <c r="BG61" s="114"/>
      <c r="BH61" s="114"/>
      <c r="BI61" s="114"/>
      <c r="BJ61" s="114"/>
      <c r="BK61" s="114"/>
      <c r="BL61" s="114"/>
      <c r="BM61" s="114"/>
      <c r="BN61" s="114"/>
      <c r="BO61" s="114"/>
      <c r="BP61" s="22"/>
      <c r="BQ61" s="197"/>
      <c r="BR61" s="22"/>
      <c r="BS61" s="114"/>
      <c r="BT61" s="114"/>
      <c r="BU61" s="114"/>
      <c r="BV61" s="114"/>
      <c r="BW61" s="114"/>
      <c r="BX61" s="114"/>
      <c r="BY61" s="114"/>
      <c r="BZ61" s="114"/>
      <c r="CA61" s="114"/>
      <c r="CB61" s="225"/>
      <c r="CC61" s="197"/>
      <c r="CD61" s="225"/>
      <c r="CE61" s="197"/>
      <c r="CG61" s="39" t="s">
        <v>34</v>
      </c>
      <c r="CI61" s="66">
        <f t="shared" si="6"/>
        <v>506259.84120228002</v>
      </c>
      <c r="CJ61" s="66">
        <f t="shared" si="6"/>
        <v>362531.7504414827</v>
      </c>
      <c r="CK61" s="65">
        <f t="shared" si="6"/>
        <v>868791.59164376277</v>
      </c>
      <c r="CL61"/>
      <c r="CM61"/>
    </row>
    <row r="62" spans="1:92" s="4" customFormat="1" ht="13.5" customHeight="1">
      <c r="A62" s="10"/>
      <c r="B62" s="260"/>
      <c r="C62" s="114"/>
      <c r="D62" s="114"/>
      <c r="E62" s="114"/>
      <c r="F62" s="114"/>
      <c r="G62" s="114"/>
      <c r="H62" s="114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22"/>
      <c r="AO62" s="114"/>
      <c r="AP62" s="22"/>
      <c r="AQ62" s="114"/>
      <c r="AR62" s="22"/>
      <c r="AS62" s="197"/>
      <c r="AT62" s="22"/>
      <c r="AU62" s="114"/>
      <c r="AV62" s="22"/>
      <c r="AW62" s="114"/>
      <c r="AX62" s="114"/>
      <c r="AY62" s="114"/>
      <c r="AZ62" s="114"/>
      <c r="BA62" s="114"/>
      <c r="BB62" s="22"/>
      <c r="BC62" s="197"/>
      <c r="BD62" s="22"/>
      <c r="BE62" s="114"/>
      <c r="BF62" s="22"/>
      <c r="BG62" s="197"/>
      <c r="BH62" s="197"/>
      <c r="BI62" s="197"/>
      <c r="BJ62" s="197"/>
      <c r="BK62" s="197"/>
      <c r="BL62" s="197"/>
      <c r="BM62" s="197"/>
      <c r="BN62" s="197"/>
      <c r="BO62" s="197"/>
      <c r="BP62" s="22"/>
      <c r="BQ62" s="197"/>
      <c r="BR62" s="22"/>
      <c r="BS62" s="114"/>
      <c r="BT62" s="197"/>
      <c r="BU62" s="114"/>
      <c r="BV62" s="197"/>
      <c r="BW62" s="114"/>
      <c r="BX62" s="197"/>
      <c r="BY62" s="114"/>
      <c r="BZ62" s="197"/>
      <c r="CA62" s="114"/>
      <c r="CB62" s="260"/>
      <c r="CC62" s="197"/>
      <c r="CD62" s="225"/>
      <c r="CE62" s="197"/>
      <c r="CG62" s="10"/>
      <c r="CH62" s="13"/>
      <c r="CI62" s="114"/>
      <c r="CJ62" s="114"/>
      <c r="CK62" s="114"/>
      <c r="CL62"/>
      <c r="CM62"/>
    </row>
    <row r="63" spans="1:92" s="48" customFormat="1" ht="16.5" customHeight="1">
      <c r="A63" s="266"/>
      <c r="B63" s="387"/>
      <c r="C63" s="388"/>
      <c r="D63" s="114"/>
      <c r="E63" s="388"/>
      <c r="F63" s="114"/>
      <c r="G63" s="388"/>
      <c r="H63" s="114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2"/>
      <c r="AO63" s="389"/>
      <c r="AP63" s="22"/>
      <c r="AQ63" s="389"/>
      <c r="AR63" s="22"/>
      <c r="AS63" s="266"/>
      <c r="AT63" s="22"/>
      <c r="AU63" s="389"/>
      <c r="AV63" s="22"/>
      <c r="AW63" s="389"/>
      <c r="AX63" s="389"/>
      <c r="AY63" s="389"/>
      <c r="AZ63" s="389"/>
      <c r="BA63" s="389"/>
      <c r="BB63" s="22"/>
      <c r="BC63" s="266"/>
      <c r="BD63" s="22"/>
      <c r="BE63" s="389"/>
      <c r="BF63" s="22"/>
      <c r="BG63" s="266"/>
      <c r="BH63" s="266"/>
      <c r="BI63" s="266"/>
      <c r="BJ63" s="266"/>
      <c r="BK63" s="266"/>
      <c r="BL63" s="266"/>
      <c r="BM63" s="266"/>
      <c r="BN63" s="266"/>
      <c r="BO63" s="266"/>
      <c r="BP63" s="22"/>
      <c r="BQ63" s="266"/>
      <c r="BR63" s="22"/>
      <c r="BS63" s="389"/>
      <c r="BT63" s="266"/>
      <c r="BU63" s="389"/>
      <c r="BV63" s="266"/>
      <c r="BW63" s="389"/>
      <c r="BX63" s="266"/>
      <c r="BY63" s="389"/>
      <c r="BZ63" s="266"/>
      <c r="CA63" s="389"/>
      <c r="CB63" s="389"/>
      <c r="CC63" s="266"/>
      <c r="CD63" s="389"/>
      <c r="CE63" s="233"/>
      <c r="CG63" s="266"/>
      <c r="CH63" s="266"/>
      <c r="CI63" s="389"/>
      <c r="CJ63" s="389"/>
      <c r="CK63" s="389"/>
      <c r="CL63"/>
      <c r="CM63"/>
    </row>
    <row r="64" spans="1:92" s="48" customFormat="1" ht="14.1" customHeight="1">
      <c r="A64" s="266"/>
      <c r="B64" s="387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22"/>
      <c r="AO64" s="114"/>
      <c r="AP64" s="22"/>
      <c r="AQ64" s="114"/>
      <c r="AR64" s="22"/>
      <c r="AS64" s="114"/>
      <c r="AT64" s="22"/>
      <c r="AU64" s="114"/>
      <c r="AV64" s="22"/>
      <c r="AW64" s="114"/>
      <c r="AX64" s="114"/>
      <c r="AY64" s="114"/>
      <c r="AZ64" s="114"/>
      <c r="BA64" s="114"/>
      <c r="BB64" s="22"/>
      <c r="BC64" s="114"/>
      <c r="BD64" s="22"/>
      <c r="BE64" s="114"/>
      <c r="BF64" s="22"/>
      <c r="BG64" s="114"/>
      <c r="BH64" s="114"/>
      <c r="BI64" s="114"/>
      <c r="BJ64" s="114"/>
      <c r="BK64" s="114"/>
      <c r="BL64" s="114"/>
      <c r="BM64" s="114"/>
      <c r="BN64" s="114"/>
      <c r="BO64" s="114"/>
      <c r="BP64" s="22"/>
      <c r="BQ64" s="114"/>
      <c r="BR64" s="22"/>
      <c r="BS64" s="114"/>
      <c r="BT64" s="114"/>
      <c r="BU64" s="114"/>
      <c r="BV64" s="114"/>
      <c r="BW64" s="114"/>
      <c r="BX64" s="114"/>
      <c r="BY64" s="114"/>
      <c r="BZ64" s="114"/>
      <c r="CA64" s="114"/>
      <c r="CB64" s="389"/>
      <c r="CC64" s="197"/>
      <c r="CD64" s="389"/>
      <c r="CE64" s="197"/>
      <c r="CG64" s="266"/>
      <c r="CH64" s="266"/>
      <c r="CI64" s="114"/>
      <c r="CJ64" s="114"/>
      <c r="CK64" s="197"/>
      <c r="CL64"/>
      <c r="CM64"/>
    </row>
    <row r="65" spans="1:95" s="4" customFormat="1" ht="14.1" customHeight="1">
      <c r="A65" s="10"/>
      <c r="B65" s="260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22"/>
      <c r="AO65" s="114"/>
      <c r="AP65" s="22"/>
      <c r="AQ65" s="114"/>
      <c r="AR65" s="22"/>
      <c r="AS65" s="114"/>
      <c r="AT65" s="22"/>
      <c r="AU65" s="114"/>
      <c r="AV65" s="22"/>
      <c r="AW65" s="114"/>
      <c r="AX65" s="114"/>
      <c r="AY65" s="114"/>
      <c r="AZ65" s="114"/>
      <c r="BA65" s="114"/>
      <c r="BB65" s="22"/>
      <c r="BC65" s="114"/>
      <c r="BD65" s="22"/>
      <c r="BE65" s="114"/>
      <c r="BF65" s="22"/>
      <c r="BG65" s="114"/>
      <c r="BH65" s="114"/>
      <c r="BI65" s="114"/>
      <c r="BJ65" s="114"/>
      <c r="BK65" s="114"/>
      <c r="BL65" s="114"/>
      <c r="BM65" s="114"/>
      <c r="BN65" s="114"/>
      <c r="BO65" s="114"/>
      <c r="BP65" s="22"/>
      <c r="BQ65" s="114"/>
      <c r="BR65" s="22"/>
      <c r="BS65" s="114"/>
      <c r="BT65" s="114"/>
      <c r="BU65" s="114"/>
      <c r="BV65" s="114"/>
      <c r="BW65" s="114"/>
      <c r="BX65" s="114"/>
      <c r="BY65" s="114"/>
      <c r="BZ65" s="114"/>
      <c r="CA65" s="114"/>
      <c r="CB65" s="12"/>
      <c r="CC65" s="197"/>
      <c r="CD65" s="12"/>
      <c r="CE65" s="197"/>
      <c r="CG65" s="10"/>
      <c r="CH65" s="13"/>
      <c r="CI65" s="114"/>
      <c r="CJ65" s="114"/>
      <c r="CK65" s="197"/>
      <c r="CL65"/>
      <c r="CM65"/>
    </row>
    <row r="66" spans="1:95" s="4" customFormat="1" ht="14.1" customHeight="1">
      <c r="A66" s="10"/>
      <c r="B66" s="260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22"/>
      <c r="AO66" s="114"/>
      <c r="AP66" s="22"/>
      <c r="AQ66" s="114"/>
      <c r="AR66" s="22"/>
      <c r="AS66" s="114"/>
      <c r="AT66" s="22"/>
      <c r="AU66" s="114"/>
      <c r="AV66" s="22"/>
      <c r="AW66" s="114"/>
      <c r="AX66" s="114"/>
      <c r="AY66" s="114"/>
      <c r="AZ66" s="114"/>
      <c r="BA66" s="114"/>
      <c r="BB66" s="22"/>
      <c r="BC66" s="114"/>
      <c r="BD66" s="22"/>
      <c r="BE66" s="114"/>
      <c r="BF66" s="22"/>
      <c r="BG66" s="114"/>
      <c r="BH66" s="114"/>
      <c r="BI66" s="114"/>
      <c r="BJ66" s="114"/>
      <c r="BK66" s="114"/>
      <c r="BL66" s="114"/>
      <c r="BM66" s="114"/>
      <c r="BN66" s="114"/>
      <c r="BO66" s="114"/>
      <c r="BP66" s="22"/>
      <c r="BQ66" s="114"/>
      <c r="BR66" s="22"/>
      <c r="BS66" s="114"/>
      <c r="BT66" s="114"/>
      <c r="BU66" s="114"/>
      <c r="BV66" s="114"/>
      <c r="BW66" s="114"/>
      <c r="BX66" s="114"/>
      <c r="BY66" s="114"/>
      <c r="BZ66" s="114"/>
      <c r="CA66" s="114"/>
      <c r="CB66" s="12"/>
      <c r="CC66" s="197"/>
      <c r="CD66" s="12"/>
      <c r="CE66" s="197"/>
      <c r="CG66" s="10"/>
      <c r="CH66" s="13"/>
      <c r="CI66" s="114"/>
      <c r="CJ66" s="114"/>
      <c r="CK66" s="197"/>
      <c r="CL66"/>
      <c r="CM66"/>
      <c r="CN66" s="85"/>
      <c r="CO66" s="46"/>
      <c r="CP66" s="46"/>
      <c r="CQ66" s="46"/>
    </row>
    <row r="67" spans="1:95" s="4" customFormat="1" ht="14.1" customHeight="1">
      <c r="A67" s="10"/>
      <c r="B67" s="260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22"/>
      <c r="AO67" s="114"/>
      <c r="AP67" s="22"/>
      <c r="AQ67" s="114"/>
      <c r="AR67" s="22"/>
      <c r="AS67" s="114"/>
      <c r="AT67" s="22"/>
      <c r="AU67" s="114"/>
      <c r="AV67" s="22"/>
      <c r="AW67" s="114"/>
      <c r="AX67" s="114"/>
      <c r="AY67" s="114"/>
      <c r="AZ67" s="114"/>
      <c r="BA67" s="114"/>
      <c r="BB67" s="22"/>
      <c r="BC67" s="114"/>
      <c r="BD67" s="22"/>
      <c r="BE67" s="114"/>
      <c r="BF67" s="22"/>
      <c r="BG67" s="114"/>
      <c r="BH67" s="114"/>
      <c r="BI67" s="114"/>
      <c r="BJ67" s="114"/>
      <c r="BK67" s="114"/>
      <c r="BL67" s="114"/>
      <c r="BM67" s="114"/>
      <c r="BN67" s="114"/>
      <c r="BO67" s="114"/>
      <c r="BP67" s="22"/>
      <c r="BQ67" s="114"/>
      <c r="BR67" s="22"/>
      <c r="BS67" s="114"/>
      <c r="BT67" s="114"/>
      <c r="BU67" s="114"/>
      <c r="BV67" s="114"/>
      <c r="BW67" s="114"/>
      <c r="BX67" s="114"/>
      <c r="BY67" s="114"/>
      <c r="BZ67" s="114"/>
      <c r="CA67" s="114"/>
      <c r="CB67" s="12"/>
      <c r="CC67" s="197"/>
      <c r="CD67" s="12"/>
      <c r="CE67" s="197"/>
      <c r="CG67" s="10"/>
      <c r="CH67" s="13"/>
      <c r="CI67" s="114"/>
      <c r="CJ67" s="114"/>
      <c r="CK67" s="197"/>
      <c r="CL67"/>
      <c r="CM67"/>
      <c r="CN67" s="85"/>
      <c r="CO67" s="46"/>
      <c r="CP67" s="46"/>
      <c r="CQ67" s="46"/>
    </row>
    <row r="68" spans="1:95" s="4" customFormat="1" ht="14.1" customHeight="1">
      <c r="A68" s="10"/>
      <c r="B68" s="260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22"/>
      <c r="AO68" s="114"/>
      <c r="AP68" s="22"/>
      <c r="AQ68" s="114"/>
      <c r="AR68" s="22"/>
      <c r="AS68" s="114"/>
      <c r="AT68" s="22"/>
      <c r="AU68" s="114"/>
      <c r="AV68" s="22"/>
      <c r="AW68" s="114"/>
      <c r="AX68" s="114"/>
      <c r="AY68" s="114"/>
      <c r="AZ68" s="114"/>
      <c r="BA68" s="114"/>
      <c r="BB68" s="22"/>
      <c r="BC68" s="114"/>
      <c r="BD68" s="22"/>
      <c r="BE68" s="114"/>
      <c r="BF68" s="22"/>
      <c r="BG68" s="114"/>
      <c r="BH68" s="114"/>
      <c r="BI68" s="114"/>
      <c r="BJ68" s="114"/>
      <c r="BK68" s="114"/>
      <c r="BL68" s="114"/>
      <c r="BM68" s="114"/>
      <c r="BN68" s="114"/>
      <c r="BO68" s="114"/>
      <c r="BP68" s="22"/>
      <c r="BQ68" s="114"/>
      <c r="BR68" s="22"/>
      <c r="BS68" s="114"/>
      <c r="BT68" s="114"/>
      <c r="BU68" s="114"/>
      <c r="BV68" s="114"/>
      <c r="BW68" s="114"/>
      <c r="BX68" s="114"/>
      <c r="BY68" s="114"/>
      <c r="BZ68" s="114"/>
      <c r="CA68" s="114"/>
      <c r="CB68" s="12"/>
      <c r="CC68" s="197"/>
      <c r="CD68" s="12"/>
      <c r="CE68" s="197"/>
      <c r="CG68" s="10"/>
      <c r="CH68" s="13"/>
      <c r="CI68" s="114"/>
      <c r="CJ68" s="114"/>
      <c r="CK68" s="197"/>
      <c r="CL68"/>
      <c r="CM68"/>
      <c r="CN68" s="85"/>
      <c r="CO68" s="46"/>
      <c r="CP68" s="46"/>
      <c r="CQ68" s="46"/>
    </row>
    <row r="69" spans="1:95" s="4" customFormat="1" ht="15.75" customHeight="1">
      <c r="A69" s="10"/>
      <c r="B69" s="260"/>
      <c r="C69" s="114"/>
      <c r="D69" s="390"/>
      <c r="E69" s="114"/>
      <c r="F69" s="369"/>
      <c r="G69" s="114"/>
      <c r="H69" s="369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22"/>
      <c r="AO69" s="114"/>
      <c r="AP69" s="22"/>
      <c r="AQ69" s="114"/>
      <c r="AR69" s="22"/>
      <c r="AS69" s="114"/>
      <c r="AT69" s="22"/>
      <c r="AU69" s="114"/>
      <c r="AV69" s="22"/>
      <c r="AW69" s="114"/>
      <c r="AX69" s="114"/>
      <c r="AY69" s="114"/>
      <c r="AZ69" s="114"/>
      <c r="BA69" s="114"/>
      <c r="BB69" s="22"/>
      <c r="BC69" s="114"/>
      <c r="BD69" s="22"/>
      <c r="BE69" s="114"/>
      <c r="BF69" s="22"/>
      <c r="BG69" s="114"/>
      <c r="BH69" s="114"/>
      <c r="BI69" s="114"/>
      <c r="BJ69" s="114"/>
      <c r="BK69" s="114"/>
      <c r="BL69" s="114"/>
      <c r="BM69" s="114"/>
      <c r="BN69" s="114"/>
      <c r="BO69" s="114"/>
      <c r="BP69" s="22"/>
      <c r="BQ69" s="114"/>
      <c r="BR69" s="22"/>
      <c r="BS69" s="114"/>
      <c r="BT69" s="114"/>
      <c r="BU69" s="114"/>
      <c r="BV69" s="114"/>
      <c r="BW69" s="114"/>
      <c r="BX69" s="114"/>
      <c r="BY69" s="114"/>
      <c r="BZ69" s="114"/>
      <c r="CA69" s="114"/>
      <c r="CB69" s="391"/>
      <c r="CC69" s="114"/>
      <c r="CD69" s="392"/>
      <c r="CE69" s="114"/>
      <c r="CF69" s="7"/>
      <c r="CG69" s="10"/>
      <c r="CH69" s="13"/>
      <c r="CI69" s="114"/>
      <c r="CJ69" s="114"/>
      <c r="CK69" s="114"/>
      <c r="CL69"/>
      <c r="CM69"/>
      <c r="CN69" s="85"/>
      <c r="CO69" s="46"/>
      <c r="CP69" s="46"/>
      <c r="CQ69" s="46"/>
    </row>
    <row r="70" spans="1:95" s="3" customFormat="1" ht="15" customHeight="1">
      <c r="A70" s="393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"/>
      <c r="AO70" s="225"/>
      <c r="AP70" s="22"/>
      <c r="AQ70" s="225"/>
      <c r="AR70" s="22"/>
      <c r="AS70" s="225"/>
      <c r="AT70" s="22"/>
      <c r="AU70" s="225"/>
      <c r="AV70" s="22"/>
      <c r="AW70" s="225"/>
      <c r="AX70" s="225"/>
      <c r="AY70" s="225"/>
      <c r="AZ70" s="225"/>
      <c r="BA70" s="225"/>
      <c r="BB70" s="225"/>
      <c r="BC70" s="225"/>
      <c r="BD70" s="225"/>
      <c r="BE70" s="225"/>
      <c r="BF70" s="22"/>
      <c r="BG70" s="225"/>
      <c r="BH70" s="225"/>
      <c r="BI70" s="225"/>
      <c r="BJ70" s="225"/>
      <c r="BK70" s="225"/>
      <c r="BL70" s="225"/>
      <c r="BM70" s="225"/>
      <c r="BN70" s="225"/>
      <c r="BO70" s="225"/>
      <c r="BP70" s="22"/>
      <c r="BQ70" s="225"/>
      <c r="BR70" s="22"/>
      <c r="BS70" s="225"/>
      <c r="BT70" s="225"/>
      <c r="BU70" s="225"/>
      <c r="BV70" s="225"/>
      <c r="BW70" s="225"/>
      <c r="BX70" s="225"/>
      <c r="BY70" s="225"/>
      <c r="BZ70" s="225"/>
      <c r="CA70" s="225"/>
      <c r="CB70" s="225"/>
      <c r="CC70" s="225"/>
      <c r="CD70" s="225"/>
      <c r="CE70" s="225"/>
      <c r="CG70" s="225"/>
      <c r="CH70" s="225"/>
      <c r="CI70" s="394"/>
      <c r="CJ70" s="225"/>
      <c r="CK70" s="225"/>
      <c r="CL70"/>
      <c r="CM70"/>
      <c r="CN70" s="40"/>
      <c r="CO70" s="40"/>
      <c r="CP70" s="40"/>
      <c r="CQ70" s="40"/>
    </row>
  </sheetData>
  <mergeCells count="1">
    <mergeCell ref="AS9:BD9"/>
  </mergeCells>
  <phoneticPr fontId="61" type="noConversion"/>
  <pageMargins left="0.64" right="0.33" top="1" bottom="1" header="0.5" footer="0.5"/>
  <pageSetup paperSize="5" scale="42" fitToWidth="2" orientation="landscape" r:id="rId1"/>
  <headerFooter alignWithMargins="0">
    <oddFooter>&amp;L&amp;08O:\NAES\PBCS\2001\2QTR\Jun\&amp;F {&amp;A}&amp;R&amp;08Page &amp;P of &amp;N
&amp;D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Button 9">
              <controlPr defaultSize="0" print="0" autoFill="0" autoLine="0" autoPict="0" macro="[0]!Macro2">
                <anchor moveWithCells="1" sizeWithCells="1">
                  <from>
                    <xdr:col>2</xdr:col>
                    <xdr:colOff>213360</xdr:colOff>
                    <xdr:row>0</xdr:row>
                    <xdr:rowOff>99060</xdr:rowOff>
                  </from>
                  <to>
                    <xdr:col>4</xdr:col>
                    <xdr:colOff>106680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Line="0" autoPict="0" macro="[0]!Macro4">
                <anchor moveWithCells="1" sizeWithCells="1">
                  <from>
                    <xdr:col>4</xdr:col>
                    <xdr:colOff>281940</xdr:colOff>
                    <xdr:row>0</xdr:row>
                    <xdr:rowOff>83820</xdr:rowOff>
                  </from>
                  <to>
                    <xdr:col>6</xdr:col>
                    <xdr:colOff>419100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Button 11">
              <controlPr defaultSize="0" print="0" autoFill="0" autoLine="0" autoPict="0" macro="[0]!Macro3">
                <anchor moveWithCells="1" sizeWithCells="1">
                  <from>
                    <xdr:col>6</xdr:col>
                    <xdr:colOff>586740</xdr:colOff>
                    <xdr:row>0</xdr:row>
                    <xdr:rowOff>68580</xdr:rowOff>
                  </from>
                  <to>
                    <xdr:col>40</xdr:col>
                    <xdr:colOff>647700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" name="Button 12">
              <controlPr defaultSize="0" print="0" autoFill="0" autoLine="0" autoPict="0" macro="[0]!Chgrho">
                <anchor moveWithCells="1" sizeWithCells="1">
                  <from>
                    <xdr:col>40</xdr:col>
                    <xdr:colOff>891540</xdr:colOff>
                    <xdr:row>0</xdr:row>
                    <xdr:rowOff>83820</xdr:rowOff>
                  </from>
                  <to>
                    <xdr:col>42</xdr:col>
                    <xdr:colOff>723900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Pict="0" macro="[0]!change_links">
                <anchor moveWithCells="1" sizeWithCells="1">
                  <from>
                    <xdr:col>1</xdr:col>
                    <xdr:colOff>274320</xdr:colOff>
                    <xdr:row>9</xdr:row>
                    <xdr:rowOff>121920</xdr:rowOff>
                  </from>
                  <to>
                    <xdr:col>4</xdr:col>
                    <xdr:colOff>762000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Pict="0" macro="[0]!Firm_Books">
                <anchor moveWithCells="1" siz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1234440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Pict="0" macro="[0]!Global_Products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1219200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Pict="0" macro="[0]!Update_SINGAPORE">
                <anchor moveWithCells="1" siz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1219200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2" name="Button 21">
              <controlPr defaultSize="0" print="0" autoFill="0" autoPict="0" macro="[0]!Bandwidth">
                <anchor moveWithCells="1" sizeWithCells="1">
                  <from>
                    <xdr:col>48</xdr:col>
                    <xdr:colOff>0</xdr:colOff>
                    <xdr:row>4</xdr:row>
                    <xdr:rowOff>0</xdr:rowOff>
                  </from>
                  <to>
                    <xdr:col>48</xdr:col>
                    <xdr:colOff>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3" name="Button 28">
              <controlPr defaultSize="0" print="0" autoFill="0" autoPict="0" macro="[0]!LONDON_update">
                <anchor moveWithCells="1" sizeWithCells="1">
                  <from>
                    <xdr:col>8</xdr:col>
                    <xdr:colOff>45720</xdr:colOff>
                    <xdr:row>4</xdr:row>
                    <xdr:rowOff>0</xdr:rowOff>
                  </from>
                  <to>
                    <xdr:col>14</xdr:col>
                    <xdr:colOff>22860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4" name="Button 29">
              <controlPr defaultSize="0" print="0" autoFill="0" autoPict="0" macro="[0]!Emerging_Prod">
                <anchor moveWithCells="1" sizeWithCells="1">
                  <from>
                    <xdr:col>14</xdr:col>
                    <xdr:colOff>320040</xdr:colOff>
                    <xdr:row>4</xdr:row>
                    <xdr:rowOff>30480</xdr:rowOff>
                  </from>
                  <to>
                    <xdr:col>16</xdr:col>
                    <xdr:colOff>388620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5" name="Button 30">
              <controlPr defaultSize="0" print="0" autoFill="0" autoPict="0" macro="[0]!Interest_Rate">
                <anchor moveWithCells="1" sizeWithCells="1">
                  <from>
                    <xdr:col>16</xdr:col>
                    <xdr:colOff>617220</xdr:colOff>
                    <xdr:row>4</xdr:row>
                    <xdr:rowOff>0</xdr:rowOff>
                  </from>
                  <to>
                    <xdr:col>18</xdr:col>
                    <xdr:colOff>716280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6" name="Button 31">
              <controlPr defaultSize="0" print="0" autoFill="0" autoPict="0" macro="[0]!Southern_cone_update">
                <anchor moveWithCells="1" sizeWithCells="1">
                  <from>
                    <xdr:col>19</xdr:col>
                    <xdr:colOff>144780</xdr:colOff>
                    <xdr:row>4</xdr:row>
                    <xdr:rowOff>0</xdr:rowOff>
                  </from>
                  <to>
                    <xdr:col>22</xdr:col>
                    <xdr:colOff>236220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7" name="Button 32">
              <controlPr defaultSize="0" print="0" autoFill="0" autoPict="0" macro="[0]!_xludf.Power">
                <anchor moveWithCells="1" sizeWithCells="1">
                  <from>
                    <xdr:col>22</xdr:col>
                    <xdr:colOff>457200</xdr:colOff>
                    <xdr:row>4</xdr:row>
                    <xdr:rowOff>0</xdr:rowOff>
                  </from>
                  <to>
                    <xdr:col>24</xdr:col>
                    <xdr:colOff>716280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8" name="Button 33">
              <controlPr defaultSize="0" print="0" autoFill="0" autoPict="0" macro="[0]!LONDON_update">
                <anchor moveWithCells="1" sizeWithCells="1">
                  <from>
                    <xdr:col>26</xdr:col>
                    <xdr:colOff>30480</xdr:colOff>
                    <xdr:row>4</xdr:row>
                    <xdr:rowOff>7620</xdr:rowOff>
                  </from>
                  <to>
                    <xdr:col>40</xdr:col>
                    <xdr:colOff>441960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9" name="Button 34">
              <controlPr defaultSize="0" print="0" autoFill="0" autoPict="0" macro="[0]!LONDON_update">
                <anchor moveWithCells="1" sizeWithCells="1">
                  <from>
                    <xdr:col>40</xdr:col>
                    <xdr:colOff>1028700</xdr:colOff>
                    <xdr:row>4</xdr:row>
                    <xdr:rowOff>7620</xdr:rowOff>
                  </from>
                  <to>
                    <xdr:col>42</xdr:col>
                    <xdr:colOff>784860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P7572"/>
  <sheetViews>
    <sheetView showGridLines="0" topLeftCell="AZ114" zoomScale="75" zoomScaleNormal="68" workbookViewId="0">
      <selection activeCell="BJ141" sqref="BJ141:BK239"/>
    </sheetView>
  </sheetViews>
  <sheetFormatPr defaultColWidth="14.33203125" defaultRowHeight="15.6"/>
  <cols>
    <col min="1" max="1" width="33.88671875" style="4" customWidth="1"/>
    <col min="2" max="2" width="4.33203125" style="3" customWidth="1"/>
    <col min="3" max="3" width="23.44140625" style="4" customWidth="1"/>
    <col min="4" max="4" width="2" style="5" customWidth="1"/>
    <col min="5" max="5" width="23.44140625" style="4" customWidth="1"/>
    <col min="6" max="6" width="2" style="6" customWidth="1"/>
    <col min="7" max="7" width="23" style="4" customWidth="1"/>
    <col min="8" max="8" width="2.6640625" style="6" hidden="1" customWidth="1"/>
    <col min="9" max="9" width="1.88671875" style="4" hidden="1" customWidth="1"/>
    <col min="10" max="10" width="2" style="1" customWidth="1"/>
    <col min="11" max="11" width="23" style="4" customWidth="1"/>
    <col min="12" max="12" width="2" style="1" customWidth="1"/>
    <col min="13" max="13" width="23.5546875" style="4" customWidth="1"/>
    <col min="14" max="14" width="2" style="1" customWidth="1"/>
    <col min="15" max="15" width="24.109375" style="4" customWidth="1"/>
    <col min="16" max="16" width="2" style="1" customWidth="1"/>
    <col min="17" max="17" width="23.6640625" style="5" customWidth="1"/>
    <col min="18" max="18" width="0.5546875" style="1" customWidth="1"/>
    <col min="19" max="19" width="3" style="4" hidden="1" customWidth="1"/>
    <col min="20" max="20" width="1.44140625" style="1" customWidth="1"/>
    <col min="21" max="21" width="23.6640625" style="4" bestFit="1" customWidth="1"/>
    <col min="22" max="22" width="3.44140625" style="1" customWidth="1"/>
    <col min="23" max="23" width="23.88671875" style="4" customWidth="1"/>
    <col min="24" max="24" width="1.33203125" style="1" customWidth="1"/>
    <col min="25" max="25" width="16.6640625" style="4" customWidth="1"/>
    <col min="26" max="26" width="1" style="1" customWidth="1"/>
    <col min="27" max="27" width="11.88671875" style="4" customWidth="1"/>
    <col min="28" max="28" width="1" style="1" customWidth="1"/>
    <col min="29" max="29" width="11" style="4" customWidth="1"/>
    <col min="30" max="30" width="1" style="1" customWidth="1"/>
    <col min="31" max="31" width="12.109375" style="4" customWidth="1"/>
    <col min="32" max="32" width="1" style="1" customWidth="1"/>
    <col min="33" max="33" width="12.109375" style="4" customWidth="1"/>
    <col min="34" max="34" width="1" style="1" customWidth="1"/>
    <col min="35" max="35" width="14.6640625" style="4" customWidth="1"/>
    <col min="36" max="36" width="1" style="5" customWidth="1"/>
    <col min="37" max="37" width="12.109375" style="4" customWidth="1"/>
    <col min="38" max="38" width="1" style="5" customWidth="1"/>
    <col min="39" max="39" width="14.88671875" style="4" customWidth="1"/>
    <col min="40" max="40" width="12.109375" style="4" customWidth="1"/>
    <col min="41" max="41" width="34.44140625" style="4" customWidth="1"/>
    <col min="42" max="42" width="11" style="4" customWidth="1"/>
    <col min="43" max="44" width="14.44140625" style="4" customWidth="1"/>
    <col min="45" max="45" width="16.109375" style="4" customWidth="1"/>
    <col min="46" max="46" width="10.44140625" style="4" customWidth="1"/>
    <col min="47" max="47" width="6.44140625" style="4" customWidth="1"/>
    <col min="48" max="48" width="34.44140625" style="4" customWidth="1"/>
    <col min="49" max="49" width="9" style="4" customWidth="1"/>
    <col min="50" max="50" width="13.33203125" style="4" customWidth="1"/>
    <col min="51" max="51" width="13.33203125" style="4" hidden="1" customWidth="1"/>
    <col min="52" max="52" width="12.6640625" style="4" customWidth="1"/>
    <col min="53" max="53" width="16" style="4" customWidth="1"/>
    <col min="54" max="54" width="17.44140625" style="4" customWidth="1"/>
    <col min="55" max="55" width="16.6640625" style="4" customWidth="1"/>
    <col min="56" max="56" width="14.5546875" style="4" customWidth="1"/>
    <col min="57" max="57" width="15.33203125" style="4" customWidth="1"/>
    <col min="58" max="58" width="20.88671875" style="4" customWidth="1"/>
    <col min="59" max="60" width="14.44140625" style="4" customWidth="1"/>
    <col min="61" max="61" width="19.6640625" style="4" customWidth="1"/>
    <col min="62" max="63" width="14.109375" style="4" customWidth="1"/>
    <col min="64" max="64" width="14.33203125" style="4"/>
    <col min="65" max="65" width="22.44140625" style="4" customWidth="1"/>
    <col min="66" max="66" width="16.44140625" style="4" customWidth="1"/>
    <col min="67" max="120" width="14.33203125" style="20"/>
    <col min="121" max="16384" width="14.33203125" style="4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120" hidden="1"/>
    <row r="98" spans="1:120" s="153" customFormat="1" ht="14.1" hidden="1" customHeight="1">
      <c r="A98" s="4"/>
      <c r="B98" s="3"/>
      <c r="C98" s="4"/>
      <c r="D98" s="5"/>
      <c r="E98" s="4"/>
      <c r="F98" s="6"/>
      <c r="G98" s="4"/>
      <c r="H98" s="6"/>
      <c r="I98" s="4"/>
      <c r="J98" s="1"/>
      <c r="K98" s="4"/>
      <c r="L98" s="1"/>
      <c r="M98" s="4"/>
      <c r="N98" s="1"/>
      <c r="O98" s="4"/>
      <c r="P98" s="1"/>
      <c r="Q98" s="5"/>
      <c r="R98" s="1"/>
      <c r="S98" s="4"/>
      <c r="T98" s="1"/>
      <c r="U98" s="4"/>
      <c r="V98" s="1"/>
      <c r="W98" s="4"/>
      <c r="X98" s="1"/>
      <c r="Y98" s="4"/>
      <c r="Z98" s="1"/>
      <c r="AA98" s="4"/>
      <c r="AB98" s="1"/>
      <c r="AC98" s="4"/>
      <c r="AD98" s="1"/>
      <c r="AE98" s="4"/>
      <c r="AF98" s="1"/>
      <c r="AG98" s="4"/>
      <c r="AH98" s="1"/>
      <c r="AI98" s="4"/>
      <c r="AJ98" s="5"/>
      <c r="AK98" s="4"/>
      <c r="AL98" s="5"/>
      <c r="AM98" s="4"/>
      <c r="AN98" s="4"/>
      <c r="AO98" s="4"/>
      <c r="AQ98" s="4"/>
      <c r="AR98" s="4"/>
      <c r="AS98" s="4"/>
      <c r="AT98" s="4"/>
      <c r="AV98" s="4"/>
      <c r="AX98" s="4"/>
      <c r="AY98" s="4"/>
      <c r="AZ98" s="4"/>
      <c r="BD98" s="154"/>
      <c r="BE98" s="154"/>
      <c r="BF98" s="154"/>
      <c r="BG98" s="154"/>
      <c r="BH98" s="154"/>
      <c r="BO98" s="513"/>
      <c r="BP98" s="513"/>
      <c r="BQ98" s="513"/>
      <c r="BR98" s="513"/>
      <c r="BS98" s="513"/>
      <c r="BT98" s="513"/>
      <c r="BU98" s="513"/>
      <c r="BV98" s="513"/>
      <c r="BW98" s="513"/>
      <c r="BX98" s="513"/>
      <c r="BY98" s="513"/>
      <c r="BZ98" s="513"/>
      <c r="CA98" s="513"/>
      <c r="CB98" s="513"/>
      <c r="CC98" s="513"/>
      <c r="CD98" s="513"/>
      <c r="CE98" s="513"/>
      <c r="CF98" s="513"/>
      <c r="CG98" s="513"/>
      <c r="CH98" s="513"/>
      <c r="CI98" s="513"/>
      <c r="CJ98" s="513"/>
      <c r="CK98" s="513"/>
      <c r="CL98" s="513"/>
      <c r="CM98" s="513"/>
      <c r="CN98" s="513"/>
      <c r="CO98" s="513"/>
      <c r="CP98" s="513"/>
      <c r="CQ98" s="513"/>
      <c r="CR98" s="513"/>
      <c r="CS98" s="513"/>
      <c r="CT98" s="513"/>
      <c r="CU98" s="513"/>
      <c r="CV98" s="513"/>
      <c r="CW98" s="513"/>
      <c r="CX98" s="513"/>
      <c r="CY98" s="513"/>
      <c r="CZ98" s="513"/>
      <c r="DA98" s="513"/>
      <c r="DB98" s="513"/>
      <c r="DC98" s="513"/>
      <c r="DD98" s="513"/>
      <c r="DE98" s="513"/>
      <c r="DF98" s="513"/>
      <c r="DG98" s="513"/>
      <c r="DH98" s="513"/>
      <c r="DI98" s="513"/>
      <c r="DJ98" s="513"/>
      <c r="DK98" s="513"/>
      <c r="DL98" s="513"/>
      <c r="DM98" s="513"/>
      <c r="DN98" s="513"/>
      <c r="DO98" s="513"/>
      <c r="DP98" s="513"/>
    </row>
    <row r="99" spans="1:120" s="153" customFormat="1" ht="14.1" hidden="1" customHeight="1">
      <c r="A99" s="155"/>
      <c r="B99" s="156"/>
      <c r="C99" s="154"/>
      <c r="D99" s="156"/>
      <c r="E99" s="154"/>
      <c r="F99" s="157"/>
      <c r="G99" s="154"/>
      <c r="H99" s="157"/>
      <c r="I99" s="154"/>
      <c r="J99" s="1"/>
      <c r="K99" s="154"/>
      <c r="L99" s="1"/>
      <c r="M99" s="154"/>
      <c r="N99" s="1"/>
      <c r="O99" s="154"/>
      <c r="P99" s="1"/>
      <c r="Q99" s="156"/>
      <c r="R99" s="1"/>
      <c r="S99" s="154"/>
      <c r="T99" s="1"/>
      <c r="U99" s="158"/>
      <c r="V99" s="1"/>
      <c r="W99" s="158"/>
      <c r="X99" s="1"/>
      <c r="Y99" s="158"/>
      <c r="Z99" s="1"/>
      <c r="AA99" s="154"/>
      <c r="AB99" s="1"/>
      <c r="AC99" s="154"/>
      <c r="AD99" s="1"/>
      <c r="AE99" s="154"/>
      <c r="AF99" s="1"/>
      <c r="AG99" s="154"/>
      <c r="AH99" s="1"/>
      <c r="AI99" s="154"/>
      <c r="AJ99" s="156"/>
      <c r="AK99" s="154"/>
      <c r="AL99" s="156"/>
      <c r="AM99" s="154"/>
      <c r="AO99" s="155"/>
      <c r="AQ99" s="4"/>
      <c r="AR99" s="4"/>
      <c r="AS99" s="4"/>
      <c r="AT99" s="4"/>
      <c r="BD99" s="154"/>
      <c r="BE99" s="154"/>
      <c r="BF99" s="154"/>
      <c r="BG99" s="154"/>
      <c r="BH99" s="154"/>
      <c r="BO99" s="513"/>
      <c r="BP99" s="513"/>
      <c r="BQ99" s="513"/>
      <c r="BR99" s="513"/>
      <c r="BS99" s="513"/>
      <c r="BT99" s="513"/>
      <c r="BU99" s="513"/>
      <c r="BV99" s="513"/>
      <c r="BW99" s="513"/>
      <c r="BX99" s="513"/>
      <c r="BY99" s="513"/>
      <c r="BZ99" s="513"/>
      <c r="CA99" s="513"/>
      <c r="CB99" s="513"/>
      <c r="CC99" s="513"/>
      <c r="CD99" s="513"/>
      <c r="CE99" s="513"/>
      <c r="CF99" s="513"/>
      <c r="CG99" s="513"/>
      <c r="CH99" s="513"/>
      <c r="CI99" s="513"/>
      <c r="CJ99" s="513"/>
      <c r="CK99" s="513"/>
      <c r="CL99" s="513"/>
      <c r="CM99" s="513"/>
      <c r="CN99" s="513"/>
      <c r="CO99" s="513"/>
      <c r="CP99" s="513"/>
      <c r="CQ99" s="513"/>
      <c r="CR99" s="513"/>
      <c r="CS99" s="513"/>
      <c r="CT99" s="513"/>
      <c r="CU99" s="513"/>
      <c r="CV99" s="513"/>
      <c r="CW99" s="513"/>
      <c r="CX99" s="513"/>
      <c r="CY99" s="513"/>
      <c r="CZ99" s="513"/>
      <c r="DA99" s="513"/>
      <c r="DB99" s="513"/>
      <c r="DC99" s="513"/>
      <c r="DD99" s="513"/>
      <c r="DE99" s="513"/>
      <c r="DF99" s="513"/>
      <c r="DG99" s="513"/>
      <c r="DH99" s="513"/>
      <c r="DI99" s="513"/>
      <c r="DJ99" s="513"/>
      <c r="DK99" s="513"/>
      <c r="DL99" s="513"/>
      <c r="DM99" s="513"/>
      <c r="DN99" s="513"/>
      <c r="DO99" s="513"/>
      <c r="DP99" s="513"/>
    </row>
    <row r="100" spans="1:120" s="153" customFormat="1" ht="14.1" hidden="1" customHeight="1">
      <c r="A100" s="155"/>
      <c r="B100" s="156"/>
      <c r="C100" s="154"/>
      <c r="D100" s="156"/>
      <c r="E100" s="154"/>
      <c r="F100" s="157"/>
      <c r="G100" s="154"/>
      <c r="H100" s="157"/>
      <c r="I100" s="154"/>
      <c r="J100" s="1"/>
      <c r="K100" s="154"/>
      <c r="L100" s="1"/>
      <c r="M100" s="154"/>
      <c r="N100" s="1"/>
      <c r="O100" s="154"/>
      <c r="P100" s="1"/>
      <c r="Q100" s="156"/>
      <c r="R100" s="1"/>
      <c r="S100" s="154"/>
      <c r="T100" s="1"/>
      <c r="U100" s="158"/>
      <c r="V100" s="1"/>
      <c r="W100" s="158"/>
      <c r="X100" s="1"/>
      <c r="Y100" s="158"/>
      <c r="Z100" s="1"/>
      <c r="AA100" s="154"/>
      <c r="AB100" s="1"/>
      <c r="AC100" s="154"/>
      <c r="AD100" s="1"/>
      <c r="AE100" s="154"/>
      <c r="AF100" s="1"/>
      <c r="AG100" s="154"/>
      <c r="AH100" s="1"/>
      <c r="AI100" s="154"/>
      <c r="AJ100" s="156"/>
      <c r="AK100" s="154"/>
      <c r="AL100" s="156"/>
      <c r="AM100" s="154"/>
      <c r="AO100" s="154"/>
      <c r="AQ100" s="4"/>
      <c r="AR100" s="4"/>
      <c r="AS100" s="4"/>
      <c r="AT100" s="4"/>
      <c r="BD100" s="154"/>
      <c r="BE100" s="154"/>
      <c r="BF100" s="154"/>
      <c r="BG100" s="154"/>
      <c r="BH100" s="154"/>
      <c r="BO100" s="513"/>
      <c r="BP100" s="513"/>
      <c r="BQ100" s="513"/>
      <c r="BR100" s="513"/>
      <c r="BS100" s="513"/>
      <c r="BT100" s="513"/>
      <c r="BU100" s="513"/>
      <c r="BV100" s="513"/>
      <c r="BW100" s="513"/>
      <c r="BX100" s="513"/>
      <c r="BY100" s="513"/>
      <c r="BZ100" s="513"/>
      <c r="CA100" s="513"/>
      <c r="CB100" s="513"/>
      <c r="CC100" s="513"/>
      <c r="CD100" s="513"/>
      <c r="CE100" s="513"/>
      <c r="CF100" s="513"/>
      <c r="CG100" s="513"/>
      <c r="CH100" s="513"/>
      <c r="CI100" s="513"/>
      <c r="CJ100" s="513"/>
      <c r="CK100" s="513"/>
      <c r="CL100" s="513"/>
      <c r="CM100" s="513"/>
      <c r="CN100" s="513"/>
      <c r="CO100" s="513"/>
      <c r="CP100" s="513"/>
      <c r="CQ100" s="513"/>
      <c r="CR100" s="513"/>
      <c r="CS100" s="513"/>
      <c r="CT100" s="513"/>
      <c r="CU100" s="513"/>
      <c r="CV100" s="513"/>
      <c r="CW100" s="513"/>
      <c r="CX100" s="513"/>
      <c r="CY100" s="513"/>
      <c r="CZ100" s="513"/>
      <c r="DA100" s="513"/>
      <c r="DB100" s="513"/>
      <c r="DC100" s="513"/>
      <c r="DD100" s="513"/>
      <c r="DE100" s="513"/>
      <c r="DF100" s="513"/>
      <c r="DG100" s="513"/>
      <c r="DH100" s="513"/>
      <c r="DI100" s="513"/>
      <c r="DJ100" s="513"/>
      <c r="DK100" s="513"/>
      <c r="DL100" s="513"/>
      <c r="DM100" s="513"/>
      <c r="DN100" s="513"/>
      <c r="DO100" s="513"/>
      <c r="DP100" s="513"/>
    </row>
    <row r="101" spans="1:120" s="153" customFormat="1" ht="14.1" hidden="1" customHeight="1">
      <c r="A101" s="155"/>
      <c r="B101" s="156"/>
      <c r="C101" s="154"/>
      <c r="D101" s="156"/>
      <c r="E101" s="154"/>
      <c r="F101" s="157"/>
      <c r="G101" s="154"/>
      <c r="H101" s="157"/>
      <c r="I101" s="154"/>
      <c r="J101" s="1"/>
      <c r="K101" s="154"/>
      <c r="L101" s="1"/>
      <c r="M101" s="154"/>
      <c r="N101" s="1"/>
      <c r="O101" s="154"/>
      <c r="P101" s="1"/>
      <c r="Q101" s="156"/>
      <c r="R101" s="1"/>
      <c r="S101" s="154"/>
      <c r="T101" s="1"/>
      <c r="U101" s="158"/>
      <c r="V101" s="1"/>
      <c r="W101" s="53"/>
      <c r="X101" s="1"/>
      <c r="Y101" s="158"/>
      <c r="Z101" s="1"/>
      <c r="AA101" s="154"/>
      <c r="AB101" s="1"/>
      <c r="AC101" s="154"/>
      <c r="AD101" s="1"/>
      <c r="AE101" s="154"/>
      <c r="AF101" s="1"/>
      <c r="AG101" s="154"/>
      <c r="AH101" s="1"/>
      <c r="AI101" s="154"/>
      <c r="AJ101" s="156"/>
      <c r="AK101" s="154"/>
      <c r="AL101" s="156"/>
      <c r="AM101" s="154"/>
      <c r="AO101" s="154"/>
      <c r="AQ101" s="4"/>
      <c r="AR101" s="4"/>
      <c r="AS101" s="4"/>
      <c r="AT101" s="4"/>
      <c r="BD101" s="154"/>
      <c r="BE101" s="154"/>
      <c r="BF101" s="154"/>
      <c r="BG101" s="154"/>
      <c r="BH101" s="154"/>
      <c r="BO101" s="513"/>
      <c r="BP101" s="513"/>
      <c r="BQ101" s="513"/>
      <c r="BR101" s="513"/>
      <c r="BS101" s="513"/>
      <c r="BT101" s="513"/>
      <c r="BU101" s="513"/>
      <c r="BV101" s="513"/>
      <c r="BW101" s="513"/>
      <c r="BX101" s="513"/>
      <c r="BY101" s="513"/>
      <c r="BZ101" s="513"/>
      <c r="CA101" s="513"/>
      <c r="CB101" s="513"/>
      <c r="CC101" s="513"/>
      <c r="CD101" s="513"/>
      <c r="CE101" s="513"/>
      <c r="CF101" s="513"/>
      <c r="CG101" s="513"/>
      <c r="CH101" s="513"/>
      <c r="CI101" s="513"/>
      <c r="CJ101" s="513"/>
      <c r="CK101" s="513"/>
      <c r="CL101" s="513"/>
      <c r="CM101" s="513"/>
      <c r="CN101" s="513"/>
      <c r="CO101" s="513"/>
      <c r="CP101" s="513"/>
      <c r="CQ101" s="513"/>
      <c r="CR101" s="513"/>
      <c r="CS101" s="513"/>
      <c r="CT101" s="513"/>
      <c r="CU101" s="513"/>
      <c r="CV101" s="513"/>
      <c r="CW101" s="513"/>
      <c r="CX101" s="513"/>
      <c r="CY101" s="513"/>
      <c r="CZ101" s="513"/>
      <c r="DA101" s="513"/>
      <c r="DB101" s="513"/>
      <c r="DC101" s="513"/>
      <c r="DD101" s="513"/>
      <c r="DE101" s="513"/>
      <c r="DF101" s="513"/>
      <c r="DG101" s="513"/>
      <c r="DH101" s="513"/>
      <c r="DI101" s="513"/>
      <c r="DJ101" s="513"/>
      <c r="DK101" s="513"/>
      <c r="DL101" s="513"/>
      <c r="DM101" s="513"/>
      <c r="DN101" s="513"/>
      <c r="DO101" s="513"/>
      <c r="DP101" s="513"/>
    </row>
    <row r="102" spans="1:120" ht="14.1" customHeight="1">
      <c r="A102" s="41"/>
      <c r="B102" s="156"/>
      <c r="C102" s="159"/>
      <c r="D102" s="57"/>
      <c r="E102" s="159"/>
      <c r="F102" s="160"/>
      <c r="G102" s="159"/>
      <c r="H102" s="160"/>
      <c r="I102" s="159"/>
      <c r="K102" s="159"/>
      <c r="M102" s="159"/>
      <c r="O102" s="159"/>
      <c r="Q102" s="57"/>
      <c r="S102" s="159"/>
      <c r="U102" s="161"/>
      <c r="W102" s="53"/>
      <c r="Y102" s="161"/>
      <c r="AA102" s="85"/>
      <c r="AC102" s="85"/>
      <c r="AE102" s="85"/>
      <c r="AG102" s="162"/>
      <c r="AI102" s="162"/>
      <c r="AJ102" s="57"/>
      <c r="AK102" s="162"/>
      <c r="AL102" s="57"/>
      <c r="AM102" s="162"/>
      <c r="AO102" s="49"/>
      <c r="BD102" s="46"/>
      <c r="BE102" s="46"/>
      <c r="BF102" s="46"/>
      <c r="BG102" s="46"/>
      <c r="BH102" s="46"/>
    </row>
    <row r="103" spans="1:120" ht="14.1" customHeight="1">
      <c r="A103" s="154" t="s">
        <v>54</v>
      </c>
      <c r="B103" s="156"/>
      <c r="C103" s="85"/>
      <c r="D103" s="42"/>
      <c r="E103" s="85"/>
      <c r="F103" s="43"/>
      <c r="G103" s="85"/>
      <c r="H103" s="43"/>
      <c r="I103" s="85"/>
      <c r="K103" s="85"/>
      <c r="M103" s="85"/>
      <c r="O103" s="85"/>
      <c r="Q103" s="42"/>
      <c r="S103" s="85"/>
      <c r="U103" s="72"/>
      <c r="W103" s="53"/>
      <c r="Y103" s="72"/>
      <c r="AA103" s="85"/>
      <c r="AC103" s="85"/>
      <c r="AE103" s="85"/>
      <c r="AG103" s="162"/>
      <c r="AI103" s="162"/>
      <c r="AJ103" s="57"/>
      <c r="AK103" s="162"/>
      <c r="AL103" s="57"/>
      <c r="AM103" s="162"/>
      <c r="AO103" s="49"/>
      <c r="BD103" s="46"/>
      <c r="BE103" s="46"/>
      <c r="BF103" s="46"/>
      <c r="BG103" s="46"/>
      <c r="BH103" s="46"/>
    </row>
    <row r="104" spans="1:120" ht="14.1" customHeight="1">
      <c r="A104" s="154" t="s">
        <v>55</v>
      </c>
      <c r="B104" s="154"/>
      <c r="C104" s="487">
        <v>6493</v>
      </c>
      <c r="D104" s="163"/>
      <c r="E104" s="164" t="s">
        <v>55</v>
      </c>
      <c r="F104" s="165"/>
      <c r="G104" s="164">
        <v>6493</v>
      </c>
      <c r="H104" s="165"/>
      <c r="I104" s="164">
        <v>6493</v>
      </c>
      <c r="K104" s="164"/>
      <c r="M104" s="164"/>
      <c r="O104" s="164"/>
      <c r="Q104" s="163"/>
      <c r="S104" s="164"/>
      <c r="U104" s="166"/>
      <c r="W104" s="53"/>
      <c r="Y104" s="166"/>
      <c r="AA104" s="85"/>
      <c r="AC104" s="85"/>
      <c r="AE104" s="85"/>
      <c r="AG104" s="162"/>
      <c r="AI104" s="162"/>
      <c r="AJ104" s="57"/>
      <c r="AK104" s="162"/>
      <c r="AL104" s="57"/>
      <c r="AM104" s="162"/>
      <c r="BD104" s="46"/>
      <c r="BE104" s="46"/>
      <c r="BF104" s="46"/>
      <c r="BG104" s="46"/>
      <c r="BH104" s="46"/>
    </row>
    <row r="105" spans="1:120" ht="14.1" customHeight="1">
      <c r="A105" s="154" t="s">
        <v>56</v>
      </c>
      <c r="B105" s="154"/>
      <c r="C105" s="487">
        <v>1658</v>
      </c>
      <c r="D105" s="163"/>
      <c r="E105" s="164" t="s">
        <v>56</v>
      </c>
      <c r="F105" s="165"/>
      <c r="G105" s="164">
        <v>1658</v>
      </c>
      <c r="H105" s="165"/>
      <c r="I105" s="164">
        <v>1658</v>
      </c>
      <c r="K105" s="164"/>
      <c r="M105" s="164"/>
      <c r="O105" s="164"/>
      <c r="Q105" s="163"/>
      <c r="S105" s="164"/>
      <c r="U105" s="166"/>
      <c r="W105" s="166"/>
      <c r="Y105" s="166"/>
      <c r="AA105" s="85"/>
      <c r="AC105" s="85"/>
      <c r="AE105" s="85"/>
      <c r="AJ105" s="57"/>
      <c r="AK105" s="162"/>
      <c r="AL105" s="57"/>
      <c r="AM105" s="162"/>
      <c r="BD105" s="46"/>
      <c r="BE105" s="46"/>
      <c r="BF105" s="46"/>
      <c r="BG105" s="46"/>
      <c r="BH105" s="46"/>
    </row>
    <row r="106" spans="1:120" ht="14.1" customHeight="1">
      <c r="A106" s="154"/>
      <c r="B106" s="154"/>
      <c r="C106" s="487">
        <v>3817</v>
      </c>
      <c r="D106" s="163"/>
      <c r="E106" s="164" t="s">
        <v>54</v>
      </c>
      <c r="F106" s="165"/>
      <c r="G106" s="164">
        <v>3817</v>
      </c>
      <c r="H106" s="165"/>
      <c r="I106" s="164">
        <v>3817</v>
      </c>
      <c r="K106" s="164"/>
      <c r="M106" s="164"/>
      <c r="O106" s="164"/>
      <c r="Q106" s="163"/>
      <c r="S106" s="164"/>
      <c r="U106" s="164"/>
      <c r="W106" s="164"/>
      <c r="Y106" s="164"/>
      <c r="AA106" s="85"/>
      <c r="AC106" s="85"/>
      <c r="AE106" s="85"/>
      <c r="AJ106" s="57"/>
      <c r="AK106" s="162"/>
      <c r="BD106" s="46"/>
      <c r="BE106" s="46"/>
      <c r="BF106" s="46"/>
      <c r="BG106" s="46"/>
      <c r="BH106" s="46"/>
    </row>
    <row r="107" spans="1:120" ht="14.1" customHeight="1">
      <c r="A107" s="154" t="s">
        <v>57</v>
      </c>
      <c r="B107" s="154"/>
      <c r="C107" s="487">
        <v>-24</v>
      </c>
      <c r="D107" s="163"/>
      <c r="E107" s="164" t="s">
        <v>57</v>
      </c>
      <c r="F107" s="165"/>
      <c r="G107" s="164">
        <v>-24</v>
      </c>
      <c r="H107" s="165"/>
      <c r="I107" s="164">
        <v>-24</v>
      </c>
      <c r="K107" s="164"/>
      <c r="M107" s="164"/>
      <c r="O107" s="164"/>
      <c r="Q107" s="163"/>
      <c r="S107" s="164"/>
      <c r="U107" s="164"/>
      <c r="W107" s="164"/>
      <c r="Y107" s="164"/>
      <c r="AA107" s="85"/>
      <c r="AC107" s="85"/>
      <c r="AE107" s="85"/>
      <c r="AJ107" s="57"/>
      <c r="AK107" s="162"/>
      <c r="BD107" s="46"/>
      <c r="BE107" s="46"/>
      <c r="BF107" s="46"/>
      <c r="BG107" s="46"/>
      <c r="BH107" s="46"/>
    </row>
    <row r="108" spans="1:120" ht="14.1" customHeight="1">
      <c r="A108" s="154" t="s">
        <v>58</v>
      </c>
      <c r="B108" s="154"/>
      <c r="C108" s="487">
        <f>2597-402</f>
        <v>2195</v>
      </c>
      <c r="D108" s="163"/>
      <c r="E108" s="164" t="s">
        <v>58</v>
      </c>
      <c r="F108" s="165"/>
      <c r="G108" s="164">
        <v>2195</v>
      </c>
      <c r="H108" s="165"/>
      <c r="I108" s="164">
        <v>2195</v>
      </c>
      <c r="K108" s="164"/>
      <c r="M108" s="164"/>
      <c r="O108" s="164"/>
      <c r="Q108" s="163"/>
      <c r="S108" s="164"/>
      <c r="U108" s="164"/>
      <c r="W108" s="164"/>
      <c r="Y108" s="164"/>
      <c r="AA108" s="85"/>
      <c r="AC108" s="85"/>
      <c r="AE108" s="85"/>
      <c r="AJ108" s="57"/>
      <c r="AK108" s="162"/>
      <c r="BD108" s="46"/>
      <c r="BE108" s="46"/>
      <c r="BF108" s="46"/>
      <c r="BG108" s="46"/>
      <c r="BH108" s="46"/>
    </row>
    <row r="109" spans="1:120" ht="14.1" customHeight="1">
      <c r="A109" s="154" t="s">
        <v>59</v>
      </c>
      <c r="B109" s="154"/>
      <c r="C109" s="487">
        <v>1737</v>
      </c>
      <c r="D109" s="163"/>
      <c r="E109" s="164" t="s">
        <v>59</v>
      </c>
      <c r="F109" s="165"/>
      <c r="G109" s="164">
        <v>1737</v>
      </c>
      <c r="H109" s="165"/>
      <c r="I109" s="164">
        <v>1737</v>
      </c>
      <c r="K109" s="164"/>
      <c r="M109" s="164"/>
      <c r="O109" s="164"/>
      <c r="Q109" s="163"/>
      <c r="S109" s="164"/>
      <c r="U109" s="164"/>
      <c r="W109" s="164"/>
      <c r="Y109" s="164"/>
      <c r="AJ109" s="57"/>
      <c r="AK109" s="162"/>
      <c r="BD109" s="46"/>
      <c r="BE109" s="46"/>
      <c r="BF109" s="46"/>
      <c r="BG109" s="46"/>
      <c r="BH109" s="46"/>
    </row>
    <row r="110" spans="1:120" ht="14.1" customHeight="1">
      <c r="A110" s="154" t="s">
        <v>60</v>
      </c>
      <c r="B110" s="154"/>
      <c r="C110" s="487">
        <v>1162</v>
      </c>
      <c r="D110" s="167"/>
      <c r="E110" s="168" t="s">
        <v>60</v>
      </c>
      <c r="F110" s="169"/>
      <c r="G110" s="168">
        <v>1162</v>
      </c>
      <c r="H110" s="169"/>
      <c r="I110" s="168">
        <v>1162</v>
      </c>
      <c r="K110" s="168"/>
      <c r="M110" s="168"/>
      <c r="O110" s="168"/>
      <c r="Q110" s="167"/>
      <c r="S110" s="168"/>
      <c r="U110" s="168"/>
      <c r="W110" s="168"/>
      <c r="Y110" s="168"/>
      <c r="AJ110" s="57"/>
      <c r="AK110" s="162"/>
      <c r="BD110" s="46"/>
      <c r="BE110" s="46"/>
      <c r="BF110" s="46"/>
      <c r="BG110" s="46"/>
      <c r="BH110" s="46"/>
    </row>
    <row r="111" spans="1:120" ht="14.1" customHeight="1">
      <c r="A111" s="154" t="s">
        <v>61</v>
      </c>
      <c r="B111" s="154"/>
      <c r="C111" s="487">
        <v>1907</v>
      </c>
      <c r="D111" s="167"/>
      <c r="E111" s="168" t="s">
        <v>61</v>
      </c>
      <c r="F111" s="169"/>
      <c r="G111" s="168">
        <v>1907</v>
      </c>
      <c r="H111" s="169"/>
      <c r="I111" s="168">
        <v>1907</v>
      </c>
      <c r="K111" s="168"/>
      <c r="M111" s="168"/>
      <c r="O111" s="168"/>
      <c r="Q111" s="167"/>
      <c r="S111" s="168"/>
      <c r="U111" s="168"/>
      <c r="W111" s="168"/>
      <c r="Y111" s="168"/>
      <c r="AJ111" s="57"/>
      <c r="AK111" s="162"/>
      <c r="BD111" s="46"/>
      <c r="BE111" s="46"/>
      <c r="BF111" s="46"/>
      <c r="BG111" s="46"/>
      <c r="BH111" s="46"/>
    </row>
    <row r="112" spans="1:120" ht="14.1" customHeight="1">
      <c r="A112" s="154" t="s">
        <v>62</v>
      </c>
      <c r="B112" s="154"/>
      <c r="C112" s="487">
        <v>528</v>
      </c>
      <c r="D112" s="167"/>
      <c r="E112" s="168" t="s">
        <v>62</v>
      </c>
      <c r="F112" s="169"/>
      <c r="G112" s="168">
        <v>528</v>
      </c>
      <c r="H112" s="169"/>
      <c r="I112" s="168">
        <v>528</v>
      </c>
      <c r="K112" s="168"/>
      <c r="M112" s="168"/>
      <c r="O112" s="168"/>
      <c r="Q112" s="167"/>
      <c r="S112" s="168"/>
      <c r="U112" s="168"/>
      <c r="W112" s="168"/>
      <c r="Y112" s="168"/>
      <c r="AJ112" s="57"/>
      <c r="AK112" s="162"/>
      <c r="BD112" s="46"/>
      <c r="BE112" s="46"/>
      <c r="BF112" s="46"/>
      <c r="BG112" s="46"/>
      <c r="BH112" s="46"/>
    </row>
    <row r="113" spans="1:66" ht="14.1" customHeight="1">
      <c r="A113" s="154" t="s">
        <v>63</v>
      </c>
      <c r="B113" s="154"/>
      <c r="C113" s="487">
        <v>2662</v>
      </c>
      <c r="D113" s="167"/>
      <c r="E113" s="168" t="s">
        <v>63</v>
      </c>
      <c r="F113" s="169"/>
      <c r="G113" s="168">
        <v>2662</v>
      </c>
      <c r="H113" s="169"/>
      <c r="I113" s="168">
        <v>2662</v>
      </c>
      <c r="K113" s="168"/>
      <c r="M113" s="168"/>
      <c r="O113" s="168"/>
      <c r="Q113" s="167"/>
      <c r="S113" s="168"/>
      <c r="U113" s="168"/>
      <c r="W113" s="168"/>
      <c r="Y113" s="168"/>
      <c r="AJ113" s="57"/>
      <c r="AK113" s="162"/>
      <c r="AL113" s="57"/>
      <c r="AM113" s="162"/>
      <c r="BE113" s="46"/>
      <c r="BF113" s="247"/>
      <c r="BG113" s="319"/>
      <c r="BH113" s="319"/>
      <c r="BI113" s="13"/>
      <c r="BJ113" s="319"/>
      <c r="BK113" s="319"/>
    </row>
    <row r="114" spans="1:66" ht="14.1" customHeight="1">
      <c r="A114" s="154" t="s">
        <v>64</v>
      </c>
      <c r="B114" s="154"/>
      <c r="C114" s="487">
        <f>2713+15629</f>
        <v>18342</v>
      </c>
      <c r="D114" s="167"/>
      <c r="E114" s="168" t="s">
        <v>64</v>
      </c>
      <c r="F114" s="169"/>
      <c r="G114" s="168">
        <v>18342</v>
      </c>
      <c r="H114" s="169"/>
      <c r="I114" s="168">
        <v>18342</v>
      </c>
      <c r="K114" s="168"/>
      <c r="M114" s="168"/>
      <c r="O114" s="168"/>
      <c r="Q114" s="167"/>
      <c r="S114" s="168"/>
      <c r="U114" s="168"/>
      <c r="W114" s="168"/>
      <c r="Y114" s="168"/>
      <c r="AJ114" s="57"/>
      <c r="AK114" s="162"/>
      <c r="AL114" s="57"/>
      <c r="AM114" s="162"/>
      <c r="BC114" s="406"/>
      <c r="BD114" s="20"/>
      <c r="BE114" s="44"/>
      <c r="BF114" s="247"/>
      <c r="BG114" s="319"/>
      <c r="BH114" s="319"/>
      <c r="BI114" s="13"/>
      <c r="BJ114" s="319"/>
      <c r="BK114" s="319"/>
    </row>
    <row r="115" spans="1:66" ht="14.1" customHeight="1">
      <c r="A115" s="154" t="s">
        <v>65</v>
      </c>
      <c r="B115" s="154"/>
      <c r="C115" s="487">
        <v>6299</v>
      </c>
      <c r="D115" s="167"/>
      <c r="E115" s="168" t="s">
        <v>65</v>
      </c>
      <c r="F115" s="169"/>
      <c r="G115" s="168">
        <v>6299</v>
      </c>
      <c r="H115" s="169"/>
      <c r="I115" s="168">
        <v>6299</v>
      </c>
      <c r="K115" s="168"/>
      <c r="M115" s="168"/>
      <c r="O115" s="168"/>
      <c r="Q115" s="167"/>
      <c r="S115" s="168"/>
      <c r="U115" s="168"/>
      <c r="W115" s="168"/>
      <c r="Y115" s="168"/>
      <c r="AG115" s="162"/>
      <c r="AI115" s="162"/>
      <c r="AJ115" s="57"/>
      <c r="AK115" s="162"/>
      <c r="AL115" s="57"/>
      <c r="AM115" s="162"/>
      <c r="BC115" s="20"/>
      <c r="BD115" s="20"/>
      <c r="BE115" s="44"/>
      <c r="BF115" s="247"/>
      <c r="BG115" s="318"/>
      <c r="BH115" s="318"/>
      <c r="BI115" s="13"/>
      <c r="BJ115" s="318"/>
      <c r="BK115" s="318"/>
    </row>
    <row r="116" spans="1:66" ht="14.1" customHeight="1">
      <c r="A116" s="159" t="s">
        <v>66</v>
      </c>
      <c r="B116" s="156"/>
      <c r="C116" s="488">
        <v>7008</v>
      </c>
      <c r="D116" s="57"/>
      <c r="E116" s="159" t="s">
        <v>66</v>
      </c>
      <c r="F116" s="160"/>
      <c r="G116" s="159">
        <v>7008</v>
      </c>
      <c r="H116" s="160"/>
      <c r="I116" s="159">
        <v>7008</v>
      </c>
      <c r="K116" s="159"/>
      <c r="M116" s="159"/>
      <c r="O116" s="159"/>
      <c r="Q116" s="57"/>
      <c r="S116" s="159"/>
      <c r="U116" s="159"/>
      <c r="W116" s="159"/>
      <c r="Y116" s="159"/>
      <c r="AG116" s="162"/>
      <c r="AI116" s="162"/>
      <c r="AJ116" s="57"/>
      <c r="AK116" s="162"/>
      <c r="AL116" s="57"/>
      <c r="AM116" s="162"/>
      <c r="BC116" s="406"/>
      <c r="BD116" s="524"/>
      <c r="BE116" s="72"/>
      <c r="BF116" s="247"/>
      <c r="BG116" s="319"/>
      <c r="BH116" s="319"/>
      <c r="BI116" s="13"/>
      <c r="BJ116" s="319"/>
      <c r="BK116" s="319"/>
    </row>
    <row r="117" spans="1:66" ht="14.1" customHeight="1">
      <c r="A117" s="159" t="s">
        <v>67</v>
      </c>
      <c r="B117" s="156"/>
      <c r="C117" s="488">
        <v>2317</v>
      </c>
      <c r="D117" s="57"/>
      <c r="E117" s="159"/>
      <c r="F117" s="160"/>
      <c r="G117" s="159"/>
      <c r="H117" s="160"/>
      <c r="I117" s="159"/>
      <c r="K117" s="159"/>
      <c r="M117" s="159"/>
      <c r="O117" s="159"/>
      <c r="Q117" s="57"/>
      <c r="S117" s="159"/>
      <c r="U117" s="159"/>
      <c r="W117" s="159"/>
      <c r="Y117" s="159"/>
      <c r="AG117" s="162"/>
      <c r="AI117" s="162"/>
      <c r="AJ117" s="57"/>
      <c r="AK117" s="162"/>
      <c r="AL117" s="57"/>
      <c r="AM117" s="162"/>
      <c r="BC117" s="406"/>
      <c r="BD117" s="524"/>
      <c r="BE117" s="72"/>
      <c r="BF117" s="247"/>
      <c r="BG117" s="318"/>
      <c r="BH117" s="318"/>
      <c r="BI117" s="13"/>
      <c r="BJ117" s="318"/>
      <c r="BK117" s="318"/>
    </row>
    <row r="118" spans="1:66" ht="14.1" customHeight="1">
      <c r="A118" s="159" t="s">
        <v>68</v>
      </c>
      <c r="B118" s="156"/>
      <c r="C118" s="488">
        <v>2713</v>
      </c>
      <c r="D118" s="57"/>
      <c r="E118" s="159"/>
      <c r="F118" s="160"/>
      <c r="G118" s="159"/>
      <c r="H118" s="160"/>
      <c r="I118" s="159"/>
      <c r="K118" s="159"/>
      <c r="M118" s="159"/>
      <c r="O118" s="159"/>
      <c r="Q118" s="57"/>
      <c r="S118" s="159"/>
      <c r="U118" s="159"/>
      <c r="W118" s="159"/>
      <c r="Y118" s="159"/>
      <c r="AG118" s="162"/>
      <c r="AI118" s="162"/>
      <c r="AJ118" s="57"/>
      <c r="AK118" s="162"/>
      <c r="AL118" s="57"/>
      <c r="AM118" s="162"/>
      <c r="BC118" s="406"/>
      <c r="BD118" s="524"/>
      <c r="BE118" s="72"/>
      <c r="BF118" s="247"/>
      <c r="BG118" s="319"/>
      <c r="BH118" s="319"/>
      <c r="BI118" s="13"/>
      <c r="BJ118" s="319"/>
      <c r="BK118" s="319"/>
    </row>
    <row r="119" spans="1:66" ht="14.1" customHeight="1">
      <c r="A119" s="159" t="s">
        <v>69</v>
      </c>
      <c r="B119" s="156"/>
      <c r="C119" s="488">
        <v>-855</v>
      </c>
      <c r="D119" s="57"/>
      <c r="E119" s="159"/>
      <c r="F119" s="160"/>
      <c r="G119" s="159"/>
      <c r="H119" s="160"/>
      <c r="I119" s="159"/>
      <c r="K119" s="159"/>
      <c r="M119" s="159"/>
      <c r="O119" s="159"/>
      <c r="Q119" s="57"/>
      <c r="S119" s="159"/>
      <c r="U119" s="159"/>
      <c r="W119" s="159"/>
      <c r="Y119" s="159"/>
      <c r="AG119" s="162"/>
      <c r="AI119" s="162"/>
      <c r="AJ119" s="57"/>
      <c r="AK119" s="162"/>
      <c r="AL119" s="57"/>
      <c r="AM119" s="162"/>
      <c r="BC119" s="406"/>
      <c r="BD119" s="524"/>
      <c r="BE119" s="72"/>
      <c r="BF119" s="247"/>
      <c r="BG119" s="321"/>
      <c r="BH119" s="321"/>
      <c r="BI119" s="13"/>
      <c r="BJ119" s="321"/>
      <c r="BK119" s="321"/>
    </row>
    <row r="120" spans="1:66" ht="14.1" customHeight="1">
      <c r="A120" s="159" t="s">
        <v>70</v>
      </c>
      <c r="B120" s="156"/>
      <c r="C120" s="488">
        <v>6580</v>
      </c>
      <c r="D120" s="57"/>
      <c r="E120" s="159"/>
      <c r="F120" s="160"/>
      <c r="G120" s="159"/>
      <c r="H120" s="160"/>
      <c r="I120" s="159"/>
      <c r="K120" s="159"/>
      <c r="M120" s="159"/>
      <c r="O120" s="159"/>
      <c r="Q120" s="57"/>
      <c r="S120" s="159"/>
      <c r="U120" s="159"/>
      <c r="W120" s="159"/>
      <c r="Y120" s="159"/>
      <c r="AG120" s="162"/>
      <c r="AI120" s="162"/>
      <c r="AJ120" s="57"/>
      <c r="AK120" s="162"/>
      <c r="AL120" s="57"/>
      <c r="AM120" s="162"/>
      <c r="BC120" s="406"/>
      <c r="BD120" s="524"/>
      <c r="BE120" s="72"/>
      <c r="BF120" s="247"/>
      <c r="BG120" s="319"/>
      <c r="BH120" s="319"/>
      <c r="BI120" s="13"/>
      <c r="BJ120" s="319"/>
      <c r="BK120" s="319"/>
    </row>
    <row r="121" spans="1:66" ht="14.1" customHeight="1">
      <c r="A121" s="159" t="s">
        <v>71</v>
      </c>
      <c r="B121" s="156"/>
      <c r="C121" s="488">
        <v>20191</v>
      </c>
      <c r="D121" s="57"/>
      <c r="E121" s="159"/>
      <c r="F121" s="160"/>
      <c r="G121" s="159"/>
      <c r="H121" s="160"/>
      <c r="I121" s="159"/>
      <c r="K121" s="159"/>
      <c r="M121" s="159"/>
      <c r="O121" s="159"/>
      <c r="Q121" s="57"/>
      <c r="S121" s="159"/>
      <c r="U121" s="159"/>
      <c r="W121" s="159"/>
      <c r="Y121" s="159"/>
      <c r="AG121" s="162"/>
      <c r="AI121" s="162"/>
      <c r="AJ121" s="57"/>
      <c r="AK121" s="162"/>
      <c r="AL121" s="57"/>
      <c r="AM121" s="162"/>
      <c r="BC121" s="406"/>
      <c r="BD121" s="525"/>
      <c r="BE121" s="72"/>
      <c r="BF121" s="247"/>
      <c r="BG121" s="319"/>
      <c r="BH121" s="319"/>
      <c r="BI121" s="13"/>
      <c r="BJ121" s="319"/>
      <c r="BK121" s="319"/>
    </row>
    <row r="122" spans="1:66" ht="14.1" customHeight="1">
      <c r="A122" s="159" t="s">
        <v>72</v>
      </c>
      <c r="B122" s="156"/>
      <c r="C122" s="488">
        <v>27324</v>
      </c>
      <c r="D122" s="57"/>
      <c r="E122" s="159"/>
      <c r="F122" s="160"/>
      <c r="G122" s="159"/>
      <c r="H122" s="160"/>
      <c r="I122" s="159"/>
      <c r="K122" s="159"/>
      <c r="M122" s="159"/>
      <c r="O122" s="159"/>
      <c r="Q122" s="57"/>
      <c r="S122" s="159"/>
      <c r="U122" s="159"/>
      <c r="W122" s="159"/>
      <c r="Y122" s="159"/>
      <c r="AG122" s="162"/>
      <c r="AI122" s="162"/>
      <c r="AJ122" s="57"/>
      <c r="AK122" s="162"/>
      <c r="AL122" s="57"/>
      <c r="AM122" s="162"/>
      <c r="BC122" s="406"/>
      <c r="BD122" s="525"/>
      <c r="BE122" s="72"/>
      <c r="BF122" s="44"/>
      <c r="BG122" s="53"/>
      <c r="BH122" s="53"/>
      <c r="BI122" s="13"/>
      <c r="BJ122" s="318"/>
      <c r="BK122" s="318"/>
    </row>
    <row r="123" spans="1:66" ht="14.1" customHeight="1">
      <c r="A123" s="159" t="s">
        <v>73</v>
      </c>
      <c r="B123" s="156"/>
      <c r="C123" s="488">
        <v>4772</v>
      </c>
      <c r="D123" s="57"/>
      <c r="E123" s="159"/>
      <c r="F123" s="160"/>
      <c r="G123" s="159"/>
      <c r="H123" s="160"/>
      <c r="I123" s="159"/>
      <c r="K123" s="159"/>
      <c r="M123" s="159"/>
      <c r="O123" s="159"/>
      <c r="Q123" s="57"/>
      <c r="S123" s="159"/>
      <c r="U123" s="159"/>
      <c r="W123" s="159"/>
      <c r="Y123" s="159"/>
      <c r="AG123" s="162"/>
      <c r="AI123" s="162"/>
      <c r="AJ123" s="57"/>
      <c r="AK123" s="162"/>
      <c r="AL123" s="57"/>
      <c r="AM123" s="162"/>
      <c r="BC123" s="20"/>
      <c r="BD123" s="44"/>
      <c r="BE123" s="72"/>
      <c r="BF123" s="44"/>
      <c r="BG123" s="53"/>
      <c r="BH123" s="53"/>
      <c r="BI123" s="13"/>
      <c r="BJ123" s="320"/>
      <c r="BK123" s="320"/>
    </row>
    <row r="124" spans="1:66" ht="14.1" customHeight="1">
      <c r="A124" s="159" t="s">
        <v>74</v>
      </c>
      <c r="B124" s="132"/>
      <c r="C124" s="488">
        <v>15831.975</v>
      </c>
      <c r="D124" s="57"/>
      <c r="E124" s="159"/>
      <c r="F124" s="160"/>
      <c r="G124" s="159"/>
      <c r="H124" s="160"/>
      <c r="I124" s="159"/>
      <c r="K124" s="159"/>
      <c r="M124" s="159"/>
      <c r="O124" s="159"/>
      <c r="Q124" s="57"/>
      <c r="S124" s="159"/>
      <c r="U124" s="159"/>
      <c r="W124" s="159"/>
      <c r="Y124" s="159"/>
      <c r="AG124" s="162"/>
      <c r="AI124" s="162"/>
      <c r="AJ124" s="57"/>
      <c r="AK124" s="162"/>
      <c r="AL124" s="57"/>
      <c r="AM124" s="162"/>
      <c r="BC124" s="20"/>
      <c r="BD124" s="44"/>
      <c r="BE124" s="44"/>
      <c r="BF124" s="44"/>
      <c r="BG124" s="18"/>
      <c r="BH124" s="18"/>
      <c r="BI124" s="13"/>
      <c r="BJ124" s="319"/>
      <c r="BK124" s="319"/>
      <c r="BL124" s="314"/>
    </row>
    <row r="125" spans="1:66" ht="14.1" customHeight="1">
      <c r="A125" s="159" t="s">
        <v>75</v>
      </c>
      <c r="B125" s="132"/>
      <c r="C125" s="488">
        <v>44559</v>
      </c>
      <c r="D125" s="57"/>
      <c r="E125" s="159"/>
      <c r="F125" s="160"/>
      <c r="G125" s="159"/>
      <c r="H125" s="160"/>
      <c r="I125" s="159"/>
      <c r="K125" s="159"/>
      <c r="M125" s="159"/>
      <c r="O125" s="170"/>
      <c r="Q125" s="57"/>
      <c r="S125" s="159"/>
      <c r="U125" s="159"/>
      <c r="W125" s="159"/>
      <c r="Y125" s="159"/>
      <c r="AG125" s="162"/>
      <c r="AI125" s="162"/>
      <c r="AJ125" s="57"/>
      <c r="AK125" s="162"/>
      <c r="AL125" s="57"/>
      <c r="AM125" s="162"/>
      <c r="BD125" s="46"/>
      <c r="BE125" s="46"/>
      <c r="BF125" s="44"/>
      <c r="BG125" s="18"/>
      <c r="BH125" s="18"/>
      <c r="BI125" s="13"/>
      <c r="BJ125" s="319"/>
      <c r="BK125" s="319"/>
      <c r="BL125" s="315"/>
      <c r="BM125" s="13"/>
      <c r="BN125" s="13"/>
    </row>
    <row r="126" spans="1:66" ht="14.1" customHeight="1">
      <c r="A126" s="159" t="s">
        <v>76</v>
      </c>
      <c r="B126" s="132"/>
      <c r="C126" s="488">
        <v>8009.7679999999991</v>
      </c>
      <c r="D126" s="57"/>
      <c r="E126" s="159"/>
      <c r="F126" s="160"/>
      <c r="G126" s="159"/>
      <c r="H126" s="160"/>
      <c r="I126" s="159"/>
      <c r="K126" s="159"/>
      <c r="M126" s="159"/>
      <c r="O126" s="159"/>
      <c r="Q126" s="57"/>
      <c r="S126" s="159"/>
      <c r="U126" s="159"/>
      <c r="W126" s="159"/>
      <c r="Y126" s="159"/>
      <c r="AG126" s="162"/>
      <c r="AI126" s="162"/>
      <c r="AJ126" s="57"/>
      <c r="AK126" s="162"/>
      <c r="AL126" s="57"/>
      <c r="AM126" s="162"/>
      <c r="BD126" s="46"/>
      <c r="BE126" s="46"/>
      <c r="BF126" s="44"/>
      <c r="BG126" s="18"/>
      <c r="BH126" s="18"/>
      <c r="BI126" s="13"/>
      <c r="BJ126" s="319"/>
      <c r="BK126" s="319"/>
      <c r="BL126" s="13"/>
      <c r="BM126" s="13"/>
      <c r="BN126" s="13"/>
    </row>
    <row r="127" spans="1:66" ht="14.1" customHeight="1">
      <c r="A127" s="159" t="s">
        <v>77</v>
      </c>
      <c r="B127" s="132"/>
      <c r="C127" s="488">
        <v>-7094.0409000000009</v>
      </c>
      <c r="D127" s="57"/>
      <c r="E127" s="159"/>
      <c r="F127" s="160"/>
      <c r="G127" s="159"/>
      <c r="H127" s="160"/>
      <c r="I127" s="159"/>
      <c r="K127" s="159"/>
      <c r="M127" s="159"/>
      <c r="O127" s="159"/>
      <c r="Q127" s="57"/>
      <c r="S127" s="159"/>
      <c r="U127" s="159"/>
      <c r="W127" s="159"/>
      <c r="Y127" s="159"/>
      <c r="AG127" s="162"/>
      <c r="AI127" s="162"/>
      <c r="AJ127" s="57"/>
      <c r="AK127" s="162"/>
      <c r="AL127" s="57"/>
      <c r="AM127" s="162"/>
      <c r="BD127" s="46"/>
      <c r="BE127" s="46"/>
      <c r="BF127" s="44"/>
      <c r="BG127" s="18"/>
      <c r="BH127" s="18"/>
      <c r="BI127" s="13"/>
      <c r="BJ127" s="319"/>
      <c r="BK127" s="319"/>
      <c r="BL127" s="315"/>
      <c r="BM127" s="315"/>
      <c r="BN127" s="13"/>
    </row>
    <row r="128" spans="1:66" ht="14.1" customHeight="1" thickBot="1">
      <c r="A128" s="159" t="s">
        <v>78</v>
      </c>
      <c r="C128" s="489">
        <v>15884.335489999998</v>
      </c>
      <c r="BE128" s="8"/>
      <c r="BF128" s="321"/>
      <c r="BG128" s="515"/>
      <c r="BH128" s="515"/>
      <c r="BI128" s="13"/>
      <c r="BJ128" s="315"/>
      <c r="BK128" s="315"/>
      <c r="BL128" s="315"/>
      <c r="BM128" s="315"/>
      <c r="BN128" s="13"/>
    </row>
    <row r="129" spans="1:80" ht="16.5" customHeight="1" thickBot="1">
      <c r="A129" s="159" t="s">
        <v>79</v>
      </c>
      <c r="C129" s="489">
        <v>14710.86105</v>
      </c>
      <c r="BD129" s="336"/>
      <c r="BF129" s="609" t="s">
        <v>259</v>
      </c>
      <c r="BG129" s="610"/>
      <c r="BH129" s="611" t="s">
        <v>284</v>
      </c>
      <c r="BI129" s="612"/>
      <c r="BJ129" s="603" t="s">
        <v>286</v>
      </c>
      <c r="BK129" s="604"/>
      <c r="BL129" s="317"/>
      <c r="BM129" s="317"/>
      <c r="BN129" s="13"/>
    </row>
    <row r="130" spans="1:80" ht="15.75" customHeight="1">
      <c r="A130" s="159" t="s">
        <v>80</v>
      </c>
      <c r="C130" s="489">
        <v>17788.236141744659</v>
      </c>
      <c r="BF130" s="564" t="s">
        <v>249</v>
      </c>
      <c r="BG130" s="565" t="s">
        <v>27</v>
      </c>
      <c r="BH130" s="566" t="s">
        <v>249</v>
      </c>
      <c r="BI130" s="567" t="s">
        <v>27</v>
      </c>
      <c r="BJ130" s="568" t="s">
        <v>249</v>
      </c>
      <c r="BK130" s="569" t="s">
        <v>27</v>
      </c>
      <c r="BL130" s="315"/>
      <c r="BM130" s="315"/>
      <c r="BN130" s="13"/>
    </row>
    <row r="131" spans="1:80">
      <c r="A131" s="159" t="s">
        <v>81</v>
      </c>
      <c r="C131" s="489">
        <v>23335.332000000002</v>
      </c>
      <c r="BC131" s="20"/>
      <c r="BD131" s="20"/>
      <c r="BE131" s="285" t="s">
        <v>216</v>
      </c>
      <c r="BF131" s="575">
        <f>[92]Report!$AK$42+[92]Report!$BI$42</f>
        <v>174.1954046575338</v>
      </c>
      <c r="BG131" s="576">
        <f>[92]Report!$AK$48+[92]Report!$BI$48</f>
        <v>1815.0575084667285</v>
      </c>
      <c r="BH131" s="577">
        <f>BG141+BG144+BG147+BG150+BG153+BG156+BG159+BG162+BG165+BG168+BG171+BG174+BG177+BG180+BG183+BG186</f>
        <v>857.47653105910945</v>
      </c>
      <c r="BI131" s="578">
        <f>+BG142+BG145+BG148+BG151+BG154+BG157+BG160+BG163+BG166+BG169+BG172+BG175+BG178+BG181+BG184+BG187</f>
        <v>1493.8855977072903</v>
      </c>
      <c r="BJ131" s="579">
        <f t="shared" ref="BJ131:BK135" si="0">BF131-BH131</f>
        <v>-683.28112640157565</v>
      </c>
      <c r="BK131" s="580">
        <f t="shared" si="0"/>
        <v>321.17191075943811</v>
      </c>
      <c r="BL131" s="317"/>
      <c r="BM131" s="317"/>
      <c r="BN131" s="13"/>
    </row>
    <row r="132" spans="1:80" ht="15.75" customHeight="1">
      <c r="A132" s="159" t="s">
        <v>82</v>
      </c>
      <c r="C132" s="489">
        <f>43059-252.211</f>
        <v>42806.788999999997</v>
      </c>
      <c r="BC132" s="20"/>
      <c r="BD132" s="478"/>
      <c r="BE132" s="285" t="s">
        <v>220</v>
      </c>
      <c r="BF132" s="581">
        <f>[92]Report!$K$42+[92]Report!$U$42+[92]Report!$W$42++[92]Report!$AY$42+[92]Report!$BG$42+[92]Report!$BK$42</f>
        <v>53313.642053594282</v>
      </c>
      <c r="BG132" s="582">
        <f>[92]Report!$K$48+[92]Report!$U$48+[92]Report!$W$48++[92]Report!$AY$48+[92]Report!$BG$48+[92]Report!$BK$48</f>
        <v>-9814.1160723655557</v>
      </c>
      <c r="BH132" s="583">
        <f>+BG191+BG194+BG197+BG200+BG204+BG207+BG210+BG213+BG216+BG219</f>
        <v>19989.599150726564</v>
      </c>
      <c r="BI132" s="584">
        <f>+BG192+BG195+BG198+BG201+BG205+BG208+BG211+BG214+BG217+BG220</f>
        <v>-7700.3830555608092</v>
      </c>
      <c r="BJ132" s="585">
        <f t="shared" si="0"/>
        <v>33324.042902867717</v>
      </c>
      <c r="BK132" s="586">
        <f t="shared" si="0"/>
        <v>-2113.7330168047465</v>
      </c>
      <c r="BL132" s="316"/>
      <c r="BM132" s="316"/>
      <c r="BN132" s="13"/>
    </row>
    <row r="133" spans="1:80" ht="14.1" customHeight="1">
      <c r="A133" s="159" t="s">
        <v>83</v>
      </c>
      <c r="C133" s="490">
        <v>9533.82</v>
      </c>
      <c r="BC133" s="20"/>
      <c r="BD133" s="478"/>
      <c r="BE133" s="285" t="s">
        <v>224</v>
      </c>
      <c r="BF133" s="581">
        <f>[92]Report!$BO$42</f>
        <v>-7281.0393873974554</v>
      </c>
      <c r="BG133" s="582">
        <f>[92]Report!$BO$48</f>
        <v>1162.7716880523444</v>
      </c>
      <c r="BH133" s="587">
        <f>BG227+BG230</f>
        <v>-4817.3689015000009</v>
      </c>
      <c r="BI133" s="582">
        <f>BG228+BG231</f>
        <v>-239.4209193999998</v>
      </c>
      <c r="BJ133" s="585">
        <f t="shared" si="0"/>
        <v>-2463.6704858974545</v>
      </c>
      <c r="BK133" s="586">
        <f t="shared" si="0"/>
        <v>1402.1926074523442</v>
      </c>
      <c r="BL133" s="13"/>
      <c r="BM133" s="13"/>
      <c r="BN133" s="13"/>
    </row>
    <row r="134" spans="1:80" ht="14.1" customHeight="1">
      <c r="A134" s="159" t="s">
        <v>84</v>
      </c>
      <c r="C134" s="489">
        <v>-27666.647999999997</v>
      </c>
      <c r="BC134" s="20"/>
      <c r="BD134" s="485"/>
      <c r="BE134" s="285" t="s">
        <v>285</v>
      </c>
      <c r="BF134" s="588">
        <f>+[92]Report!$BM$42</f>
        <v>-20826.030274539542</v>
      </c>
      <c r="BG134" s="589">
        <f>+[92]Report!$BM$48</f>
        <v>4760.2688211018849</v>
      </c>
      <c r="BH134" s="590"/>
      <c r="BI134" s="589"/>
      <c r="BJ134" s="585">
        <f t="shared" si="0"/>
        <v>-20826.030274539542</v>
      </c>
      <c r="BK134" s="586">
        <f t="shared" si="0"/>
        <v>4760.2688211018849</v>
      </c>
      <c r="BL134" s="13"/>
      <c r="BM134" s="13"/>
      <c r="BN134" s="13"/>
    </row>
    <row r="135" spans="1:80" ht="14.1" customHeight="1">
      <c r="A135" s="159" t="s">
        <v>85</v>
      </c>
      <c r="C135" s="491">
        <v>-10015.150007</v>
      </c>
      <c r="BC135" s="20"/>
      <c r="BD135" s="485"/>
      <c r="BE135" s="285" t="s">
        <v>287</v>
      </c>
      <c r="BF135" s="588">
        <f>+[92]Report!$BE$42</f>
        <v>-582.86618637172387</v>
      </c>
      <c r="BG135" s="589">
        <f>+[92]Report!$BE$48</f>
        <v>134.93262951022618</v>
      </c>
      <c r="BH135" s="590">
        <f>+BG235+BG238</f>
        <v>-735.59541795901919</v>
      </c>
      <c r="BI135" s="589">
        <f>+BG236+BG239</f>
        <v>89.896551132900569</v>
      </c>
      <c r="BJ135" s="585">
        <f t="shared" si="0"/>
        <v>152.72923158729532</v>
      </c>
      <c r="BK135" s="586">
        <f t="shared" si="0"/>
        <v>45.036078377325609</v>
      </c>
      <c r="BL135" s="13"/>
      <c r="BM135" s="13"/>
      <c r="BN135" s="13"/>
    </row>
    <row r="136" spans="1:80" ht="14.1" customHeight="1" thickBot="1">
      <c r="A136" s="159" t="s">
        <v>86</v>
      </c>
      <c r="C136" s="491">
        <v>-9143.63754029763</v>
      </c>
      <c r="BB136" s="20"/>
      <c r="BC136" s="20"/>
      <c r="BD136" s="20"/>
      <c r="BE136" s="285" t="s">
        <v>0</v>
      </c>
      <c r="BF136" s="591">
        <f>[92]Report!$I$42+[92]Report!$S$42+[92]Report!$AA$42+[92]Report!$AG$42+[92]Report!$BC$42</f>
        <v>-9777.6831433722327</v>
      </c>
      <c r="BG136" s="592">
        <f>[92]Report!$I$48+[92]Report!$S$48+[92]Report!$AA$48+[92]Report!$AG$48+[92]Report!$BC$48</f>
        <v>6439.3422953764948</v>
      </c>
      <c r="BH136" s="593"/>
      <c r="BI136" s="594"/>
      <c r="BJ136" s="595">
        <f>BF136-BH136</f>
        <v>-9777.6831433722327</v>
      </c>
      <c r="BK136" s="596">
        <f>BG136-BI136</f>
        <v>6439.3422953764948</v>
      </c>
      <c r="BM136" s="20"/>
      <c r="BN136" s="20"/>
    </row>
    <row r="137" spans="1:80" ht="16.2" thickBot="1">
      <c r="A137" s="159" t="s">
        <v>87</v>
      </c>
      <c r="C137" s="491">
        <v>-2930.0762669784517</v>
      </c>
      <c r="AZ137" s="19"/>
      <c r="BA137" s="607" t="s">
        <v>259</v>
      </c>
      <c r="BB137" s="608"/>
      <c r="BC137" s="605" t="s">
        <v>284</v>
      </c>
      <c r="BD137" s="606"/>
      <c r="BE137" s="570" t="s">
        <v>89</v>
      </c>
      <c r="BF137" s="4" t="s">
        <v>90</v>
      </c>
      <c r="BG137" s="173"/>
      <c r="BM137" s="20"/>
      <c r="BN137" s="20"/>
    </row>
    <row r="138" spans="1:80" ht="16.8" thickTop="1" thickBot="1">
      <c r="A138" s="159" t="s">
        <v>91</v>
      </c>
      <c r="C138" s="491">
        <f>17121.5969640125+209</f>
        <v>17330.5969640125</v>
      </c>
      <c r="AZ138" s="526"/>
      <c r="BA138" s="554" t="s">
        <v>249</v>
      </c>
      <c r="BB138" s="555" t="s">
        <v>27</v>
      </c>
      <c r="BC138" s="552" t="s">
        <v>249</v>
      </c>
      <c r="BD138" s="553" t="s">
        <v>27</v>
      </c>
      <c r="BE138" s="34"/>
      <c r="BF138" s="174" t="s">
        <v>92</v>
      </c>
      <c r="BG138" s="448">
        <f>Report!A4</f>
        <v>37225</v>
      </c>
      <c r="BH138" s="175"/>
      <c r="BI138" s="176" t="s">
        <v>93</v>
      </c>
      <c r="BJ138" s="448">
        <f>prior_date</f>
        <v>37224</v>
      </c>
      <c r="BK138" s="175"/>
      <c r="BL138" s="468" t="s">
        <v>94</v>
      </c>
      <c r="BM138" s="464"/>
      <c r="BN138" s="44"/>
      <c r="BO138" s="465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</row>
    <row r="139" spans="1:80" ht="14.1" customHeight="1">
      <c r="A139" s="159" t="s">
        <v>96</v>
      </c>
      <c r="C139" s="492">
        <v>2295.3239980966041</v>
      </c>
      <c r="AZ139" s="19"/>
      <c r="BA139" s="556"/>
      <c r="BB139" s="558"/>
      <c r="BC139" s="33"/>
      <c r="BD139" s="177"/>
      <c r="BE139" s="34"/>
      <c r="BF139" s="178"/>
      <c r="BG139" s="179"/>
      <c r="BH139" s="180"/>
      <c r="BI139" s="178"/>
      <c r="BJ139" s="44"/>
      <c r="BK139" s="180"/>
      <c r="BL139" s="469"/>
      <c r="BM139" s="464"/>
      <c r="BN139" s="44"/>
      <c r="BO139" s="465"/>
      <c r="BP139" s="514"/>
      <c r="BQ139" s="514"/>
      <c r="BR139" s="514"/>
      <c r="BS139" s="514"/>
      <c r="BT139" s="514"/>
      <c r="BU139" s="514"/>
      <c r="BV139" s="514"/>
      <c r="BW139" s="514"/>
      <c r="BX139" s="514"/>
      <c r="BY139" s="514"/>
      <c r="BZ139" s="514"/>
      <c r="CA139" s="514"/>
      <c r="CB139" s="514"/>
    </row>
    <row r="140" spans="1:80" ht="14.1" customHeight="1">
      <c r="A140" s="159" t="s">
        <v>97</v>
      </c>
      <c r="C140" s="491">
        <v>-2361.1623972912466</v>
      </c>
      <c r="AZ140" s="19"/>
      <c r="BA140" s="557"/>
      <c r="BB140" s="559"/>
      <c r="BC140" s="33"/>
      <c r="BD140" s="177"/>
      <c r="BE140" s="20"/>
      <c r="BF140" s="181"/>
      <c r="BG140" s="182" t="s">
        <v>95</v>
      </c>
      <c r="BH140" s="183" t="s">
        <v>14</v>
      </c>
      <c r="BI140" s="181"/>
      <c r="BJ140" s="184" t="s">
        <v>95</v>
      </c>
      <c r="BK140" s="183" t="s">
        <v>14</v>
      </c>
      <c r="BL140" s="469"/>
      <c r="BM140" s="44"/>
      <c r="BN140" s="184"/>
      <c r="BO140" s="184"/>
      <c r="BQ140" s="1"/>
      <c r="BR140" s="1"/>
    </row>
    <row r="141" spans="1:80" ht="14.1" customHeight="1">
      <c r="A141" s="159" t="s">
        <v>98</v>
      </c>
      <c r="C141" s="491">
        <v>23079.30821286629</v>
      </c>
      <c r="AZ141" s="19"/>
      <c r="BA141" s="557"/>
      <c r="BB141" s="560"/>
      <c r="BC141" s="449"/>
      <c r="BD141" s="186"/>
      <c r="BE141" s="171"/>
      <c r="BF141" s="181" t="s">
        <v>99</v>
      </c>
      <c r="BG141" s="477">
        <f>[3]Report!AA57+[4]Report!W57+[80]Report!W57+[49]Report!BS57+[6]Report!AA57+[106]Report!M57+([5]Report!C57+[5]Report!E57+[5]Report!G57+[5]Report!S57)</f>
        <v>1535.9969014000039</v>
      </c>
      <c r="BH141" s="532"/>
      <c r="BI141" s="477" t="s">
        <v>99</v>
      </c>
      <c r="BJ141" s="477">
        <v>1330.891683300003</v>
      </c>
      <c r="BK141" s="532"/>
      <c r="BL141" s="550">
        <f>BG141-BJ141</f>
        <v>205.10521810000091</v>
      </c>
      <c r="BM141" s="44"/>
      <c r="BN141" s="198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</row>
    <row r="142" spans="1:80" ht="14.1" customHeight="1">
      <c r="A142" s="159" t="s">
        <v>100</v>
      </c>
      <c r="C142" s="491">
        <v>32283.893183547447</v>
      </c>
      <c r="AZ142" s="19"/>
      <c r="BA142" s="557"/>
      <c r="BB142" s="557"/>
      <c r="BC142" s="450">
        <f>BG141</f>
        <v>1535.9969014000039</v>
      </c>
      <c r="BD142" s="187">
        <f>BG142</f>
        <v>-2521.8073323000003</v>
      </c>
      <c r="BE142" s="233">
        <f>293010.963-38133.513+20</f>
        <v>254897.44999999998</v>
      </c>
      <c r="BF142" s="181" t="s">
        <v>101</v>
      </c>
      <c r="BG142" s="477">
        <f>[3]Report!AA58+[4]Report!W58+[80]Report!W58+[49]Report!BS58+[6]Report!AA58+[106]Report!M58+([5]Report!C58+[5]Report!E58+[5]Report!G58+[5]Report!S58)</f>
        <v>-2521.8073323000003</v>
      </c>
      <c r="BH142" s="466">
        <f>SUM(BG141:BG142)</f>
        <v>-985.81043089999639</v>
      </c>
      <c r="BI142" s="477" t="s">
        <v>101</v>
      </c>
      <c r="BJ142" s="477">
        <v>-2454.2376301000004</v>
      </c>
      <c r="BK142" s="466">
        <v>-1123.3459467999974</v>
      </c>
      <c r="BL142" s="550">
        <f>BG142-BJ142</f>
        <v>-67.569702199999938</v>
      </c>
      <c r="BM142" s="44"/>
      <c r="BN142" s="198"/>
      <c r="BO142" s="171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</row>
    <row r="143" spans="1:80" ht="14.1" customHeight="1">
      <c r="A143" s="159" t="s">
        <v>102</v>
      </c>
      <c r="C143" s="491">
        <v>20444.136281108717</v>
      </c>
      <c r="AZ143" s="19"/>
      <c r="BA143" s="557"/>
      <c r="BB143" s="557"/>
      <c r="BC143" s="451"/>
      <c r="BD143" s="447"/>
      <c r="BE143" s="233"/>
      <c r="BF143" s="181"/>
      <c r="BG143" s="233"/>
      <c r="BH143" s="322"/>
      <c r="BI143" s="398"/>
      <c r="BJ143" s="233"/>
      <c r="BK143" s="322"/>
      <c r="BL143" s="471"/>
      <c r="BM143" s="44"/>
      <c r="BN143" s="198"/>
      <c r="BO143" s="171"/>
      <c r="BP143" s="171"/>
      <c r="BQ143" s="171"/>
      <c r="BR143" s="171"/>
      <c r="BS143" s="171"/>
      <c r="BT143" s="171"/>
      <c r="BU143" s="171"/>
      <c r="BV143" s="171"/>
      <c r="BW143" s="171"/>
      <c r="BX143" s="171"/>
      <c r="BY143" s="171"/>
      <c r="BZ143" s="171"/>
      <c r="CA143" s="171"/>
      <c r="CB143" s="171"/>
    </row>
    <row r="144" spans="1:80" ht="14.1" customHeight="1">
      <c r="A144" s="159"/>
      <c r="C144" s="491"/>
      <c r="AZ144" s="19"/>
      <c r="BA144" s="557"/>
      <c r="BB144" s="557"/>
      <c r="BC144" s="185"/>
      <c r="BD144" s="188"/>
      <c r="BE144" s="233"/>
      <c r="BF144" s="181" t="s">
        <v>227</v>
      </c>
      <c r="BG144" s="398">
        <f>([8]Report!AQ62+[7]Report!C57+[7]Report!M57)/1000</f>
        <v>-3587.740781785109</v>
      </c>
      <c r="BH144" s="322"/>
      <c r="BI144" s="398" t="s">
        <v>227</v>
      </c>
      <c r="BJ144" s="398">
        <v>-4279.2758962296784</v>
      </c>
      <c r="BK144" s="466"/>
      <c r="BL144" s="470">
        <f>BG144-BJ144</f>
        <v>691.53511444456944</v>
      </c>
      <c r="BM144" s="44"/>
      <c r="BN144" s="198"/>
      <c r="BO144" s="171"/>
      <c r="BP144" s="171"/>
      <c r="BQ144" s="171"/>
      <c r="BR144" s="171"/>
      <c r="BS144" s="171"/>
      <c r="BT144" s="171"/>
      <c r="BU144" s="171"/>
      <c r="BV144" s="171"/>
      <c r="BW144" s="171"/>
      <c r="BX144" s="171"/>
      <c r="BY144" s="171"/>
      <c r="BZ144" s="171"/>
      <c r="CA144" s="171"/>
      <c r="CB144" s="171"/>
    </row>
    <row r="145" spans="1:80" ht="14.1" customHeight="1">
      <c r="A145" s="159"/>
      <c r="C145" s="491"/>
      <c r="AZ145" s="19"/>
      <c r="BA145" s="557"/>
      <c r="BB145" s="557"/>
      <c r="BC145" s="450" t="s">
        <v>273</v>
      </c>
      <c r="BD145" s="187"/>
      <c r="BE145" s="233">
        <f>-10377.94145-1000.10192</f>
        <v>-11378.043369999999</v>
      </c>
      <c r="BF145" s="181" t="s">
        <v>228</v>
      </c>
      <c r="BG145" s="398">
        <f>([8]Report!AQ63+[7]Report!C58+[7]Report!M58)/1000</f>
        <v>1902.9304018064356</v>
      </c>
      <c r="BH145" s="322">
        <f>SUM(BG144:BG145)</f>
        <v>-1684.8103799786734</v>
      </c>
      <c r="BI145" s="398" t="s">
        <v>228</v>
      </c>
      <c r="BJ145" s="398">
        <v>1846.7695741957798</v>
      </c>
      <c r="BK145" s="466">
        <v>-2432.5063220338989</v>
      </c>
      <c r="BL145" s="470">
        <f>BG145-BJ145</f>
        <v>56.160827610655815</v>
      </c>
      <c r="BM145" s="44"/>
      <c r="BN145" s="198"/>
      <c r="BO145" s="171"/>
      <c r="BP145" s="171"/>
      <c r="BQ145" s="171"/>
      <c r="BR145" s="171"/>
      <c r="BS145" s="171"/>
      <c r="BT145" s="171"/>
      <c r="BU145" s="171"/>
      <c r="BV145" s="171"/>
      <c r="BW145" s="171"/>
      <c r="BX145" s="171"/>
      <c r="BY145" s="171"/>
      <c r="BZ145" s="171"/>
      <c r="CA145" s="171"/>
      <c r="CB145" s="171"/>
    </row>
    <row r="146" spans="1:80" ht="14.1" customHeight="1">
      <c r="A146" s="159"/>
      <c r="C146" s="491"/>
      <c r="AZ146" s="19"/>
      <c r="BA146" s="557"/>
      <c r="BB146" s="557"/>
      <c r="BC146" s="185"/>
      <c r="BD146" s="188"/>
      <c r="BE146" s="233"/>
      <c r="BF146" s="181"/>
      <c r="BG146" s="398"/>
      <c r="BH146" s="322"/>
      <c r="BI146" s="398"/>
      <c r="BJ146" s="398"/>
      <c r="BK146" s="322"/>
      <c r="BL146" s="471"/>
      <c r="BM146" s="44"/>
      <c r="BN146" s="198"/>
      <c r="BO146" s="171"/>
      <c r="BP146" s="171"/>
      <c r="BQ146" s="171"/>
      <c r="BR146" s="171"/>
      <c r="BS146" s="171"/>
      <c r="BT146" s="171"/>
      <c r="BU146" s="171"/>
      <c r="BV146" s="171"/>
      <c r="BW146" s="171"/>
      <c r="BX146" s="171"/>
      <c r="BY146" s="171"/>
      <c r="BZ146" s="171"/>
      <c r="CA146" s="171"/>
      <c r="CB146" s="171"/>
    </row>
    <row r="147" spans="1:80" ht="14.1" customHeight="1">
      <c r="A147" s="159" t="s">
        <v>103</v>
      </c>
      <c r="C147" s="491">
        <v>-13038</v>
      </c>
      <c r="AZ147" s="19"/>
      <c r="BA147" s="557"/>
      <c r="BB147" s="561"/>
      <c r="BC147" s="450"/>
      <c r="BD147" s="188"/>
      <c r="BE147" s="19"/>
      <c r="BF147" s="181" t="s">
        <v>137</v>
      </c>
      <c r="BG147" s="398">
        <f>([20]Report!N37+[22]Report!AG57+[10]Report!AA57+[15]Report!AA57+[17]Report!AQ57+'[27]Financial Summary'!AQ57+[25]Report!N37+[21]Report!K57+[83]Report!W57)/1000</f>
        <v>-1866.0287063999995</v>
      </c>
      <c r="BH147" s="322"/>
      <c r="BI147" s="398" t="s">
        <v>137</v>
      </c>
      <c r="BJ147" s="398">
        <v>-2149.3771810000003</v>
      </c>
      <c r="BK147" s="322"/>
      <c r="BL147" s="470">
        <f>BG147-BJ147</f>
        <v>283.34847460000083</v>
      </c>
      <c r="BM147" s="44"/>
      <c r="BN147" s="198"/>
      <c r="BO147" s="171"/>
      <c r="BP147" s="171"/>
      <c r="BQ147" s="171"/>
      <c r="BR147" s="171"/>
      <c r="BS147" s="171"/>
      <c r="BT147" s="171"/>
      <c r="BU147" s="171"/>
      <c r="BV147" s="171"/>
      <c r="BW147" s="171"/>
      <c r="BX147" s="171"/>
      <c r="BY147" s="171"/>
      <c r="BZ147" s="171"/>
      <c r="CA147" s="171"/>
      <c r="CB147" s="171"/>
    </row>
    <row r="148" spans="1:80" ht="14.1" customHeight="1">
      <c r="A148" s="159" t="s">
        <v>105</v>
      </c>
      <c r="C148" s="491">
        <f>-697-1533</f>
        <v>-2230</v>
      </c>
      <c r="E148" s="4" t="s">
        <v>106</v>
      </c>
      <c r="AZ148" s="19"/>
      <c r="BA148" s="557"/>
      <c r="BB148" s="557"/>
      <c r="BC148" s="450">
        <f>BG147</f>
        <v>-1866.0287063999995</v>
      </c>
      <c r="BD148" s="187">
        <f>BG148</f>
        <v>572.84440289999998</v>
      </c>
      <c r="BE148" s="233">
        <f>24556.877+24516.544-92.7585+1.70907+0.31101-159.87347+(41.45-7752-2236+1705+8677)/1000</f>
        <v>48823.244559999992</v>
      </c>
      <c r="BF148" s="181" t="s">
        <v>139</v>
      </c>
      <c r="BG148" s="398">
        <f>([20]Report!N38+[22]Report!AG58+[10]Report!AA58+[15]Report!AA58+[17]Report!AQ58+'[27]Financial Summary'!AQ58+[25]Report!N38+[21]Report!K58+[83]Report!W58)/1000</f>
        <v>572.84440289999998</v>
      </c>
      <c r="BH148" s="322">
        <f>SUM(BG147:BG148)</f>
        <v>-1293.1843034999995</v>
      </c>
      <c r="BI148" s="398" t="s">
        <v>139</v>
      </c>
      <c r="BJ148" s="398">
        <v>542.17984450000006</v>
      </c>
      <c r="BK148" s="322">
        <v>-1607.1973365000003</v>
      </c>
      <c r="BL148" s="470">
        <f>BG148-BJ148</f>
        <v>30.664558399999919</v>
      </c>
      <c r="BM148" s="44"/>
      <c r="BN148" s="198"/>
      <c r="BO148" s="171"/>
      <c r="BP148" s="171"/>
      <c r="BQ148" s="171"/>
      <c r="BR148" s="171"/>
      <c r="BS148" s="171"/>
      <c r="BT148" s="171"/>
      <c r="BU148" s="171"/>
      <c r="BV148" s="171"/>
      <c r="BW148" s="171"/>
      <c r="BX148" s="171"/>
      <c r="BY148" s="171"/>
      <c r="BZ148" s="171"/>
      <c r="CA148" s="171"/>
      <c r="CB148" s="171"/>
    </row>
    <row r="149" spans="1:80" ht="14.1" customHeight="1">
      <c r="A149" s="159" t="s">
        <v>108</v>
      </c>
      <c r="C149" s="491">
        <v>3600</v>
      </c>
      <c r="AZ149" s="19"/>
      <c r="BA149" s="557"/>
      <c r="BB149" s="557"/>
      <c r="BC149" s="185"/>
      <c r="BD149" s="188"/>
      <c r="BE149" s="233"/>
      <c r="BF149" s="181"/>
      <c r="BG149" s="398"/>
      <c r="BH149" s="322"/>
      <c r="BI149" s="181"/>
      <c r="BJ149" s="398"/>
      <c r="BK149" s="322"/>
      <c r="BL149" s="471"/>
      <c r="BM149" s="44"/>
      <c r="BN149" s="198"/>
      <c r="BO149" s="171"/>
      <c r="BP149" s="171"/>
      <c r="BQ149" s="171"/>
      <c r="BR149" s="171"/>
      <c r="BS149" s="171"/>
      <c r="BT149" s="171"/>
      <c r="BU149" s="171"/>
      <c r="BV149" s="171"/>
      <c r="BW149" s="171"/>
      <c r="BX149" s="171"/>
      <c r="BY149" s="171"/>
      <c r="BZ149" s="171"/>
      <c r="CA149" s="171"/>
      <c r="CB149" s="171"/>
    </row>
    <row r="150" spans="1:80" ht="14.1" customHeight="1">
      <c r="A150" s="159" t="s">
        <v>109</v>
      </c>
      <c r="C150" s="491">
        <v>-15591</v>
      </c>
      <c r="AZ150" s="19"/>
      <c r="BA150" s="557"/>
      <c r="BB150" s="560"/>
      <c r="BC150" s="449"/>
      <c r="BD150" s="188"/>
      <c r="BE150" s="233"/>
      <c r="BF150" s="181" t="s">
        <v>163</v>
      </c>
      <c r="BG150" s="398">
        <f>[23]Report!AE57/1000+[26]Report!AE57/1000+[24]Report!AC57/1000</f>
        <v>215.21832349999997</v>
      </c>
      <c r="BH150" s="322"/>
      <c r="BI150" s="181" t="s">
        <v>163</v>
      </c>
      <c r="BJ150" s="398">
        <v>247.33342229999994</v>
      </c>
      <c r="BK150" s="322"/>
      <c r="BL150" s="470">
        <f>BG150-BJ150</f>
        <v>-32.11509879999997</v>
      </c>
      <c r="BM150" s="44"/>
      <c r="BN150" s="198"/>
      <c r="BO150" s="171"/>
      <c r="BP150" s="171"/>
      <c r="BQ150" s="171"/>
      <c r="BR150" s="171"/>
      <c r="BS150" s="171"/>
      <c r="BT150" s="171"/>
      <c r="BU150" s="171"/>
      <c r="BV150" s="171"/>
      <c r="BW150" s="171"/>
      <c r="BX150" s="171"/>
      <c r="BY150" s="171"/>
      <c r="BZ150" s="171"/>
      <c r="CA150" s="171"/>
      <c r="CB150" s="171"/>
    </row>
    <row r="151" spans="1:80" ht="14.1" customHeight="1">
      <c r="A151" s="159" t="s">
        <v>111</v>
      </c>
      <c r="C151" s="491">
        <v>13859</v>
      </c>
      <c r="AZ151" s="19"/>
      <c r="BA151" s="557"/>
      <c r="BB151" s="557"/>
      <c r="BC151" s="450">
        <f>BG150</f>
        <v>215.21832349999997</v>
      </c>
      <c r="BD151" s="187">
        <f>BG151</f>
        <v>-44.056109300000003</v>
      </c>
      <c r="BE151" s="233">
        <v>1166.471</v>
      </c>
      <c r="BF151" s="181" t="s">
        <v>164</v>
      </c>
      <c r="BG151" s="398">
        <f>[23]Report!AE58/1000+[26]Report!AE58/1000+[24]Report!AC58/1000</f>
        <v>-44.056109300000003</v>
      </c>
      <c r="BH151" s="322">
        <f>SUM(BG150:BG151)</f>
        <v>171.16221419999997</v>
      </c>
      <c r="BI151" s="181" t="s">
        <v>164</v>
      </c>
      <c r="BJ151" s="398">
        <v>-42.77229479999999</v>
      </c>
      <c r="BK151" s="322">
        <v>204.56112749999994</v>
      </c>
      <c r="BL151" s="470">
        <f>BG151-BJ151</f>
        <v>-1.2838145000000125</v>
      </c>
      <c r="BM151" s="44"/>
      <c r="BN151" s="198"/>
      <c r="BO151" s="171"/>
      <c r="BP151" s="171"/>
      <c r="BQ151" s="171"/>
      <c r="BR151" s="171"/>
      <c r="BS151" s="171"/>
      <c r="BT151" s="171"/>
      <c r="BU151" s="171"/>
      <c r="BV151" s="171"/>
      <c r="BW151" s="171"/>
      <c r="BX151" s="171"/>
      <c r="BY151" s="171"/>
      <c r="BZ151" s="171"/>
      <c r="CA151" s="171"/>
      <c r="CB151" s="171"/>
    </row>
    <row r="152" spans="1:80" ht="14.1" customHeight="1">
      <c r="A152" s="159" t="s">
        <v>113</v>
      </c>
      <c r="C152" s="491">
        <v>9174.9658204758744</v>
      </c>
      <c r="AZ152" s="19"/>
      <c r="BA152" s="557"/>
      <c r="BB152" s="557"/>
      <c r="BC152" s="185"/>
      <c r="BD152" s="188"/>
      <c r="BE152" s="233"/>
      <c r="BF152" s="181"/>
      <c r="BG152" s="398"/>
      <c r="BH152" s="322"/>
      <c r="BI152" s="181"/>
      <c r="BJ152" s="398"/>
      <c r="BK152" s="322"/>
      <c r="BL152" s="471"/>
      <c r="BM152" s="44"/>
      <c r="BN152" s="198"/>
      <c r="BO152" s="171"/>
      <c r="BP152" s="171"/>
      <c r="BQ152" s="171"/>
      <c r="BR152" s="171"/>
      <c r="BS152" s="171"/>
      <c r="BT152" s="171"/>
      <c r="BU152" s="171"/>
      <c r="BV152" s="171"/>
      <c r="BW152" s="171"/>
      <c r="BX152" s="171"/>
      <c r="BY152" s="171"/>
      <c r="BZ152" s="171"/>
      <c r="CA152" s="171"/>
      <c r="CB152" s="171"/>
    </row>
    <row r="153" spans="1:80" ht="14.1" customHeight="1">
      <c r="A153" s="159" t="s">
        <v>114</v>
      </c>
      <c r="C153" s="491">
        <v>10184.50600770088</v>
      </c>
      <c r="AZ153" s="19"/>
      <c r="BA153" s="557"/>
      <c r="BB153" s="560"/>
      <c r="BC153" s="449"/>
      <c r="BD153" s="188"/>
      <c r="BE153" s="233"/>
      <c r="BF153" s="181" t="s">
        <v>229</v>
      </c>
      <c r="BG153" s="398">
        <f>[5]Report!I57+[5]Report!K57</f>
        <v>5.3699999999999997E-5</v>
      </c>
      <c r="BH153" s="322"/>
      <c r="BI153" s="181" t="s">
        <v>229</v>
      </c>
      <c r="BJ153" s="398">
        <v>5.3699999999999997E-5</v>
      </c>
      <c r="BK153" s="322"/>
      <c r="BL153" s="470">
        <f>BG153-BJ153</f>
        <v>0</v>
      </c>
      <c r="BM153" s="44"/>
      <c r="BN153" s="198"/>
      <c r="BO153" s="171"/>
      <c r="BP153" s="171"/>
      <c r="BQ153" s="171"/>
      <c r="BR153" s="171"/>
      <c r="BS153" s="171"/>
      <c r="BT153" s="171"/>
      <c r="BU153" s="171"/>
      <c r="BV153" s="171"/>
      <c r="BW153" s="171"/>
      <c r="BX153" s="171"/>
      <c r="BY153" s="171"/>
      <c r="BZ153" s="171"/>
      <c r="CA153" s="171"/>
      <c r="CB153" s="171"/>
    </row>
    <row r="154" spans="1:80" ht="14.1" customHeight="1">
      <c r="A154" s="159" t="s">
        <v>116</v>
      </c>
      <c r="C154" s="491">
        <v>26315.830177917702</v>
      </c>
      <c r="AZ154" s="19"/>
      <c r="BA154" s="557"/>
      <c r="BB154" s="557"/>
      <c r="BC154" s="450">
        <f>BG153</f>
        <v>5.3699999999999997E-5</v>
      </c>
      <c r="BD154" s="187">
        <f>BG154</f>
        <v>5.5719999999999999E-4</v>
      </c>
      <c r="BE154" s="233"/>
      <c r="BF154" s="181" t="s">
        <v>230</v>
      </c>
      <c r="BG154" s="398">
        <f>[5]Report!I58+[5]Report!K58</f>
        <v>5.5719999999999999E-4</v>
      </c>
      <c r="BH154" s="322">
        <f>SUM(BG153:BG154)</f>
        <v>6.1089999999999994E-4</v>
      </c>
      <c r="BI154" s="332" t="s">
        <v>230</v>
      </c>
      <c r="BJ154" s="398">
        <v>5.5719999999999999E-4</v>
      </c>
      <c r="BK154" s="322">
        <v>6.1089999999999994E-4</v>
      </c>
      <c r="BL154" s="470">
        <f>BG154-BJ154</f>
        <v>0</v>
      </c>
      <c r="BM154" s="44"/>
      <c r="BN154" s="198"/>
      <c r="BO154" s="171"/>
      <c r="BP154" s="171"/>
      <c r="BQ154" s="171"/>
      <c r="BR154" s="171"/>
      <c r="BS154" s="171"/>
      <c r="BT154" s="171"/>
      <c r="BU154" s="171"/>
      <c r="BV154" s="171"/>
      <c r="BW154" s="171"/>
      <c r="BX154" s="171"/>
      <c r="BY154" s="171"/>
      <c r="BZ154" s="171"/>
      <c r="CA154" s="171"/>
      <c r="CB154" s="171"/>
    </row>
    <row r="155" spans="1:80" ht="14.1" customHeight="1">
      <c r="A155" s="159" t="s">
        <v>118</v>
      </c>
      <c r="C155" s="491">
        <v>-14692.130787347087</v>
      </c>
      <c r="AZ155" s="19"/>
      <c r="BA155" s="557"/>
      <c r="BB155" s="557"/>
      <c r="BC155" s="185"/>
      <c r="BD155" s="188"/>
      <c r="BE155" s="233"/>
      <c r="BF155" s="181"/>
      <c r="BG155" s="398"/>
      <c r="BH155" s="322"/>
      <c r="BI155" s="181"/>
      <c r="BJ155" s="398"/>
      <c r="BK155" s="322"/>
      <c r="BL155" s="471"/>
      <c r="BM155" s="44"/>
      <c r="BN155" s="198"/>
      <c r="BO155" s="171"/>
      <c r="BP155" s="171"/>
      <c r="BQ155" s="171"/>
      <c r="BR155" s="171"/>
      <c r="BS155" s="171"/>
      <c r="BT155" s="171"/>
      <c r="BU155" s="171"/>
      <c r="BV155" s="171"/>
      <c r="BW155" s="171"/>
      <c r="BX155" s="171"/>
      <c r="BY155" s="171"/>
      <c r="BZ155" s="171"/>
      <c r="CA155" s="171"/>
      <c r="CB155" s="171"/>
    </row>
    <row r="156" spans="1:80" ht="14.1" customHeight="1">
      <c r="A156" s="159" t="s">
        <v>119</v>
      </c>
      <c r="C156" s="491">
        <v>19562.025364119527</v>
      </c>
      <c r="AZ156" s="19"/>
      <c r="BA156" s="557"/>
      <c r="BB156" s="562"/>
      <c r="BC156" s="449"/>
      <c r="BD156" s="188"/>
      <c r="BE156" s="233"/>
      <c r="BF156" s="181" t="s">
        <v>231</v>
      </c>
      <c r="BG156" s="398">
        <f>[5]Report!Q57</f>
        <v>0</v>
      </c>
      <c r="BH156" s="322"/>
      <c r="BI156" s="181" t="s">
        <v>231</v>
      </c>
      <c r="BJ156" s="398">
        <v>0</v>
      </c>
      <c r="BK156" s="322"/>
      <c r="BL156" s="470">
        <f>BG156-BJ156</f>
        <v>0</v>
      </c>
      <c r="BM156" s="44"/>
      <c r="BN156" s="198"/>
      <c r="BO156" s="171"/>
      <c r="BP156" s="171"/>
      <c r="BQ156" s="171"/>
      <c r="BR156" s="171"/>
      <c r="BS156" s="171"/>
      <c r="BT156" s="171"/>
      <c r="BU156" s="171"/>
      <c r="BV156" s="171"/>
      <c r="BW156" s="171"/>
      <c r="BX156" s="171"/>
      <c r="BY156" s="171"/>
      <c r="BZ156" s="171"/>
      <c r="CA156" s="171"/>
      <c r="CB156" s="171"/>
    </row>
    <row r="157" spans="1:80" ht="14.1" customHeight="1">
      <c r="A157" s="159" t="s">
        <v>121</v>
      </c>
      <c r="C157" s="491">
        <v>10509.363479610922</v>
      </c>
      <c r="AZ157" s="19"/>
      <c r="BA157" s="557"/>
      <c r="BB157" s="557"/>
      <c r="BC157" s="450">
        <f>BG156</f>
        <v>0</v>
      </c>
      <c r="BD157" s="187">
        <f>BG157</f>
        <v>0</v>
      </c>
      <c r="BE157" s="233"/>
      <c r="BF157" s="181" t="s">
        <v>232</v>
      </c>
      <c r="BG157" s="398">
        <f>[5]Report!Q58</f>
        <v>0</v>
      </c>
      <c r="BH157" s="322">
        <f>SUM(BG156:BG157)</f>
        <v>0</v>
      </c>
      <c r="BI157" s="181" t="s">
        <v>232</v>
      </c>
      <c r="BJ157" s="398">
        <v>0</v>
      </c>
      <c r="BK157" s="322">
        <v>0</v>
      </c>
      <c r="BL157" s="470">
        <f>BG157-BJ157</f>
        <v>0</v>
      </c>
      <c r="BM157" s="44"/>
      <c r="BN157" s="198"/>
      <c r="BO157" s="171"/>
      <c r="BP157" s="171"/>
      <c r="BQ157" s="171"/>
      <c r="BR157" s="171"/>
      <c r="BS157" s="171"/>
      <c r="BT157" s="171"/>
      <c r="BU157" s="171"/>
      <c r="BV157" s="171"/>
      <c r="BW157" s="171"/>
      <c r="BX157" s="171"/>
      <c r="BY157" s="171"/>
      <c r="BZ157" s="171"/>
      <c r="CA157" s="171"/>
      <c r="CB157" s="171"/>
    </row>
    <row r="158" spans="1:80" ht="14.1" customHeight="1">
      <c r="A158" s="159" t="s">
        <v>123</v>
      </c>
      <c r="C158" s="491">
        <v>2654.7920631734232</v>
      </c>
      <c r="AZ158" s="19"/>
      <c r="BA158" s="557"/>
      <c r="BB158" s="557"/>
      <c r="BC158" s="185"/>
      <c r="BD158" s="188"/>
      <c r="BE158" s="233"/>
      <c r="BF158" s="181"/>
      <c r="BG158" s="398"/>
      <c r="BH158" s="322"/>
      <c r="BI158" s="181"/>
      <c r="BJ158" s="398"/>
      <c r="BK158" s="322"/>
      <c r="BL158" s="471"/>
      <c r="BM158" s="44"/>
      <c r="BN158" s="198"/>
      <c r="BO158" s="171"/>
      <c r="BP158" s="171"/>
      <c r="BQ158" s="171"/>
      <c r="BR158" s="171"/>
      <c r="BS158" s="171"/>
      <c r="BT158" s="171"/>
      <c r="BU158" s="171"/>
      <c r="BV158" s="171"/>
      <c r="BW158" s="171"/>
      <c r="BX158" s="171"/>
      <c r="BY158" s="171"/>
      <c r="BZ158" s="171"/>
      <c r="CA158" s="171"/>
      <c r="CB158" s="171"/>
    </row>
    <row r="159" spans="1:80" ht="15" customHeight="1">
      <c r="A159" s="159" t="s">
        <v>124</v>
      </c>
      <c r="C159" s="491">
        <v>9198.3330297518478</v>
      </c>
      <c r="AZ159" s="19"/>
      <c r="BA159" s="557"/>
      <c r="BB159" s="557"/>
      <c r="BC159" s="185"/>
      <c r="BD159" s="188"/>
      <c r="BE159" s="233"/>
      <c r="BF159" s="181" t="s">
        <v>233</v>
      </c>
      <c r="BG159" s="398">
        <f>([47]Report!AC57+([16]Report!AQ57-[16]Report!I57-[16]Report!K57)+[40]Report!AK57+[46]Report!AA57)/1000</f>
        <v>15159.657501599997</v>
      </c>
      <c r="BH159" s="322"/>
      <c r="BI159" s="181" t="s">
        <v>233</v>
      </c>
      <c r="BJ159" s="398">
        <v>17507.347429300004</v>
      </c>
      <c r="BK159" s="322"/>
      <c r="BL159" s="470">
        <f>BG159-BJ159</f>
        <v>-2347.6899277000066</v>
      </c>
      <c r="BM159" s="44"/>
      <c r="BN159" s="198"/>
      <c r="BO159" s="171"/>
      <c r="BP159" s="171"/>
      <c r="BQ159" s="171"/>
      <c r="BR159" s="171"/>
      <c r="BS159" s="171"/>
      <c r="BT159" s="171"/>
      <c r="BU159" s="171"/>
      <c r="BV159" s="171"/>
      <c r="BW159" s="171"/>
      <c r="BX159" s="171"/>
      <c r="BY159" s="171"/>
      <c r="BZ159" s="171"/>
      <c r="CA159" s="171"/>
      <c r="CB159" s="171"/>
    </row>
    <row r="160" spans="1:80" ht="14.1" customHeight="1">
      <c r="A160" s="159" t="s">
        <v>125</v>
      </c>
      <c r="C160" s="491">
        <v>13138.086937362423</v>
      </c>
      <c r="AZ160" s="19"/>
      <c r="BA160" s="557"/>
      <c r="BB160" s="560"/>
      <c r="BC160" s="450">
        <f>BG159</f>
        <v>15159.657501599997</v>
      </c>
      <c r="BD160" s="187">
        <f>BG160</f>
        <v>-1759.5996671</v>
      </c>
      <c r="BE160" s="233">
        <f>-461.10084+434.23025</f>
        <v>-26.870589999999993</v>
      </c>
      <c r="BF160" s="181" t="s">
        <v>234</v>
      </c>
      <c r="BG160" s="398">
        <f>([47]Report!AC58+([16]Report!AQ58-[16]Report!I58-[16]Report!K58)+[40]Report!AK58+[46]Report!AA58)/1000</f>
        <v>-1759.5996671</v>
      </c>
      <c r="BH160" s="466">
        <f>SUM(BG159:BG160)</f>
        <v>13400.057834499998</v>
      </c>
      <c r="BI160" s="181" t="s">
        <v>234</v>
      </c>
      <c r="BJ160" s="398">
        <v>-1699.7470610999999</v>
      </c>
      <c r="BK160" s="322">
        <v>15807.600368200005</v>
      </c>
      <c r="BL160" s="470">
        <f>BG160-BJ160</f>
        <v>-59.852606000000151</v>
      </c>
      <c r="BM160" s="44"/>
      <c r="BN160" s="198"/>
      <c r="BO160" s="171"/>
      <c r="BP160" s="171"/>
      <c r="BQ160" s="171"/>
      <c r="BR160" s="171"/>
      <c r="BS160" s="171"/>
      <c r="BT160" s="171"/>
      <c r="BU160" s="171"/>
      <c r="BV160" s="171"/>
      <c r="BW160" s="171"/>
      <c r="BX160" s="171"/>
      <c r="BY160" s="171"/>
      <c r="BZ160" s="171"/>
      <c r="CA160" s="171"/>
      <c r="CB160" s="171"/>
    </row>
    <row r="161" spans="1:80" ht="14.1" customHeight="1">
      <c r="A161" s="159"/>
      <c r="C161" s="172"/>
      <c r="E161" s="172">
        <f>BE250</f>
        <v>377897.40314999985</v>
      </c>
      <c r="G161" s="4" t="s">
        <v>127</v>
      </c>
      <c r="AZ161" s="19"/>
      <c r="BA161" s="557"/>
      <c r="BB161" s="557"/>
      <c r="BC161" s="185"/>
      <c r="BD161" s="188"/>
      <c r="BE161" s="233"/>
      <c r="BF161" s="181"/>
      <c r="BG161" s="398"/>
      <c r="BH161" s="322"/>
      <c r="BI161" s="181"/>
      <c r="BJ161" s="398"/>
      <c r="BK161" s="322"/>
      <c r="BL161" s="471"/>
      <c r="BM161" s="44"/>
      <c r="BN161" s="198"/>
      <c r="BO161" s="171"/>
      <c r="BP161" s="171"/>
      <c r="BQ161" s="171"/>
      <c r="BR161" s="171"/>
      <c r="BS161" s="171"/>
      <c r="BT161" s="171"/>
      <c r="BU161" s="171"/>
      <c r="BV161" s="171"/>
      <c r="BW161" s="171"/>
      <c r="BX161" s="171"/>
      <c r="BY161" s="171"/>
      <c r="BZ161" s="171"/>
      <c r="CA161" s="171"/>
      <c r="CB161" s="171"/>
    </row>
    <row r="162" spans="1:80" ht="14.1" customHeight="1">
      <c r="A162"/>
      <c r="B162"/>
      <c r="C162" s="191" t="s">
        <v>14</v>
      </c>
      <c r="D162" s="192"/>
      <c r="E162" s="193" t="s">
        <v>129</v>
      </c>
      <c r="F162" s="194"/>
      <c r="G162" s="193" t="s">
        <v>88</v>
      </c>
      <c r="K162" s="195" t="s">
        <v>130</v>
      </c>
      <c r="AZ162" s="19"/>
      <c r="BA162" s="557"/>
      <c r="BB162" s="557"/>
      <c r="BC162" s="185"/>
      <c r="BD162" s="188"/>
      <c r="BE162" s="233"/>
      <c r="BF162" s="181" t="s">
        <v>235</v>
      </c>
      <c r="BG162" s="477">
        <f>(+[35]Report!AS57+[36]Report!Q57+[38]Report!AQ57+[37]Report!AQ57+[39]Report!AE57)/1000</f>
        <v>-42.021811399999983</v>
      </c>
      <c r="BH162" s="466"/>
      <c r="BI162" s="572" t="s">
        <v>235</v>
      </c>
      <c r="BJ162" s="477">
        <v>-47.366144900000002</v>
      </c>
      <c r="BK162" s="466"/>
      <c r="BL162" s="550">
        <f>BG162-BJ162</f>
        <v>5.3443335000000189</v>
      </c>
      <c r="BM162" s="44"/>
      <c r="BN162" s="198"/>
      <c r="BO162" s="171"/>
      <c r="BP162" s="171"/>
      <c r="BQ162" s="171"/>
      <c r="BR162" s="171"/>
      <c r="BS162" s="171"/>
      <c r="BT162" s="171"/>
      <c r="BU162" s="171"/>
      <c r="BV162" s="171"/>
      <c r="BW162" s="171"/>
      <c r="BX162" s="171"/>
      <c r="BY162" s="171"/>
      <c r="BZ162" s="171"/>
      <c r="CA162" s="171"/>
      <c r="CB162" s="171"/>
    </row>
    <row r="163" spans="1:80" ht="14.1" customHeight="1">
      <c r="A163" s="159" t="s">
        <v>131</v>
      </c>
      <c r="C163" s="172">
        <v>-4477.0181411497097</v>
      </c>
      <c r="D163" s="172"/>
      <c r="E163" s="172">
        <v>-35.518999999999998</v>
      </c>
      <c r="F163" s="172"/>
      <c r="G163" s="172">
        <v>-4441.4989999999998</v>
      </c>
      <c r="K163" s="172"/>
      <c r="M163" s="8"/>
      <c r="AZ163" s="19"/>
      <c r="BA163" s="557"/>
      <c r="BB163" s="560"/>
      <c r="BC163" s="450">
        <f>BG162</f>
        <v>-42.021811399999983</v>
      </c>
      <c r="BD163" s="187">
        <f>BG163</f>
        <v>40.480342399999991</v>
      </c>
      <c r="BE163" s="337">
        <f>(-18638.56+37231.74+2863.14+4900.12+3466.93-11018.89)/1000</f>
        <v>18.804479999999995</v>
      </c>
      <c r="BF163" s="181" t="s">
        <v>236</v>
      </c>
      <c r="BG163" s="477">
        <f>(+[35]Report!AS58+[36]Report!Q58+[38]Report!AQ58+[37]Report!AQ58+[39]Report!AE58)/1000</f>
        <v>40.480342399999991</v>
      </c>
      <c r="BH163" s="466">
        <f>SUM(BG162:BG163)</f>
        <v>-1.5414689999999922</v>
      </c>
      <c r="BI163" s="572" t="s">
        <v>236</v>
      </c>
      <c r="BJ163" s="477">
        <v>38.845181000000004</v>
      </c>
      <c r="BK163" s="466">
        <v>-8.5209638999999981</v>
      </c>
      <c r="BL163" s="550">
        <f>BG163-BJ163</f>
        <v>1.635161399999987</v>
      </c>
      <c r="BM163" s="44"/>
      <c r="BN163" s="198"/>
      <c r="BO163" s="171"/>
      <c r="BP163" s="171"/>
      <c r="BQ163" s="171"/>
      <c r="BR163" s="171"/>
      <c r="BS163" s="171"/>
      <c r="BT163" s="171"/>
      <c r="BU163" s="171"/>
      <c r="BV163" s="171"/>
      <c r="BW163" s="171"/>
      <c r="BX163" s="171"/>
      <c r="BY163" s="171"/>
      <c r="BZ163" s="171"/>
      <c r="CA163" s="171"/>
      <c r="CB163" s="171"/>
    </row>
    <row r="164" spans="1:80" ht="14.1" customHeight="1">
      <c r="A164" s="159" t="s">
        <v>133</v>
      </c>
      <c r="C164" s="172">
        <v>5726.8525929608695</v>
      </c>
      <c r="D164" s="172"/>
      <c r="E164" s="172">
        <v>1745.0740000000001</v>
      </c>
      <c r="F164" s="172"/>
      <c r="G164" s="172">
        <v>3981.7785929608694</v>
      </c>
      <c r="K164" s="172"/>
      <c r="AZ164" s="19"/>
      <c r="BA164" s="557"/>
      <c r="BB164" s="557"/>
      <c r="BC164" s="185"/>
      <c r="BD164" s="188"/>
      <c r="BE164" s="233"/>
      <c r="BF164" s="181"/>
      <c r="BG164" s="398"/>
      <c r="BH164" s="322"/>
      <c r="BI164" s="181"/>
      <c r="BJ164" s="398"/>
      <c r="BK164" s="322"/>
      <c r="BL164" s="471"/>
      <c r="BM164" s="44"/>
      <c r="BN164" s="198"/>
      <c r="BO164" s="171"/>
      <c r="BP164" s="171"/>
      <c r="BQ164" s="171"/>
      <c r="BR164" s="171"/>
      <c r="BS164" s="171"/>
      <c r="BT164" s="171"/>
      <c r="BU164" s="171"/>
      <c r="BV164" s="171"/>
      <c r="BW164" s="171"/>
      <c r="BX164" s="171"/>
      <c r="BY164" s="171"/>
      <c r="BZ164" s="171"/>
      <c r="CA164" s="171"/>
      <c r="CB164" s="171"/>
    </row>
    <row r="165" spans="1:80" ht="14.1" customHeight="1">
      <c r="A165" s="159" t="s">
        <v>135</v>
      </c>
      <c r="C165" s="172">
        <v>3677.4143535439271</v>
      </c>
      <c r="D165" s="172"/>
      <c r="E165" s="172">
        <v>446.8280008392635</v>
      </c>
      <c r="F165" s="172"/>
      <c r="G165" s="172">
        <v>3230.5863527046636</v>
      </c>
      <c r="K165" s="172"/>
      <c r="AZ165" s="19"/>
      <c r="BA165" s="557"/>
      <c r="BB165" s="557"/>
      <c r="BC165" s="185"/>
      <c r="BD165" s="188"/>
      <c r="BE165" s="233"/>
      <c r="BF165" s="181" t="s">
        <v>237</v>
      </c>
      <c r="BG165" s="398">
        <f>([11]Report!AE57+[13]Report!K57+[28]Report!AQ57+[29]Report!AQ57+[79]Report!AQ57+[87]Report!K57)/1000</f>
        <v>48.199749999999973</v>
      </c>
      <c r="BH165" s="322"/>
      <c r="BI165" s="181" t="s">
        <v>237</v>
      </c>
      <c r="BJ165" s="398">
        <v>53.540844299999996</v>
      </c>
      <c r="BK165" s="322"/>
      <c r="BL165" s="470">
        <f>BG165-BJ165</f>
        <v>-5.3410943000000231</v>
      </c>
      <c r="BM165" s="44"/>
      <c r="BN165" s="198"/>
      <c r="BO165" s="171"/>
      <c r="BP165" s="171"/>
      <c r="BQ165" s="171"/>
      <c r="BR165" s="171"/>
      <c r="BS165" s="171"/>
      <c r="BT165" s="171"/>
      <c r="BU165" s="171"/>
      <c r="BV165" s="171"/>
      <c r="BW165" s="171"/>
      <c r="BX165" s="171"/>
      <c r="BY165" s="171"/>
      <c r="BZ165" s="171"/>
      <c r="CA165" s="171"/>
      <c r="CB165" s="171"/>
    </row>
    <row r="166" spans="1:80" ht="14.1" customHeight="1">
      <c r="A166" s="159" t="s">
        <v>136</v>
      </c>
      <c r="C166" s="172">
        <v>7426.5908354040812</v>
      </c>
      <c r="D166" s="172"/>
      <c r="E166" s="172">
        <v>1649.8247619392296</v>
      </c>
      <c r="F166" s="172"/>
      <c r="G166" s="172">
        <v>5776.7660734648516</v>
      </c>
      <c r="K166" s="172"/>
      <c r="AZ166" s="19"/>
      <c r="BA166" s="557"/>
      <c r="BB166" s="560"/>
      <c r="BC166" s="450">
        <f>BG165</f>
        <v>48.199749999999973</v>
      </c>
      <c r="BD166" s="187">
        <f>BG166</f>
        <v>4.0202610000000059</v>
      </c>
      <c r="BE166" s="337">
        <f>(93296.15+3793.54-714.18)/1000</f>
        <v>96.375509999999991</v>
      </c>
      <c r="BF166" s="181" t="s">
        <v>238</v>
      </c>
      <c r="BG166" s="398">
        <f>([11]Report!AE58+[13]Report!K58+[28]Report!AQ58+[29]Report!AQ58+[79]Report!AQ58+[87]Report!K58)/1000</f>
        <v>4.0202610000000059</v>
      </c>
      <c r="BH166" s="322">
        <f>SUM(BG165:BG166)</f>
        <v>52.220010999999978</v>
      </c>
      <c r="BI166" s="181" t="s">
        <v>238</v>
      </c>
      <c r="BJ166" s="398">
        <v>3.8130087000000059</v>
      </c>
      <c r="BK166" s="322">
        <v>57.353853000000001</v>
      </c>
      <c r="BL166" s="470">
        <f>BG166-BJ166</f>
        <v>0.20725229999999994</v>
      </c>
      <c r="BM166" s="44"/>
      <c r="BN166" s="198"/>
      <c r="BO166" s="171"/>
      <c r="BP166" s="171"/>
      <c r="BQ166" s="171"/>
      <c r="BR166" s="171"/>
      <c r="BS166" s="171"/>
      <c r="BT166" s="171"/>
      <c r="BU166" s="171"/>
      <c r="BV166" s="171"/>
      <c r="BW166" s="171"/>
      <c r="BX166" s="171"/>
      <c r="BY166" s="171"/>
      <c r="BZ166" s="171"/>
      <c r="CA166" s="171"/>
      <c r="CB166" s="171"/>
    </row>
    <row r="167" spans="1:80" ht="14.1" customHeight="1">
      <c r="A167" s="159" t="s">
        <v>138</v>
      </c>
      <c r="C167" s="172">
        <v>4366.7790437642689</v>
      </c>
      <c r="D167" s="172"/>
      <c r="E167" s="172">
        <v>822.32137672208501</v>
      </c>
      <c r="F167" s="172"/>
      <c r="G167" s="172">
        <v>3540.1806670421838</v>
      </c>
      <c r="K167" s="172"/>
      <c r="AZ167" s="19"/>
      <c r="BA167" s="557"/>
      <c r="BB167" s="557"/>
      <c r="BC167" s="452"/>
      <c r="BD167" s="188"/>
      <c r="BE167" s="233"/>
      <c r="BF167" s="181"/>
      <c r="BG167" s="398"/>
      <c r="BH167" s="322"/>
      <c r="BI167" s="181"/>
      <c r="BJ167" s="398"/>
      <c r="BK167" s="322"/>
      <c r="BL167" s="471"/>
      <c r="BM167" s="44"/>
      <c r="BN167" s="198"/>
      <c r="BO167" s="171"/>
      <c r="BP167" s="171"/>
      <c r="BQ167" s="171"/>
      <c r="BR167" s="171"/>
      <c r="BS167" s="171"/>
      <c r="BT167" s="171"/>
      <c r="BU167" s="171"/>
      <c r="BV167" s="171"/>
      <c r="BW167" s="171"/>
      <c r="BX167" s="171"/>
      <c r="BY167" s="171"/>
      <c r="BZ167" s="171"/>
      <c r="CA167" s="171"/>
      <c r="CB167" s="171"/>
    </row>
    <row r="168" spans="1:80" ht="14.1" customHeight="1">
      <c r="A168" s="159"/>
      <c r="C168" s="172"/>
      <c r="D168" s="172"/>
      <c r="E168" s="172"/>
      <c r="F168" s="172"/>
      <c r="G168" s="172"/>
      <c r="K168" s="172"/>
      <c r="AZ168" s="19"/>
      <c r="BA168" s="557"/>
      <c r="BB168" s="557"/>
      <c r="BC168" s="185"/>
      <c r="BD168" s="188"/>
      <c r="BE168" s="233"/>
      <c r="BF168" s="181" t="s">
        <v>239</v>
      </c>
      <c r="BG168" s="477">
        <f>([41]Report!AK57+[42]Report!Z57+[42]Report!M57+[43]Report!O57+[43]Report!AS57+[44]Report!AM57+[19]Report!X57+[14]Report!Q57)/1000</f>
        <v>-890.01002210000036</v>
      </c>
      <c r="BH168" s="322"/>
      <c r="BI168" s="181" t="s">
        <v>239</v>
      </c>
      <c r="BJ168" s="398">
        <v>-979.64328240000043</v>
      </c>
      <c r="BK168" s="466"/>
      <c r="BL168" s="470">
        <f>BG168-BJ168</f>
        <v>89.633260300000074</v>
      </c>
      <c r="BM168" s="44"/>
      <c r="BN168" s="198"/>
      <c r="BO168" s="171"/>
      <c r="BP168" s="171"/>
      <c r="BQ168" s="171"/>
      <c r="BR168" s="171"/>
      <c r="BS168" s="171"/>
      <c r="BT168" s="171"/>
      <c r="BU168" s="171"/>
      <c r="BV168" s="171"/>
      <c r="BW168" s="171"/>
      <c r="BX168" s="171"/>
      <c r="BY168" s="171"/>
      <c r="BZ168" s="171"/>
      <c r="CA168" s="171"/>
      <c r="CB168" s="171"/>
    </row>
    <row r="169" spans="1:80" ht="14.1" customHeight="1">
      <c r="A169" s="159" t="s">
        <v>140</v>
      </c>
      <c r="C169" s="172">
        <v>2972.610786126731</v>
      </c>
      <c r="D169" s="172"/>
      <c r="E169" s="172">
        <v>-459.02607895186975</v>
      </c>
      <c r="F169" s="172"/>
      <c r="G169" s="172">
        <v>3431.6368650786007</v>
      </c>
      <c r="K169" s="172"/>
      <c r="AZ169" s="19"/>
      <c r="BA169" s="557"/>
      <c r="BB169" s="560"/>
      <c r="BC169" s="450">
        <f>BG168</f>
        <v>-890.01002210000036</v>
      </c>
      <c r="BD169" s="187">
        <f>BG169</f>
        <v>-458.45879050000019</v>
      </c>
      <c r="BE169" s="233"/>
      <c r="BF169" s="181" t="s">
        <v>240</v>
      </c>
      <c r="BG169" s="477">
        <f>([41]Report!AK58+[42]Report!Z58+[42]Report!M58+[43]Report!O58+[43]Report!AS58+[44]Report!AM58+[19]Report!X58+[14]Report!Q58)/1000</f>
        <v>-458.45879050000019</v>
      </c>
      <c r="BH169" s="466">
        <f>SUM(BG168:BG169)</f>
        <v>-1348.4688126000005</v>
      </c>
      <c r="BI169" s="181" t="s">
        <v>240</v>
      </c>
      <c r="BJ169" s="398">
        <v>-443.1047581000002</v>
      </c>
      <c r="BK169" s="466">
        <v>-1422.7480405000006</v>
      </c>
      <c r="BL169" s="470">
        <f>BG169-BJ169</f>
        <v>-15.354032399999994</v>
      </c>
      <c r="BM169" s="44"/>
      <c r="BN169" s="198"/>
      <c r="BO169" s="171"/>
      <c r="BP169" s="171"/>
      <c r="BQ169" s="171"/>
      <c r="BR169" s="171"/>
      <c r="BS169" s="171"/>
      <c r="BT169" s="171"/>
      <c r="BU169" s="171"/>
      <c r="BV169" s="171"/>
      <c r="BW169" s="171"/>
      <c r="BX169" s="171"/>
      <c r="BY169" s="171"/>
      <c r="BZ169" s="171"/>
      <c r="CA169" s="171"/>
      <c r="CB169" s="171"/>
    </row>
    <row r="170" spans="1:80" ht="14.1" customHeight="1">
      <c r="A170" s="159" t="s">
        <v>141</v>
      </c>
      <c r="C170" s="172">
        <v>9674.0589568819669</v>
      </c>
      <c r="D170" s="172"/>
      <c r="E170" s="172">
        <v>-1517.7409633898733</v>
      </c>
      <c r="F170" s="172"/>
      <c r="G170" s="172">
        <v>11191.79992027184</v>
      </c>
      <c r="K170" s="172"/>
      <c r="AZ170" s="19"/>
      <c r="BA170" s="557"/>
      <c r="BB170" s="557"/>
      <c r="BC170" s="185"/>
      <c r="BD170" s="188"/>
      <c r="BE170" s="467"/>
      <c r="BF170" s="181"/>
      <c r="BG170" s="398"/>
      <c r="BH170" s="322"/>
      <c r="BI170" s="181"/>
      <c r="BJ170" s="398"/>
      <c r="BK170" s="322"/>
      <c r="BL170" s="495"/>
      <c r="BM170" s="44"/>
      <c r="BN170" s="198"/>
      <c r="BO170" s="171"/>
      <c r="BP170" s="171"/>
      <c r="BQ170" s="171"/>
      <c r="BR170" s="171"/>
      <c r="BS170" s="171"/>
      <c r="BT170" s="171"/>
      <c r="BU170" s="171"/>
      <c r="BV170" s="171"/>
      <c r="BW170" s="171"/>
      <c r="BX170" s="171"/>
      <c r="BY170" s="171"/>
      <c r="BZ170" s="171"/>
      <c r="CA170" s="171"/>
      <c r="CB170" s="171"/>
    </row>
    <row r="171" spans="1:80" ht="14.1" customHeight="1">
      <c r="A171" s="159" t="s">
        <v>142</v>
      </c>
      <c r="C171" s="172">
        <v>38543.438404516346</v>
      </c>
      <c r="D171" s="172"/>
      <c r="E171" s="172">
        <v>9733.8442360808294</v>
      </c>
      <c r="F171" s="172"/>
      <c r="G171" s="172">
        <v>28809.594168435517</v>
      </c>
      <c r="K171" s="172"/>
      <c r="AZ171" s="19"/>
      <c r="BA171" s="557"/>
      <c r="BB171" s="557"/>
      <c r="BC171" s="185"/>
      <c r="BD171" s="188"/>
      <c r="BE171" s="233"/>
      <c r="BF171" s="181" t="s">
        <v>241</v>
      </c>
      <c r="BG171" s="477">
        <f>('[18]Financial Summary'!AC57+[30]Report!AQ57+[31]Report!AQ57+[33]Report!AG57+[34]Report!CI57+[45]Report!AA57+[32]Report!W57)/1000</f>
        <v>-52.514371799999999</v>
      </c>
      <c r="BH171" s="466"/>
      <c r="BI171" s="181" t="s">
        <v>241</v>
      </c>
      <c r="BJ171" s="477">
        <v>-58.805272900000006</v>
      </c>
      <c r="BK171" s="466"/>
      <c r="BL171" s="550">
        <f>BG171-BJ171</f>
        <v>6.2909011000000064</v>
      </c>
      <c r="BM171" s="44"/>
      <c r="BN171" s="198"/>
      <c r="BO171" s="171"/>
      <c r="BP171" s="171"/>
      <c r="BQ171" s="171"/>
      <c r="BR171" s="171"/>
      <c r="BS171" s="171"/>
      <c r="BT171" s="171"/>
      <c r="BU171" s="171"/>
      <c r="BV171" s="171"/>
      <c r="BW171" s="171"/>
      <c r="BX171" s="171"/>
      <c r="BY171" s="171"/>
      <c r="BZ171" s="171"/>
      <c r="CA171" s="171"/>
      <c r="CB171" s="171"/>
    </row>
    <row r="172" spans="1:80" ht="14.1" customHeight="1">
      <c r="A172" s="159" t="s">
        <v>143</v>
      </c>
      <c r="C172" s="172">
        <v>-3534.3667556622968</v>
      </c>
      <c r="D172" s="172"/>
      <c r="E172" s="172">
        <v>-430.34581125549403</v>
      </c>
      <c r="F172" s="172"/>
      <c r="G172" s="172">
        <v>-3104.0209444068028</v>
      </c>
      <c r="K172" s="172"/>
      <c r="AZ172" s="19"/>
      <c r="BA172" s="557"/>
      <c r="BB172" s="560"/>
      <c r="BC172" s="450">
        <f>BG171</f>
        <v>-52.514371799999999</v>
      </c>
      <c r="BD172" s="187">
        <f>BG172</f>
        <v>29.368374799999994</v>
      </c>
      <c r="BE172" s="337">
        <f>(-3656.52+269.52+68712.48-57466.85+56369.96)/1000</f>
        <v>64.228589999999997</v>
      </c>
      <c r="BF172" s="181" t="s">
        <v>242</v>
      </c>
      <c r="BG172" s="477">
        <f>('[18]Financial Summary'!AC58+[30]Report!AQ58+[31]Report!AQ58+[33]Report!AG58+[34]Report!CI58+[45]Report!AA58+[32]Report!W58)/1000</f>
        <v>29.368374799999994</v>
      </c>
      <c r="BH172" s="466">
        <f>SUM(BG171:BG172)</f>
        <v>-23.145997000000005</v>
      </c>
      <c r="BI172" s="181" t="s">
        <v>242</v>
      </c>
      <c r="BJ172" s="477">
        <v>27.947288299999997</v>
      </c>
      <c r="BK172" s="466">
        <v>-30.857984600000009</v>
      </c>
      <c r="BL172" s="550">
        <f>BG172-BJ172</f>
        <v>1.4210864999999977</v>
      </c>
      <c r="BM172" s="44"/>
      <c r="BN172" s="198"/>
      <c r="BO172" s="171"/>
      <c r="BP172" s="171"/>
      <c r="BQ172" s="171"/>
      <c r="BR172" s="171"/>
      <c r="BS172" s="171"/>
      <c r="BT172" s="171"/>
      <c r="BU172" s="171"/>
      <c r="BV172" s="171"/>
      <c r="BW172" s="171"/>
      <c r="BX172" s="171"/>
      <c r="BY172" s="171"/>
      <c r="BZ172" s="171"/>
      <c r="CA172" s="171"/>
      <c r="CB172" s="171"/>
    </row>
    <row r="173" spans="1:80" ht="14.1" customHeight="1">
      <c r="A173" s="159" t="s">
        <v>144</v>
      </c>
      <c r="C173" s="172">
        <v>797</v>
      </c>
      <c r="D173" s="172"/>
      <c r="E173" s="172">
        <v>1933.3486342509268</v>
      </c>
      <c r="F173" s="172"/>
      <c r="G173" s="172">
        <v>-1135.9169811423099</v>
      </c>
      <c r="K173" s="172"/>
      <c r="AZ173" s="19"/>
      <c r="BA173" s="557"/>
      <c r="BB173" s="557"/>
      <c r="BC173" s="185"/>
      <c r="BD173" s="188"/>
      <c r="BE173" s="233"/>
      <c r="BF173" s="181"/>
      <c r="BG173" s="398"/>
      <c r="BH173" s="322"/>
      <c r="BI173" s="181"/>
      <c r="BJ173" s="398"/>
      <c r="BK173" s="322"/>
      <c r="BL173" s="471"/>
      <c r="BM173" s="44"/>
      <c r="BN173" s="198"/>
      <c r="BO173" s="171"/>
      <c r="BP173" s="171"/>
      <c r="BQ173" s="171"/>
      <c r="BR173" s="171"/>
      <c r="BS173" s="171"/>
      <c r="BT173" s="171"/>
      <c r="BU173" s="171"/>
      <c r="BV173" s="171"/>
      <c r="BW173" s="171"/>
      <c r="BX173" s="171"/>
      <c r="BY173" s="171"/>
      <c r="BZ173" s="171"/>
      <c r="CA173" s="171"/>
      <c r="CB173" s="171"/>
    </row>
    <row r="174" spans="1:80" ht="14.1" customHeight="1">
      <c r="A174" s="196" t="s">
        <v>145</v>
      </c>
      <c r="C174" s="172">
        <v>10164.986335486941</v>
      </c>
      <c r="D174" s="172"/>
      <c r="E174" s="172">
        <v>2046.1617576997369</v>
      </c>
      <c r="F174" s="172"/>
      <c r="G174" s="172">
        <v>8118.8245777872044</v>
      </c>
      <c r="K174" s="172">
        <v>47.597000000000001</v>
      </c>
      <c r="AZ174" s="19"/>
      <c r="BA174" s="557"/>
      <c r="BB174" s="557"/>
      <c r="BC174" s="185"/>
      <c r="BD174" s="188"/>
      <c r="BE174" s="233"/>
      <c r="BF174" s="181" t="s">
        <v>243</v>
      </c>
      <c r="BG174" s="398">
        <f>(+[48]Report!AC57+[12]Report!K57)/1000</f>
        <v>-9.2064320000000013</v>
      </c>
      <c r="BH174" s="322"/>
      <c r="BI174" s="181" t="s">
        <v>243</v>
      </c>
      <c r="BJ174" s="398">
        <v>-10.201294799999999</v>
      </c>
      <c r="BK174" s="322"/>
      <c r="BL174" s="470">
        <f>BG174-BJ174</f>
        <v>0.99486279999999816</v>
      </c>
      <c r="BM174" s="44"/>
      <c r="BN174" s="198"/>
      <c r="BO174" s="171"/>
      <c r="BP174" s="171"/>
      <c r="BQ174" s="171"/>
      <c r="BR174" s="171"/>
      <c r="BS174" s="171"/>
      <c r="BT174" s="171"/>
      <c r="BU174" s="171"/>
      <c r="BV174" s="171"/>
      <c r="BW174" s="171"/>
      <c r="BX174" s="171"/>
      <c r="BY174" s="171"/>
      <c r="BZ174" s="171"/>
      <c r="CA174" s="171"/>
      <c r="CB174" s="171"/>
    </row>
    <row r="175" spans="1:80" ht="14.1" customHeight="1">
      <c r="A175" s="196" t="s">
        <v>146</v>
      </c>
      <c r="C175" s="172">
        <v>8420.3895548846886</v>
      </c>
      <c r="D175" s="172"/>
      <c r="E175" s="172">
        <f>+C175-G175</f>
        <v>1014.4670168846887</v>
      </c>
      <c r="F175" s="172"/>
      <c r="G175" s="172">
        <v>7405.9225379999998</v>
      </c>
      <c r="K175" s="172">
        <v>140</v>
      </c>
      <c r="AZ175" s="19"/>
      <c r="BA175" s="557"/>
      <c r="BB175" s="561"/>
      <c r="BC175" s="450">
        <f>BG174</f>
        <v>-9.2064320000000013</v>
      </c>
      <c r="BD175" s="187">
        <f>BG175</f>
        <v>6.6979016000000007</v>
      </c>
      <c r="BE175" s="337">
        <f>(74977.37+35227.95)/1000</f>
        <v>110.20531999999999</v>
      </c>
      <c r="BF175" s="181" t="s">
        <v>244</v>
      </c>
      <c r="BG175" s="398">
        <f>(+[48]Report!AC58+[12]Report!K58)/1000</f>
        <v>6.6979016000000007</v>
      </c>
      <c r="BH175" s="322">
        <f>SUM(BG174:BG175)</f>
        <v>-2.5085304000000006</v>
      </c>
      <c r="BI175" s="181" t="s">
        <v>244</v>
      </c>
      <c r="BJ175" s="398">
        <v>6.4339895000000018</v>
      </c>
      <c r="BK175" s="322">
        <v>-3.7673052999999976</v>
      </c>
      <c r="BL175" s="470">
        <f>BG175-BJ175</f>
        <v>0.26391209999999887</v>
      </c>
      <c r="BM175" s="44"/>
      <c r="BN175" s="198"/>
      <c r="BO175" s="171"/>
      <c r="BP175" s="171"/>
      <c r="BQ175" s="171"/>
      <c r="BR175" s="171"/>
      <c r="BS175" s="171"/>
      <c r="BT175" s="171"/>
      <c r="BU175" s="171"/>
      <c r="BV175" s="171"/>
      <c r="BW175" s="171"/>
      <c r="BX175" s="171"/>
      <c r="BY175" s="171"/>
      <c r="BZ175" s="171"/>
      <c r="CA175" s="171"/>
      <c r="CB175" s="171"/>
    </row>
    <row r="176" spans="1:80" ht="14.1" customHeight="1">
      <c r="A176" s="196" t="s">
        <v>148</v>
      </c>
      <c r="C176" s="172">
        <v>-33782.640624265026</v>
      </c>
      <c r="D176" s="172"/>
      <c r="E176" s="172">
        <v>-5038.0997267312378</v>
      </c>
      <c r="F176" s="172"/>
      <c r="G176" s="172">
        <v>-28744.540897533789</v>
      </c>
      <c r="K176" s="172">
        <v>-124</v>
      </c>
      <c r="AZ176" s="19"/>
      <c r="BA176" s="557"/>
      <c r="BB176" s="557"/>
      <c r="BC176" s="185"/>
      <c r="BD176" s="188"/>
      <c r="BE176" s="233"/>
      <c r="BF176" s="181"/>
      <c r="BG176" s="398"/>
      <c r="BH176" s="322"/>
      <c r="BI176" s="181"/>
      <c r="BJ176" s="398"/>
      <c r="BK176" s="322"/>
      <c r="BL176" s="471"/>
      <c r="BM176" s="44"/>
      <c r="BN176" s="198"/>
      <c r="BO176" s="171"/>
      <c r="BP176" s="171"/>
      <c r="BQ176" s="171"/>
      <c r="BR176" s="171"/>
      <c r="BS176" s="171"/>
      <c r="BT176" s="171"/>
      <c r="BU176" s="171"/>
      <c r="BV176" s="171"/>
      <c r="BW176" s="171"/>
      <c r="BX176" s="171"/>
      <c r="BY176" s="171"/>
      <c r="BZ176" s="171"/>
      <c r="CA176" s="171"/>
      <c r="CB176" s="171"/>
    </row>
    <row r="177" spans="1:80" ht="14.1" customHeight="1">
      <c r="A177" s="196" t="s">
        <v>150</v>
      </c>
      <c r="C177" s="172">
        <v>-7049.2245374287822</v>
      </c>
      <c r="D177" s="172"/>
      <c r="E177" s="172">
        <f t="shared" ref="E177:E201" si="1">+C177-G177</f>
        <v>3999.485838446778</v>
      </c>
      <c r="F177" s="172"/>
      <c r="G177" s="172">
        <v>-11048.71037587556</v>
      </c>
      <c r="K177" s="172">
        <v>405.09926749077135</v>
      </c>
      <c r="O177" s="8"/>
      <c r="AZ177" s="19"/>
      <c r="BA177" s="557"/>
      <c r="BB177" s="557"/>
      <c r="BC177" s="185"/>
      <c r="BD177" s="188"/>
      <c r="BE177" s="233"/>
      <c r="BF177" s="181" t="s">
        <v>245</v>
      </c>
      <c r="BG177" s="398">
        <f>(+[9]Report!AO57+[9]Report!AP57)/1000</f>
        <v>-229.20581760000007</v>
      </c>
      <c r="BH177" s="322"/>
      <c r="BI177" s="181" t="s">
        <v>245</v>
      </c>
      <c r="BJ177" s="398">
        <v>-264.62507430000011</v>
      </c>
      <c r="BK177" s="322"/>
      <c r="BL177" s="470">
        <f>BG177-BJ177</f>
        <v>35.419256700000034</v>
      </c>
      <c r="BM177" s="44"/>
      <c r="BN177" s="198"/>
      <c r="BO177" s="171"/>
      <c r="BP177" s="171"/>
      <c r="BQ177" s="171"/>
      <c r="BR177" s="171"/>
      <c r="BS177" s="171"/>
      <c r="BT177" s="171"/>
      <c r="BU177" s="171"/>
      <c r="BV177" s="171"/>
      <c r="BW177" s="171"/>
      <c r="BX177" s="171"/>
      <c r="BY177" s="171"/>
      <c r="BZ177" s="171"/>
      <c r="CA177" s="171"/>
      <c r="CB177" s="171"/>
    </row>
    <row r="178" spans="1:80" ht="14.1" customHeight="1">
      <c r="A178" s="196" t="s">
        <v>151</v>
      </c>
      <c r="C178" s="172">
        <v>1788.604994865892</v>
      </c>
      <c r="D178" s="172"/>
      <c r="E178" s="172">
        <f t="shared" si="1"/>
        <v>446.98959486589206</v>
      </c>
      <c r="F178" s="172"/>
      <c r="G178" s="172">
        <v>1341.6153999999999</v>
      </c>
      <c r="K178" s="172">
        <v>-168.876</v>
      </c>
      <c r="AZ178" s="19"/>
      <c r="BA178" s="557"/>
      <c r="BB178" s="560"/>
      <c r="BC178" s="450">
        <f>BG177</f>
        <v>-229.20581760000007</v>
      </c>
      <c r="BD178" s="187">
        <f>BG178</f>
        <v>51.069762400000009</v>
      </c>
      <c r="BE178" s="233"/>
      <c r="BF178" s="181" t="s">
        <v>246</v>
      </c>
      <c r="BG178" s="398">
        <f>(+[9]Report!AO58+[9]Report!AP58)/1000</f>
        <v>51.069762400000009</v>
      </c>
      <c r="BH178" s="322">
        <f>SUM(BG177:BG178)</f>
        <v>-178.13605520000007</v>
      </c>
      <c r="BI178" s="181" t="s">
        <v>246</v>
      </c>
      <c r="BJ178" s="398">
        <v>49.277409400000003</v>
      </c>
      <c r="BK178" s="322">
        <v>-215.3476649000001</v>
      </c>
      <c r="BL178" s="470">
        <f>BG178-BJ178</f>
        <v>1.7923530000000056</v>
      </c>
      <c r="BM178" s="44"/>
      <c r="BN178" s="198"/>
      <c r="BO178" s="171"/>
      <c r="BP178" s="171"/>
      <c r="BQ178" s="171"/>
      <c r="BR178" s="171"/>
      <c r="BS178" s="171"/>
      <c r="BT178" s="171"/>
      <c r="BU178" s="171"/>
      <c r="BV178" s="171"/>
      <c r="BW178" s="171"/>
      <c r="BX178" s="171"/>
      <c r="BY178" s="171"/>
      <c r="BZ178" s="171"/>
      <c r="CA178" s="171"/>
      <c r="CB178" s="171"/>
    </row>
    <row r="179" spans="1:80" ht="14.1" customHeight="1">
      <c r="A179" s="196" t="s">
        <v>152</v>
      </c>
      <c r="C179" s="172">
        <v>-15055.812</v>
      </c>
      <c r="D179" s="172"/>
      <c r="E179" s="172">
        <f t="shared" si="1"/>
        <v>-1915.0110000000004</v>
      </c>
      <c r="F179" s="172"/>
      <c r="G179" s="172">
        <v>-13140.800999999999</v>
      </c>
      <c r="K179" s="172">
        <f>-224.72222128621-175.082</f>
        <v>-399.80422128621001</v>
      </c>
      <c r="AZ179" s="19"/>
      <c r="BA179" s="557"/>
      <c r="BB179" s="557"/>
      <c r="BC179" s="185"/>
      <c r="BD179" s="188"/>
      <c r="BE179" s="233"/>
      <c r="BF179" s="181"/>
      <c r="BG179" s="398"/>
      <c r="BH179" s="322"/>
      <c r="BI179" s="181"/>
      <c r="BJ179" s="398"/>
      <c r="BK179" s="322"/>
      <c r="BL179" s="471"/>
      <c r="BM179" s="44"/>
      <c r="BN179" s="198"/>
      <c r="BO179" s="171"/>
      <c r="BP179" s="171"/>
      <c r="BQ179" s="171"/>
      <c r="BR179" s="171"/>
      <c r="BS179" s="171"/>
      <c r="BT179" s="171"/>
      <c r="BU179" s="171"/>
      <c r="BV179" s="171"/>
      <c r="BW179" s="171"/>
      <c r="BX179" s="171"/>
      <c r="BY179" s="171"/>
      <c r="BZ179" s="171"/>
      <c r="CA179" s="171"/>
      <c r="CB179" s="171"/>
    </row>
    <row r="180" spans="1:80" ht="14.1" customHeight="1">
      <c r="A180" s="196" t="s">
        <v>153</v>
      </c>
      <c r="C180" s="172">
        <v>-12519.594999999999</v>
      </c>
      <c r="D180" s="172"/>
      <c r="E180" s="172">
        <f t="shared" si="1"/>
        <v>322.07600000000093</v>
      </c>
      <c r="F180" s="172"/>
      <c r="G180" s="172">
        <v>-12841.671</v>
      </c>
      <c r="K180" s="172">
        <v>-413.00099999999998</v>
      </c>
      <c r="AZ180" s="19"/>
      <c r="BA180" s="557"/>
      <c r="BB180" s="557"/>
      <c r="BC180" s="185"/>
      <c r="BD180" s="188"/>
      <c r="BE180" s="233"/>
      <c r="BF180" s="181" t="s">
        <v>247</v>
      </c>
      <c r="BG180" s="398">
        <f>([108]WEST_DPR!DT77+'[109]SUM (TRADER)'!FX114)/1000+[5]Report!M57</f>
        <v>-6608.6598545825173</v>
      </c>
      <c r="BH180" s="322"/>
      <c r="BI180" s="332" t="s">
        <v>247</v>
      </c>
      <c r="BJ180" s="398">
        <v>-7494.0632142604663</v>
      </c>
      <c r="BK180" s="322"/>
      <c r="BL180" s="550">
        <f>BG180-BJ180</f>
        <v>885.40335967794908</v>
      </c>
      <c r="BM180" s="44"/>
      <c r="BN180" s="198"/>
      <c r="BO180" s="171"/>
      <c r="BP180" s="171"/>
      <c r="BQ180" s="171"/>
      <c r="BR180" s="171"/>
      <c r="BS180" s="171"/>
      <c r="BT180" s="171"/>
      <c r="BU180" s="171"/>
      <c r="BV180" s="171"/>
      <c r="BW180" s="171"/>
      <c r="BX180" s="171"/>
      <c r="BY180" s="171"/>
      <c r="BZ180" s="171"/>
      <c r="CA180" s="171"/>
      <c r="CB180" s="171"/>
    </row>
    <row r="181" spans="1:80" ht="14.1" customHeight="1">
      <c r="A181" s="196" t="s">
        <v>154</v>
      </c>
      <c r="C181" s="172">
        <v>-12386</v>
      </c>
      <c r="E181" s="172">
        <f t="shared" si="1"/>
        <v>-1790.0108345562894</v>
      </c>
      <c r="G181" s="172">
        <v>-10595.989165443711</v>
      </c>
      <c r="K181" s="172">
        <v>625.875</v>
      </c>
      <c r="AZ181" s="19"/>
      <c r="BA181" s="557"/>
      <c r="BB181" s="560"/>
      <c r="BC181" s="450">
        <f>BG180</f>
        <v>-6608.6598545825173</v>
      </c>
      <c r="BD181" s="187">
        <f>BG181</f>
        <v>2707.7839382168963</v>
      </c>
      <c r="BE181" s="233">
        <f>7021.63+298.899</f>
        <v>7320.5290000000005</v>
      </c>
      <c r="BF181" s="181" t="s">
        <v>248</v>
      </c>
      <c r="BG181" s="398">
        <f>([108]WEST_DPR!DU77+'[109]SUM (TRADER)'!FY114)/1000+[5]Report!M58</f>
        <v>2707.7839382168963</v>
      </c>
      <c r="BH181" s="322">
        <f>SUM(BG180:BG181)</f>
        <v>-3900.8759163656209</v>
      </c>
      <c r="BI181" s="332" t="s">
        <v>248</v>
      </c>
      <c r="BJ181" s="398">
        <v>2609.1375676600983</v>
      </c>
      <c r="BK181" s="322">
        <v>-4884.9256466003681</v>
      </c>
      <c r="BL181" s="550">
        <f>BG181-BJ181</f>
        <v>98.646370556798047</v>
      </c>
      <c r="BM181" s="44"/>
      <c r="BN181" s="198"/>
      <c r="BO181" s="171"/>
      <c r="BP181" s="171"/>
      <c r="BQ181" s="171"/>
      <c r="BR181" s="171"/>
      <c r="BS181" s="171"/>
      <c r="BT181" s="171"/>
      <c r="BU181" s="171"/>
      <c r="BV181" s="171"/>
      <c r="BW181" s="171"/>
      <c r="BX181" s="171"/>
      <c r="BY181" s="171"/>
      <c r="BZ181" s="171"/>
      <c r="CA181" s="171"/>
      <c r="CB181" s="171"/>
    </row>
    <row r="182" spans="1:80" ht="14.1" customHeight="1">
      <c r="A182" s="196" t="s">
        <v>155</v>
      </c>
      <c r="C182" s="172">
        <v>-8372</v>
      </c>
      <c r="E182" s="172">
        <f t="shared" si="1"/>
        <v>687</v>
      </c>
      <c r="G182" s="172">
        <v>-9059</v>
      </c>
      <c r="K182" s="172">
        <v>88</v>
      </c>
      <c r="AZ182" s="19"/>
      <c r="BA182" s="557"/>
      <c r="BB182" s="557"/>
      <c r="BC182" s="449"/>
      <c r="BD182" s="188"/>
      <c r="BE182" s="233"/>
      <c r="BF182" s="181"/>
      <c r="BG182" s="398"/>
      <c r="BH182" s="322"/>
      <c r="BI182" s="181"/>
      <c r="BJ182" s="398"/>
      <c r="BK182" s="322"/>
      <c r="BL182" s="471"/>
      <c r="BM182" s="44"/>
      <c r="BN182" s="198"/>
      <c r="BO182" s="171"/>
      <c r="BP182" s="171"/>
      <c r="BQ182" s="171"/>
      <c r="BR182" s="171"/>
      <c r="BS182" s="171"/>
      <c r="BT182" s="171"/>
      <c r="BU182" s="171"/>
      <c r="BV182" s="171"/>
      <c r="BW182" s="171"/>
      <c r="BX182" s="171"/>
      <c r="BY182" s="171"/>
      <c r="BZ182" s="171"/>
      <c r="CA182" s="171"/>
      <c r="CB182" s="171"/>
    </row>
    <row r="183" spans="1:80" ht="14.1" customHeight="1">
      <c r="A183" s="196" t="s">
        <v>156</v>
      </c>
      <c r="C183" s="172">
        <v>-4050</v>
      </c>
      <c r="E183" s="172">
        <f t="shared" si="1"/>
        <v>2777</v>
      </c>
      <c r="G183" s="172">
        <v>-6827</v>
      </c>
      <c r="K183" s="172">
        <v>240</v>
      </c>
      <c r="AZ183" s="19"/>
      <c r="BA183" s="557"/>
      <c r="BB183" s="557"/>
      <c r="BC183" s="449"/>
      <c r="BD183" s="188"/>
      <c r="BE183" s="233"/>
      <c r="BF183" s="181" t="s">
        <v>193</v>
      </c>
      <c r="BG183" s="398">
        <f>'[110]Sum Trader'!GA61/1000</f>
        <v>-2868.6093679732621</v>
      </c>
      <c r="BH183" s="322"/>
      <c r="BI183" s="181" t="s">
        <v>193</v>
      </c>
      <c r="BJ183" s="398">
        <v>-3470.0350561341575</v>
      </c>
      <c r="BK183" s="322"/>
      <c r="BL183" s="550">
        <f>BG183-BJ183</f>
        <v>601.42568816089533</v>
      </c>
      <c r="BM183" s="44"/>
      <c r="BN183" s="198"/>
      <c r="BO183" s="171"/>
      <c r="BP183" s="171"/>
      <c r="BQ183" s="171"/>
      <c r="BR183" s="171"/>
      <c r="BS183" s="171"/>
      <c r="BT183" s="171"/>
      <c r="BU183" s="171"/>
      <c r="BV183" s="171"/>
      <c r="BW183" s="171"/>
      <c r="BX183" s="171"/>
      <c r="BY183" s="171"/>
      <c r="BZ183" s="171"/>
      <c r="CA183" s="171"/>
      <c r="CB183" s="171"/>
    </row>
    <row r="184" spans="1:80" ht="14.1" customHeight="1">
      <c r="A184" s="196" t="s">
        <v>157</v>
      </c>
      <c r="C184" s="172">
        <v>2117.4509571287381</v>
      </c>
      <c r="E184" s="172">
        <f t="shared" si="1"/>
        <v>-560.21375794326104</v>
      </c>
      <c r="G184" s="172">
        <v>2677.6647150719991</v>
      </c>
      <c r="K184" s="172">
        <v>-98.25</v>
      </c>
      <c r="AZ184" s="19"/>
      <c r="BA184" s="557"/>
      <c r="BB184" s="561"/>
      <c r="BC184" s="450" t="s">
        <v>273</v>
      </c>
      <c r="BD184" s="187"/>
      <c r="BE184" s="233">
        <f>46781.905-5249.54103</f>
        <v>41532.363969999999</v>
      </c>
      <c r="BF184" s="181" t="s">
        <v>194</v>
      </c>
      <c r="BG184" s="398">
        <f>'[110]Sum Trader'!GB61/1000</f>
        <v>1236.4571721839588</v>
      </c>
      <c r="BH184" s="322">
        <f>SUM(BG183:BG184)</f>
        <v>-1632.1521957893033</v>
      </c>
      <c r="BI184" s="181" t="s">
        <v>194</v>
      </c>
      <c r="BJ184" s="398">
        <v>1192.7133728446674</v>
      </c>
      <c r="BK184" s="322">
        <v>-2277.32168328949</v>
      </c>
      <c r="BL184" s="550">
        <f>BG184-BJ184</f>
        <v>43.7437993392914</v>
      </c>
      <c r="BM184" s="247"/>
      <c r="BN184" s="236"/>
      <c r="BO184" s="233"/>
      <c r="BP184" s="171"/>
      <c r="BQ184" s="171"/>
      <c r="BR184" s="171"/>
      <c r="BS184" s="171"/>
      <c r="BT184" s="171"/>
      <c r="BU184" s="171"/>
      <c r="BV184" s="171"/>
      <c r="BW184" s="171"/>
      <c r="BX184" s="171"/>
      <c r="BY184" s="171"/>
      <c r="BZ184" s="171"/>
      <c r="CA184" s="171"/>
      <c r="CB184" s="171"/>
    </row>
    <row r="185" spans="1:80" ht="14.1" customHeight="1">
      <c r="A185" s="196" t="s">
        <v>158</v>
      </c>
      <c r="C185" s="172">
        <v>-1965.7527749472019</v>
      </c>
      <c r="E185" s="172">
        <f t="shared" si="1"/>
        <v>8.8989230835973103</v>
      </c>
      <c r="G185" s="172">
        <v>-1974.6516980307993</v>
      </c>
      <c r="K185" s="172">
        <v>-123.49309133065481</v>
      </c>
      <c r="AZ185" s="19"/>
      <c r="BA185" s="557"/>
      <c r="BB185" s="561"/>
      <c r="BC185" s="450"/>
      <c r="BD185" s="187"/>
      <c r="BE185" s="233"/>
      <c r="BF185" s="181"/>
      <c r="BG185" s="398"/>
      <c r="BH185" s="322"/>
      <c r="BI185" s="181"/>
      <c r="BJ185" s="398"/>
      <c r="BK185" s="322"/>
      <c r="BL185" s="470"/>
      <c r="BM185" s="247"/>
      <c r="BN185" s="236"/>
      <c r="BO185" s="233"/>
      <c r="BP185" s="171"/>
      <c r="BQ185" s="171"/>
      <c r="BR185" s="171"/>
      <c r="BS185" s="171"/>
      <c r="BT185" s="171"/>
      <c r="BU185" s="171"/>
      <c r="BV185" s="171"/>
      <c r="BW185" s="171"/>
      <c r="BX185" s="171"/>
      <c r="BY185" s="171"/>
      <c r="BZ185" s="171"/>
      <c r="CA185" s="171"/>
      <c r="CB185" s="171"/>
    </row>
    <row r="186" spans="1:80" ht="14.1" customHeight="1">
      <c r="A186" s="196" t="s">
        <v>159</v>
      </c>
      <c r="C186" s="172">
        <v>-9834.1672666831964</v>
      </c>
      <c r="E186" s="172">
        <f t="shared" si="1"/>
        <v>184.03337535524588</v>
      </c>
      <c r="G186" s="172">
        <v>-10018.200642038442</v>
      </c>
      <c r="K186" s="172">
        <v>-504.38762593436218</v>
      </c>
      <c r="AZ186" s="19"/>
      <c r="BA186" s="557"/>
      <c r="BB186" s="561"/>
      <c r="BC186" s="450"/>
      <c r="BD186" s="187"/>
      <c r="BE186" s="233"/>
      <c r="BF186" s="181" t="s">
        <v>264</v>
      </c>
      <c r="BG186" s="398">
        <f>([68]Report!$AE$34)/1000</f>
        <v>52.401166500000009</v>
      </c>
      <c r="BH186" s="322"/>
      <c r="BI186" s="181" t="s">
        <v>264</v>
      </c>
      <c r="BJ186" s="398">
        <v>59.738402000000015</v>
      </c>
      <c r="BK186" s="322"/>
      <c r="BL186" s="470">
        <f>BG186-BJ186</f>
        <v>-7.3372355000000056</v>
      </c>
      <c r="BM186" s="247"/>
      <c r="BN186" s="236"/>
      <c r="BO186" s="233"/>
      <c r="BP186" s="171"/>
      <c r="BQ186" s="171"/>
      <c r="BR186" s="171"/>
      <c r="BS186" s="171"/>
      <c r="BT186" s="171"/>
      <c r="BU186" s="171"/>
      <c r="BV186" s="171"/>
      <c r="BW186" s="171"/>
      <c r="BX186" s="171"/>
      <c r="BY186" s="171"/>
      <c r="BZ186" s="171"/>
      <c r="CA186" s="171"/>
      <c r="CB186" s="171"/>
    </row>
    <row r="187" spans="1:80" ht="14.1" customHeight="1">
      <c r="A187" s="196" t="s">
        <v>160</v>
      </c>
      <c r="C187" s="172">
        <v>-3668.8329850550026</v>
      </c>
      <c r="E187" s="172">
        <f t="shared" si="1"/>
        <v>-3503.1502989353003</v>
      </c>
      <c r="G187" s="172">
        <v>-165.68268611970237</v>
      </c>
      <c r="K187" s="172">
        <v>-532.91829885814036</v>
      </c>
      <c r="AZ187" s="19"/>
      <c r="BA187" s="557"/>
      <c r="BB187" s="561"/>
      <c r="BC187" s="450">
        <f>BG186</f>
        <v>52.401166500000009</v>
      </c>
      <c r="BD187" s="187">
        <f>BG187</f>
        <v>-273.84561760000003</v>
      </c>
      <c r="BE187" s="233">
        <f>6712.836+487.05778</f>
        <v>7199.8937800000003</v>
      </c>
      <c r="BF187" s="181" t="s">
        <v>265</v>
      </c>
      <c r="BG187" s="398">
        <f>[68]Report!$AE$35/1000</f>
        <v>-273.84561760000003</v>
      </c>
      <c r="BH187" s="322">
        <f>SUM(BG186:BG187)</f>
        <v>-221.44445110000001</v>
      </c>
      <c r="BI187" s="181" t="s">
        <v>265</v>
      </c>
      <c r="BJ187" s="398">
        <v>-264.74130859999997</v>
      </c>
      <c r="BK187" s="322">
        <v>-205.00290659999996</v>
      </c>
      <c r="BL187" s="470">
        <f>BG187-BJ187</f>
        <v>-9.1043090000000575</v>
      </c>
      <c r="BM187" s="247"/>
      <c r="BN187" s="236"/>
      <c r="BO187" s="233"/>
      <c r="BP187" s="171"/>
      <c r="BQ187" s="171"/>
      <c r="BR187" s="171"/>
      <c r="BS187" s="171"/>
      <c r="BT187" s="171"/>
      <c r="BU187" s="171"/>
      <c r="BV187" s="171"/>
      <c r="BW187" s="171"/>
      <c r="BX187" s="171"/>
      <c r="BY187" s="171"/>
      <c r="BZ187" s="171"/>
      <c r="CA187" s="171"/>
      <c r="CB187" s="171"/>
    </row>
    <row r="188" spans="1:80" ht="14.1" customHeight="1">
      <c r="A188" s="196" t="s">
        <v>161</v>
      </c>
      <c r="C188" s="172">
        <v>-3160.7990856402957</v>
      </c>
      <c r="E188" s="172">
        <f t="shared" si="1"/>
        <v>5866.3735940149254</v>
      </c>
      <c r="G188" s="172">
        <v>-9027.1726796552211</v>
      </c>
      <c r="K188" s="172">
        <v>-15.582930865168237</v>
      </c>
      <c r="AZ188" s="19"/>
      <c r="BA188" s="557"/>
      <c r="BB188" s="557"/>
      <c r="BC188" s="449"/>
      <c r="BD188" s="188"/>
      <c r="BE188" s="171"/>
      <c r="BF188" s="181"/>
      <c r="BG188" s="398"/>
      <c r="BH188" s="322"/>
      <c r="BI188" s="332"/>
      <c r="BJ188" s="398"/>
      <c r="BK188" s="322"/>
      <c r="BL188" s="471"/>
      <c r="BM188" s="247"/>
      <c r="BN188" s="236"/>
      <c r="BO188" s="233"/>
      <c r="BP188" s="171"/>
      <c r="BQ188" s="171"/>
      <c r="BR188" s="171"/>
      <c r="BS188" s="171"/>
      <c r="BT188" s="171"/>
      <c r="BU188" s="171"/>
      <c r="BV188" s="171"/>
      <c r="BW188" s="171"/>
      <c r="BX188" s="171"/>
      <c r="BY188" s="171"/>
      <c r="BZ188" s="171"/>
      <c r="CA188" s="171"/>
      <c r="CB188" s="171"/>
    </row>
    <row r="189" spans="1:80" ht="16.5" customHeight="1" thickBot="1">
      <c r="A189" s="196" t="s">
        <v>162</v>
      </c>
      <c r="C189" s="172">
        <v>3193.5458950958473</v>
      </c>
      <c r="E189" s="172">
        <f t="shared" si="1"/>
        <v>3065.2444581520713</v>
      </c>
      <c r="G189" s="172">
        <f>-500.795473056224+629.09691</f>
        <v>128.30143694377597</v>
      </c>
      <c r="K189" s="172">
        <v>732.24472112508658</v>
      </c>
      <c r="AZ189" s="518"/>
      <c r="BA189" s="455">
        <f>[92]Report!$BI$42</f>
        <v>9522.8792857628596</v>
      </c>
      <c r="BB189" s="455">
        <f>[92]Report!$BI$48</f>
        <v>-2438.527766016919</v>
      </c>
      <c r="BC189" s="455">
        <f>SUM(BC142:BC188)</f>
        <v>7313.8266808174803</v>
      </c>
      <c r="BD189" s="455">
        <f>SUM(BD142:BD188)</f>
        <v>-1645.5019762831043</v>
      </c>
      <c r="BE189" s="454" t="s">
        <v>250</v>
      </c>
      <c r="BF189" s="443"/>
      <c r="BG189" s="444"/>
      <c r="BH189" s="445"/>
      <c r="BI189" s="446"/>
      <c r="BJ189" s="444"/>
      <c r="BK189" s="445"/>
      <c r="BL189" s="472"/>
      <c r="BM189" s="247"/>
      <c r="BN189" s="236"/>
      <c r="BO189" s="233"/>
      <c r="BP189" s="171"/>
      <c r="BQ189" s="171"/>
      <c r="BR189" s="171"/>
      <c r="BS189" s="171"/>
      <c r="BT189" s="171"/>
      <c r="BU189" s="171"/>
      <c r="BV189" s="171"/>
      <c r="BW189" s="171"/>
      <c r="BX189" s="171"/>
      <c r="BY189" s="171"/>
      <c r="BZ189" s="171"/>
      <c r="CA189" s="171"/>
      <c r="CB189" s="171"/>
    </row>
    <row r="190" spans="1:80" ht="14.1" customHeight="1" thickTop="1">
      <c r="A190" s="196" t="s">
        <v>180</v>
      </c>
      <c r="C190" s="172">
        <v>2460.44594802762</v>
      </c>
      <c r="E190" s="172">
        <f t="shared" si="1"/>
        <v>-839.97118549285324</v>
      </c>
      <c r="G190" s="172">
        <v>3300.4171335204733</v>
      </c>
      <c r="K190" s="172">
        <v>38.038993319464794</v>
      </c>
      <c r="AZ190" s="19"/>
      <c r="BA190" s="557"/>
      <c r="BB190" s="557"/>
      <c r="BC190" s="185"/>
      <c r="BD190" s="188"/>
      <c r="BE190" s="171"/>
      <c r="BF190" s="181"/>
      <c r="BG190" s="233"/>
      <c r="BH190" s="322"/>
      <c r="BI190" s="332"/>
      <c r="BJ190" s="233"/>
      <c r="BK190" s="322"/>
      <c r="BL190" s="471"/>
      <c r="BM190" s="247"/>
      <c r="BN190" s="236"/>
      <c r="BO190" s="233"/>
      <c r="BP190" s="171"/>
      <c r="BQ190" s="171"/>
      <c r="BR190" s="171"/>
      <c r="BS190" s="171"/>
      <c r="BT190" s="171"/>
      <c r="BU190" s="171"/>
      <c r="BV190" s="171"/>
      <c r="BW190" s="171"/>
      <c r="BX190" s="171"/>
      <c r="BY190" s="171"/>
      <c r="BZ190" s="171"/>
      <c r="CA190" s="171"/>
      <c r="CB190" s="171"/>
    </row>
    <row r="191" spans="1:80" ht="15.75" customHeight="1">
      <c r="A191" s="196" t="s">
        <v>183</v>
      </c>
      <c r="C191" s="172">
        <v>-3197.8869862159499</v>
      </c>
      <c r="E191" s="172">
        <f t="shared" si="1"/>
        <v>144.11445735833013</v>
      </c>
      <c r="G191" s="172">
        <f>-3329.11244357428-12.889</f>
        <v>-3342.0014435742801</v>
      </c>
      <c r="K191" s="172">
        <v>355.60297919715993</v>
      </c>
      <c r="AZ191" s="19"/>
      <c r="BA191" s="557"/>
      <c r="BB191" s="557"/>
      <c r="BC191" s="450"/>
      <c r="BD191" s="187"/>
      <c r="BE191" s="171"/>
      <c r="BF191" s="189" t="s">
        <v>104</v>
      </c>
      <c r="BG191" s="486">
        <f>[50]Report!Y57+[98]Report!Y57+[97]Report!AD57+[53]Report!AB57+[104]Report!AE57</f>
        <v>-9417.4819039999966</v>
      </c>
      <c r="BH191" s="322"/>
      <c r="BI191" s="331" t="s">
        <v>104</v>
      </c>
      <c r="BJ191" s="398">
        <v>-9451.5593403999974</v>
      </c>
      <c r="BK191" s="322"/>
      <c r="BL191" s="470">
        <f>BG191-BJ191</f>
        <v>34.077436400000806</v>
      </c>
      <c r="BM191" s="20"/>
      <c r="BN191" s="198"/>
      <c r="BO191" s="171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</row>
    <row r="192" spans="1:80" ht="14.1" customHeight="1">
      <c r="A192" s="196" t="s">
        <v>184</v>
      </c>
      <c r="C192" s="172">
        <v>7386.5915749822434</v>
      </c>
      <c r="E192" s="172">
        <f t="shared" si="1"/>
        <v>7105.7912113993079</v>
      </c>
      <c r="G192" s="172">
        <v>280.80036358293529</v>
      </c>
      <c r="K192" s="172">
        <v>-148.82505997304906</v>
      </c>
      <c r="AZ192" s="19"/>
      <c r="BA192" s="557"/>
      <c r="BB192" s="557"/>
      <c r="BC192" s="450">
        <f>BG191-([98]Report!Y57+[97]Report!AD57)</f>
        <v>-9282.737003299997</v>
      </c>
      <c r="BD192" s="187">
        <f>BG192-([98]Report!Y58+[97]Report!AD58)</f>
        <v>1021.8750563999998</v>
      </c>
      <c r="BE192" s="233">
        <f>31731.984+1.9707+108.14196</f>
        <v>31842.096660000003</v>
      </c>
      <c r="BF192" s="189" t="s">
        <v>107</v>
      </c>
      <c r="BG192" s="327">
        <f>[50]Report!Y58+[98]Report!Y58+[97]Report!AD58+[53]Report!AB58+[104]Report!AE58</f>
        <v>1051.7619757999998</v>
      </c>
      <c r="BH192" s="322">
        <f>SUM(BG191:BG192)</f>
        <v>-8365.7199281999965</v>
      </c>
      <c r="BI192" s="331" t="s">
        <v>107</v>
      </c>
      <c r="BJ192" s="398">
        <v>1016.5188366000003</v>
      </c>
      <c r="BK192" s="322">
        <v>-8435.0405037999972</v>
      </c>
      <c r="BL192" s="470">
        <f t="shared" ref="BL192:BL207" si="2">BG192-BJ192</f>
        <v>35.243139199999518</v>
      </c>
      <c r="BM192" s="20"/>
      <c r="BN192" s="198"/>
      <c r="BO192" s="171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</row>
    <row r="193" spans="1:80" ht="14.1" customHeight="1">
      <c r="A193" s="196" t="s">
        <v>185</v>
      </c>
      <c r="C193" s="172">
        <v>-2167.382284234448</v>
      </c>
      <c r="E193" s="172">
        <f t="shared" si="1"/>
        <v>2725.6537636093408</v>
      </c>
      <c r="G193" s="172">
        <v>-4893.0360478437888</v>
      </c>
      <c r="K193" s="172">
        <v>389.9605240674266</v>
      </c>
      <c r="AZ193" s="19"/>
      <c r="BA193" s="557"/>
      <c r="BB193" s="557"/>
      <c r="BC193" s="185"/>
      <c r="BD193" s="188"/>
      <c r="BE193" s="233"/>
      <c r="BF193" s="189"/>
      <c r="BG193" s="233"/>
      <c r="BH193" s="322"/>
      <c r="BI193" s="331"/>
      <c r="BJ193" s="233"/>
      <c r="BK193" s="322"/>
      <c r="BL193" s="470"/>
      <c r="BM193" s="20"/>
      <c r="BN193" s="198"/>
      <c r="BO193" s="171"/>
      <c r="BP193" s="171"/>
      <c r="BQ193" s="171"/>
      <c r="BR193" s="171"/>
      <c r="BS193" s="171"/>
      <c r="BT193" s="171"/>
      <c r="BU193" s="171"/>
      <c r="BV193" s="171"/>
      <c r="BW193" s="171"/>
      <c r="BX193" s="171"/>
      <c r="BY193" s="171"/>
      <c r="BZ193" s="171"/>
      <c r="CA193" s="171"/>
      <c r="CB193" s="171"/>
    </row>
    <row r="194" spans="1:80" ht="13.5" customHeight="1">
      <c r="A194" s="196" t="s">
        <v>190</v>
      </c>
      <c r="C194" s="172">
        <v>-563.61115461216104</v>
      </c>
      <c r="E194" s="172">
        <f t="shared" si="1"/>
        <v>6792.5709599860456</v>
      </c>
      <c r="G194" s="172">
        <v>-7356.1821145982067</v>
      </c>
      <c r="K194" s="172">
        <v>205.99174876830682</v>
      </c>
      <c r="AZ194" s="19"/>
      <c r="BA194" s="557"/>
      <c r="BB194" s="557"/>
      <c r="BC194" s="185"/>
      <c r="BD194" s="190"/>
      <c r="BE194" s="233"/>
      <c r="BF194" s="189" t="s">
        <v>110</v>
      </c>
      <c r="BG194" s="197">
        <f>[92]Report!BS50+[92]Report!$U$57</f>
        <v>0</v>
      </c>
      <c r="BH194" s="322"/>
      <c r="BI194" s="331" t="s">
        <v>110</v>
      </c>
      <c r="BJ194" s="197">
        <v>0</v>
      </c>
      <c r="BK194" s="322"/>
      <c r="BL194" s="470">
        <f>BG194-BJ194</f>
        <v>0</v>
      </c>
      <c r="BM194" s="20"/>
      <c r="BN194" s="198"/>
      <c r="BO194" s="171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</row>
    <row r="195" spans="1:80" ht="14.1" customHeight="1">
      <c r="A195" s="196" t="s">
        <v>191</v>
      </c>
      <c r="C195" s="172">
        <v>-4947.7063023890787</v>
      </c>
      <c r="E195" s="172">
        <f t="shared" si="1"/>
        <v>3528.4846772511137</v>
      </c>
      <c r="G195" s="172">
        <v>-8476.1909796401924</v>
      </c>
      <c r="K195" s="172">
        <v>1211.4838824012661</v>
      </c>
      <c r="AZ195" s="19"/>
      <c r="BA195" s="557"/>
      <c r="BB195" s="557"/>
      <c r="BC195" s="450">
        <f>BG194</f>
        <v>0</v>
      </c>
      <c r="BD195" s="187">
        <f>BG195</f>
        <v>0</v>
      </c>
      <c r="BE195" s="233"/>
      <c r="BF195" s="189" t="s">
        <v>112</v>
      </c>
      <c r="BG195" s="233">
        <f>[92]Report!$BS58</f>
        <v>0</v>
      </c>
      <c r="BH195" s="322">
        <f>BG195+BG194</f>
        <v>0</v>
      </c>
      <c r="BI195" s="331" t="s">
        <v>112</v>
      </c>
      <c r="BJ195" s="233">
        <v>0</v>
      </c>
      <c r="BK195" s="322">
        <v>0</v>
      </c>
      <c r="BL195" s="470">
        <f t="shared" si="2"/>
        <v>0</v>
      </c>
      <c r="BM195" s="20"/>
      <c r="BN195" s="198"/>
      <c r="BO195" s="171"/>
      <c r="BP195" s="171"/>
      <c r="BQ195" s="171"/>
      <c r="BR195" s="171"/>
      <c r="BS195" s="171"/>
      <c r="BT195" s="171"/>
      <c r="BU195" s="171"/>
      <c r="BV195" s="171"/>
      <c r="BW195" s="171"/>
      <c r="BX195" s="171"/>
      <c r="BY195" s="171"/>
      <c r="BZ195" s="171"/>
      <c r="CA195" s="171"/>
      <c r="CB195" s="171"/>
    </row>
    <row r="196" spans="1:80" ht="14.1" customHeight="1">
      <c r="A196" s="196" t="s">
        <v>192</v>
      </c>
      <c r="C196" s="172">
        <v>4521.9684623140674</v>
      </c>
      <c r="E196" s="172">
        <f t="shared" si="1"/>
        <v>2977.0222353331319</v>
      </c>
      <c r="G196" s="172">
        <v>1544.9462269809353</v>
      </c>
      <c r="K196" s="172">
        <v>-1781.6791417483585</v>
      </c>
      <c r="AZ196" s="19"/>
      <c r="BA196" s="557"/>
      <c r="BB196" s="557"/>
      <c r="BC196" s="185"/>
      <c r="BD196" s="188"/>
      <c r="BE196" s="233"/>
      <c r="BF196" s="189"/>
      <c r="BG196" s="233"/>
      <c r="BH196" s="322"/>
      <c r="BI196" s="331"/>
      <c r="BJ196" s="233"/>
      <c r="BK196" s="322"/>
      <c r="BL196" s="470"/>
      <c r="BM196" s="20"/>
      <c r="BN196" s="198"/>
      <c r="BO196" s="171"/>
      <c r="BP196" s="171"/>
      <c r="BQ196" s="171"/>
      <c r="BR196" s="171"/>
      <c r="BS196" s="171"/>
      <c r="BT196" s="171"/>
      <c r="BU196" s="171"/>
      <c r="BV196" s="171"/>
      <c r="BW196" s="171"/>
      <c r="BX196" s="171"/>
      <c r="BY196" s="171"/>
      <c r="BZ196" s="171"/>
      <c r="CA196" s="171"/>
      <c r="CB196" s="171"/>
    </row>
    <row r="197" spans="1:80" ht="14.1" customHeight="1">
      <c r="A197" s="196" t="s">
        <v>195</v>
      </c>
      <c r="C197" s="172">
        <v>-14336.500892730804</v>
      </c>
      <c r="E197" s="172">
        <f t="shared" si="1"/>
        <v>3539.5824134625436</v>
      </c>
      <c r="G197" s="172">
        <v>-17876.083306193348</v>
      </c>
      <c r="K197" s="172">
        <v>-849.41560653871977</v>
      </c>
      <c r="AZ197" s="19"/>
      <c r="BA197" s="557"/>
      <c r="BB197" s="557"/>
      <c r="BC197" s="185"/>
      <c r="BD197" s="186"/>
      <c r="BE197" s="233"/>
      <c r="BF197" s="189" t="s">
        <v>115</v>
      </c>
      <c r="BG197" s="533">
        <f>[90]Report!AC57+[72]Report!C57+[96]Report!M57+[101]Report!U57+[102]Report!U57+[100]Report!U57+[99]Report!AH57+[91]Report!AC57+[95]Report!AK57</f>
        <v>539.68312880879773</v>
      </c>
      <c r="BH197" s="322"/>
      <c r="BI197" s="331" t="s">
        <v>115</v>
      </c>
      <c r="BJ197" s="233">
        <v>613.93960441600041</v>
      </c>
      <c r="BK197" s="322"/>
      <c r="BL197" s="470">
        <f t="shared" si="2"/>
        <v>-74.256475607202674</v>
      </c>
      <c r="BM197" s="20"/>
      <c r="BN197" s="198"/>
      <c r="BO197" s="171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</row>
    <row r="198" spans="1:80" ht="14.1" customHeight="1">
      <c r="A198" s="196" t="s">
        <v>196</v>
      </c>
      <c r="C198" s="172">
        <v>3955.7862178452051</v>
      </c>
      <c r="E198" s="172">
        <f t="shared" si="1"/>
        <v>7408.755632325735</v>
      </c>
      <c r="G198" s="172">
        <v>-3452.9694144805298</v>
      </c>
      <c r="K198" s="172">
        <v>92.566103967486129</v>
      </c>
      <c r="AZ198" s="19"/>
      <c r="BA198" s="557"/>
      <c r="BB198" s="557"/>
      <c r="BC198" s="450">
        <f>BG197-([72]Report!C57+[77]Report!AI57+[96]Report!K57+[101]Report!U57+[102]Report!U57+[100]Report!U57+[99]Report!AH57+[96]Report!M57)</f>
        <v>502.68322870879774</v>
      </c>
      <c r="BD198" s="187">
        <f>BG198-([72]Report!C58+[77]Report!AI58+[96]Report!K58+[101]Report!U58+[102]Report!U58+[100]Report!U58+[99]Report!AH58+[96]Report!M58)</f>
        <v>-286.4033977806252</v>
      </c>
      <c r="BE198" s="233">
        <f>-12503.876+2.1604+8.50496</f>
        <v>-12493.210639999999</v>
      </c>
      <c r="BF198" s="189" t="s">
        <v>117</v>
      </c>
      <c r="BG198" s="533">
        <f>[90]Report!AC58+[72]Report!C58+[96]Report!M58+[101]Report!U58+[102]Report!U58+[100]Report!U58+[99]Report!AH58+[91]Report!AC58+[95]Report!AK58</f>
        <v>-382.6290650806252</v>
      </c>
      <c r="BH198" s="466">
        <f>SUM(BG197:BG198)</f>
        <v>157.05406372817254</v>
      </c>
      <c r="BI198" s="331" t="s">
        <v>117</v>
      </c>
      <c r="BJ198" s="233">
        <v>-372.48828588939381</v>
      </c>
      <c r="BK198" s="322">
        <v>241.4513185266066</v>
      </c>
      <c r="BL198" s="470">
        <f t="shared" si="2"/>
        <v>-10.140779191231388</v>
      </c>
      <c r="BM198" s="338"/>
      <c r="BN198" s="198"/>
      <c r="BO198" s="171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</row>
    <row r="199" spans="1:80" ht="14.1" customHeight="1">
      <c r="A199" s="196" t="s">
        <v>198</v>
      </c>
      <c r="C199" s="172">
        <v>-11197.006393367379</v>
      </c>
      <c r="E199" s="172">
        <f t="shared" si="1"/>
        <v>4491.9532127062012</v>
      </c>
      <c r="G199" s="172">
        <v>-15688.95960607358</v>
      </c>
      <c r="K199" s="172">
        <v>2095.7163342639546</v>
      </c>
      <c r="AZ199" s="19"/>
      <c r="BA199" s="557"/>
      <c r="BB199" s="557"/>
      <c r="BC199" s="185"/>
      <c r="BD199" s="188"/>
      <c r="BE199" s="233"/>
      <c r="BF199" s="189"/>
      <c r="BG199" s="233"/>
      <c r="BH199" s="322"/>
      <c r="BI199" s="331"/>
      <c r="BJ199" s="233"/>
      <c r="BK199" s="322"/>
      <c r="BL199" s="470"/>
      <c r="BM199" s="20"/>
      <c r="BN199" s="198"/>
      <c r="BO199" s="171"/>
      <c r="BP199" s="171"/>
      <c r="BQ199" s="171"/>
      <c r="BR199" s="171"/>
      <c r="BS199" s="171"/>
      <c r="BT199" s="171"/>
      <c r="BU199" s="171"/>
      <c r="BV199" s="171"/>
      <c r="BW199" s="171"/>
      <c r="BX199" s="171"/>
      <c r="BY199" s="171"/>
      <c r="BZ199" s="171"/>
      <c r="CA199" s="171"/>
      <c r="CB199" s="171"/>
    </row>
    <row r="200" spans="1:80" ht="14.1" customHeight="1">
      <c r="A200" s="196" t="s">
        <v>199</v>
      </c>
      <c r="C200" s="172">
        <v>-5050.2433198370727</v>
      </c>
      <c r="E200" s="172">
        <f t="shared" si="1"/>
        <v>2252.6500010680065</v>
      </c>
      <c r="G200" s="172">
        <v>-7302.8933209050792</v>
      </c>
      <c r="K200" s="172">
        <v>2838.8959869559558</v>
      </c>
      <c r="AZ200" s="19"/>
      <c r="BA200" s="557"/>
      <c r="BB200" s="557"/>
      <c r="BC200" s="185"/>
      <c r="BD200" s="186"/>
      <c r="BE200" s="233"/>
      <c r="BF200" s="189" t="s">
        <v>120</v>
      </c>
      <c r="BG200" s="337">
        <f>[56]Report!AW57+[74]Report!S57+[64]Report!AQ57+[62]Report!AQ57+[61]Report!AG57+[69]Report!AI57+[63]Report!AQ57+[70]Report!X57+[76]Report!O57+[85]Report!M57</f>
        <v>-631.10689549999984</v>
      </c>
      <c r="BH200" s="466"/>
      <c r="BI200" s="331" t="s">
        <v>120</v>
      </c>
      <c r="BJ200" s="233">
        <v>-710.26471429999992</v>
      </c>
      <c r="BK200" s="322"/>
      <c r="BL200" s="470">
        <f t="shared" si="2"/>
        <v>79.157818800000086</v>
      </c>
      <c r="BM200" s="20"/>
      <c r="BN200" s="198"/>
      <c r="BO200" s="171"/>
      <c r="BP200" s="171"/>
      <c r="BQ200" s="171"/>
      <c r="BR200" s="171"/>
      <c r="BS200" s="171"/>
      <c r="BT200" s="171"/>
      <c r="BU200" s="171"/>
      <c r="BV200" s="171"/>
      <c r="BW200" s="171"/>
      <c r="BX200" s="171"/>
      <c r="BY200" s="171"/>
      <c r="BZ200" s="171"/>
      <c r="CA200" s="171"/>
      <c r="CB200" s="171"/>
    </row>
    <row r="201" spans="1:80" ht="14.1" customHeight="1">
      <c r="A201" s="196" t="s">
        <v>200</v>
      </c>
      <c r="C201" s="172">
        <v>484.86441783541613</v>
      </c>
      <c r="E201" s="172">
        <f t="shared" si="1"/>
        <v>15.319386251839433</v>
      </c>
      <c r="G201" s="172">
        <v>469.5450315835767</v>
      </c>
      <c r="K201" s="172">
        <v>-612.1598898402749</v>
      </c>
      <c r="AZ201" s="19"/>
      <c r="BA201" s="557"/>
      <c r="BB201" s="557"/>
      <c r="BC201" s="450">
        <f>BG200-([74]Report!S57+[77]Report!O57)</f>
        <v>-630.88916049999989</v>
      </c>
      <c r="BD201" s="187">
        <f>BG201-([74]Report!S58+[77]Report!O58)</f>
        <v>151.69793710000002</v>
      </c>
      <c r="BE201" s="233">
        <f>11419.345+(-8765.35-97.63-2395.14+123.65)/1000</f>
        <v>11408.210529999998</v>
      </c>
      <c r="BF201" s="189" t="s">
        <v>122</v>
      </c>
      <c r="BG201" s="337">
        <f>[56]Report!AW58+[74]Report!S58+[64]Report!AQ58+[62]Report!AQ58+[61]Report!AG58+[69]Report!AI58+[63]Report!AQ58+[70]Report!X58+[76]Report!O58+[85]Report!M58</f>
        <v>149.13103040000001</v>
      </c>
      <c r="BH201" s="466">
        <f>SUM(BG200:BG201)</f>
        <v>-481.97586509999985</v>
      </c>
      <c r="BI201" s="331" t="s">
        <v>122</v>
      </c>
      <c r="BJ201" s="233">
        <v>143.5935293</v>
      </c>
      <c r="BK201" s="322">
        <v>-566.67118499999992</v>
      </c>
      <c r="BL201" s="470">
        <f t="shared" si="2"/>
        <v>5.5375011000000143</v>
      </c>
      <c r="BM201" s="20"/>
      <c r="BN201" s="198"/>
      <c r="BO201" s="171"/>
      <c r="BP201" s="171"/>
      <c r="BQ201" s="171"/>
      <c r="BR201" s="171"/>
      <c r="BS201" s="171"/>
      <c r="BT201" s="171"/>
      <c r="BU201" s="171"/>
      <c r="BV201" s="171"/>
      <c r="BW201" s="171"/>
      <c r="BX201" s="171"/>
      <c r="BY201" s="171"/>
      <c r="BZ201" s="171"/>
      <c r="CA201" s="171"/>
      <c r="CB201" s="171"/>
    </row>
    <row r="202" spans="1:80" ht="14.1" customHeight="1">
      <c r="A202" s="196" t="s">
        <v>201</v>
      </c>
      <c r="C202" s="172">
        <v>-3969.7021029170164</v>
      </c>
      <c r="E202" s="172">
        <f t="shared" ref="E202:E207" si="3">+C202-G202</f>
        <v>30.093396900507287</v>
      </c>
      <c r="G202" s="172">
        <v>-3999.7954998175237</v>
      </c>
      <c r="H202" s="172"/>
      <c r="I202" s="172"/>
      <c r="J202" s="172"/>
      <c r="K202" s="172">
        <v>2498.9103238963735</v>
      </c>
      <c r="AZ202" s="19"/>
      <c r="BA202" s="557"/>
      <c r="BB202" s="557"/>
      <c r="BC202" s="185"/>
      <c r="BD202" s="188"/>
      <c r="BE202" s="233"/>
      <c r="BF202" s="189"/>
      <c r="BG202" s="233"/>
      <c r="BH202" s="322"/>
      <c r="BI202" s="331"/>
      <c r="BJ202" s="233"/>
      <c r="BK202" s="322"/>
      <c r="BL202" s="470"/>
      <c r="BM202" s="20"/>
      <c r="BN202" s="198"/>
      <c r="BO202" s="171"/>
      <c r="BP202" s="171"/>
      <c r="BQ202" s="171"/>
      <c r="BR202" s="171"/>
      <c r="BS202" s="171"/>
      <c r="BT202" s="171"/>
      <c r="BU202" s="171"/>
      <c r="BV202" s="171"/>
      <c r="BW202" s="171"/>
      <c r="BX202" s="171"/>
      <c r="BY202" s="171"/>
      <c r="BZ202" s="171"/>
      <c r="CA202" s="171"/>
      <c r="CB202" s="171"/>
    </row>
    <row r="203" spans="1:80" ht="14.1" customHeight="1">
      <c r="A203" s="196" t="s">
        <v>202</v>
      </c>
      <c r="C203" s="339">
        <v>-1659.4925738743182</v>
      </c>
      <c r="E203" s="172">
        <f t="shared" si="3"/>
        <v>1331.406333042286</v>
      </c>
      <c r="G203" s="339">
        <v>-2990.8989069166041</v>
      </c>
      <c r="H203" s="221"/>
      <c r="I203" s="19"/>
      <c r="J203" s="22"/>
      <c r="K203" s="339">
        <v>380.36143102448762</v>
      </c>
      <c r="AZ203" s="19"/>
      <c r="BA203" s="557"/>
      <c r="BB203" s="557"/>
      <c r="BC203" s="185"/>
      <c r="BD203" s="188"/>
      <c r="BE203" s="233"/>
      <c r="BF203" s="189"/>
      <c r="BG203" s="233"/>
      <c r="BH203" s="322"/>
      <c r="BI203" s="331"/>
      <c r="BJ203" s="233"/>
      <c r="BK203" s="322"/>
      <c r="BL203" s="470"/>
      <c r="BM203" s="20"/>
      <c r="BN203" s="198"/>
    </row>
    <row r="204" spans="1:80" ht="14.1" customHeight="1">
      <c r="A204" s="196" t="s">
        <v>203</v>
      </c>
      <c r="C204" s="172">
        <v>-1499.9373411699798</v>
      </c>
      <c r="E204" s="172">
        <f t="shared" si="3"/>
        <v>1711.1525628182271</v>
      </c>
      <c r="G204" s="172">
        <v>-3211.089903988207</v>
      </c>
      <c r="K204" s="172">
        <v>4061.786533442737</v>
      </c>
      <c r="AZ204" s="19"/>
      <c r="BA204" s="557"/>
      <c r="BB204" s="557"/>
      <c r="BC204" s="185"/>
      <c r="BD204" s="186"/>
      <c r="BE204" s="233"/>
      <c r="BF204" s="189" t="s">
        <v>126</v>
      </c>
      <c r="BG204" s="533">
        <f>[57]Report!AG57+[67]Report!AH57+[52]Report!AC57+[58]Report!AA57+[58]Report!AC57*1.411+[58]Report!AE57*0.88035+[75]Report!O57+[73]Report!G57+[77]Report!O57+[51]Report!AA57</f>
        <v>35275.021728272368</v>
      </c>
      <c r="BH204" s="466"/>
      <c r="BI204" s="331" t="s">
        <v>126</v>
      </c>
      <c r="BJ204" s="233">
        <v>38708.735927214104</v>
      </c>
      <c r="BK204" s="571"/>
      <c r="BL204" s="550">
        <f t="shared" si="2"/>
        <v>-3433.714198941736</v>
      </c>
      <c r="BM204" s="20"/>
      <c r="BN204" s="198"/>
      <c r="BO204" s="171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</row>
    <row r="205" spans="1:80" ht="14.1" customHeight="1">
      <c r="A205" s="196" t="s">
        <v>267</v>
      </c>
      <c r="C205" s="172">
        <v>-21519.875354960808</v>
      </c>
      <c r="E205" s="172">
        <f t="shared" si="3"/>
        <v>5726.7902530231841</v>
      </c>
      <c r="G205" s="172">
        <v>-27246.665607983992</v>
      </c>
      <c r="K205" s="172">
        <v>-1515.2015254414619</v>
      </c>
      <c r="AZ205" s="19"/>
      <c r="BA205" s="557"/>
      <c r="BB205" s="557"/>
      <c r="BC205" s="450">
        <f>BG204-([77]Report!O57+[73]Report!G57+[77]Report!O57)</f>
        <v>35275.360281472371</v>
      </c>
      <c r="BD205" s="187">
        <f>BG205-([77]Report!O58+[73]Report!G58+[77]Report!O58)</f>
        <v>-9384.1467925259349</v>
      </c>
      <c r="BE205" s="233">
        <f>-15261.753+12.165+(-11837.11-10083216.48-843677.26-1557.98+104.42-2090.38)/1000</f>
        <v>-26191.862789999999</v>
      </c>
      <c r="BF205" s="189" t="s">
        <v>128</v>
      </c>
      <c r="BG205" s="533">
        <f>[57]Report!AG58+[67]Report!AH58+[52]Report!AC58+[58]Report!AA58+[58]Report!AC58*1.411+[58]Report!AE58*0.88035+[75]Report!O58+[73]Report!G58+[77]Report!O58+[51]Report!AA58</f>
        <v>-9388.477556025935</v>
      </c>
      <c r="BH205" s="466">
        <f>SUM(BG204:BG205)</f>
        <v>25886.544172246431</v>
      </c>
      <c r="BI205" s="331" t="s">
        <v>128</v>
      </c>
      <c r="BJ205" s="233">
        <v>-9064.9257384599059</v>
      </c>
      <c r="BK205" s="571">
        <v>29643.8101887542</v>
      </c>
      <c r="BL205" s="550">
        <f t="shared" si="2"/>
        <v>-323.55181756602906</v>
      </c>
      <c r="BM205" s="20"/>
      <c r="BN205" s="198"/>
      <c r="BO205" s="171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</row>
    <row r="206" spans="1:80" ht="14.1" customHeight="1">
      <c r="A206" s="196" t="s">
        <v>270</v>
      </c>
      <c r="C206" s="172">
        <v>-11013.230149436367</v>
      </c>
      <c r="E206" s="172">
        <f t="shared" si="3"/>
        <v>-254.98314943636797</v>
      </c>
      <c r="G206" s="172">
        <v>-10758.246999999999</v>
      </c>
      <c r="K206" s="172">
        <v>3481.5433121043297</v>
      </c>
      <c r="AZ206" s="19"/>
      <c r="BA206" s="557"/>
      <c r="BB206" s="557"/>
      <c r="BC206" s="185"/>
      <c r="BD206" s="188"/>
      <c r="BE206" s="233"/>
      <c r="BF206" s="189"/>
      <c r="BG206" s="233"/>
      <c r="BH206" s="322"/>
      <c r="BI206" s="331"/>
      <c r="BJ206" s="233"/>
      <c r="BK206" s="322"/>
      <c r="BL206" s="470"/>
      <c r="BM206" s="20"/>
      <c r="BN206" s="198"/>
    </row>
    <row r="207" spans="1:80" ht="14.1" customHeight="1">
      <c r="A207" s="196" t="s">
        <v>280</v>
      </c>
      <c r="C207" s="172">
        <v>-15256.14701246898</v>
      </c>
      <c r="E207" s="172">
        <f t="shared" si="3"/>
        <v>13791.147505269219</v>
      </c>
      <c r="G207" s="172">
        <v>-29047.294517738199</v>
      </c>
      <c r="K207" s="172">
        <v>1700.9459964603593</v>
      </c>
      <c r="AZ207" s="19"/>
      <c r="BA207" s="557"/>
      <c r="BB207" s="557"/>
      <c r="BC207" s="185"/>
      <c r="BD207" s="186"/>
      <c r="BE207" s="233"/>
      <c r="BF207" s="189" t="s">
        <v>132</v>
      </c>
      <c r="BG207" s="197">
        <f>[66]Report!$BQ$57</f>
        <v>-2497.800738298899</v>
      </c>
      <c r="BH207" s="322"/>
      <c r="BI207" s="331" t="s">
        <v>132</v>
      </c>
      <c r="BJ207" s="197">
        <v>-2862.461020186277</v>
      </c>
      <c r="BK207" s="322"/>
      <c r="BL207" s="470">
        <f t="shared" si="2"/>
        <v>364.66028188737801</v>
      </c>
      <c r="BM207" s="20"/>
      <c r="BN207" s="198"/>
      <c r="BO207" s="171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</row>
    <row r="208" spans="1:80" ht="14.1" customHeight="1">
      <c r="A208" s="196"/>
      <c r="C208" s="172"/>
      <c r="E208" s="172"/>
      <c r="G208" s="172"/>
      <c r="K208" s="172"/>
      <c r="AZ208" s="19"/>
      <c r="BA208" s="557"/>
      <c r="BB208" s="557"/>
      <c r="BC208" s="450">
        <f>BG207</f>
        <v>-2497.800738298899</v>
      </c>
      <c r="BD208" s="187">
        <f>BG208</f>
        <v>602.65313455973569</v>
      </c>
      <c r="BE208" s="233">
        <v>15670.48</v>
      </c>
      <c r="BF208" s="189" t="s">
        <v>134</v>
      </c>
      <c r="BG208" s="197">
        <f>[66]Report!$BQ$58</f>
        <v>602.65313455973569</v>
      </c>
      <c r="BH208" s="322">
        <f>SUM(BG207:BG208)</f>
        <v>-1895.1476037391633</v>
      </c>
      <c r="BI208" s="331" t="s">
        <v>134</v>
      </c>
      <c r="BJ208" s="197">
        <v>563.79556910445865</v>
      </c>
      <c r="BK208" s="322">
        <v>-2298.6654510818184</v>
      </c>
      <c r="BL208" s="470">
        <f>BG208-BJ208</f>
        <v>38.85756545527704</v>
      </c>
      <c r="BM208" s="20"/>
      <c r="BN208" s="198"/>
      <c r="BO208" s="171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</row>
    <row r="209" spans="1:85" ht="14.1" customHeight="1">
      <c r="A209" s="196"/>
      <c r="C209" s="172"/>
      <c r="E209" s="172"/>
      <c r="G209" s="172"/>
      <c r="K209" s="172"/>
      <c r="AZ209" s="19"/>
      <c r="BA209" s="557"/>
      <c r="BB209" s="557"/>
      <c r="BC209" s="185"/>
      <c r="BD209" s="188"/>
      <c r="BE209" s="233"/>
      <c r="BF209" s="189"/>
      <c r="BG209" s="233"/>
      <c r="BH209" s="322"/>
      <c r="BI209" s="331"/>
      <c r="BJ209" s="233"/>
      <c r="BK209" s="322"/>
      <c r="BL209" s="470"/>
      <c r="BM209" s="20"/>
      <c r="BN209" s="198"/>
    </row>
    <row r="210" spans="1:85" ht="14.1" customHeight="1">
      <c r="A210" s="196"/>
      <c r="C210" s="172"/>
      <c r="E210" s="172"/>
      <c r="G210" s="172"/>
      <c r="K210" s="172"/>
      <c r="AZ210" s="19"/>
      <c r="BA210" s="557"/>
      <c r="BB210" s="557"/>
      <c r="BC210" s="185"/>
      <c r="BD210" s="186"/>
      <c r="BE210" s="233"/>
      <c r="BF210" s="181" t="s">
        <v>165</v>
      </c>
      <c r="BG210" s="197">
        <f>([55]Report!$AE$57)</f>
        <v>-4.9700146999999975</v>
      </c>
      <c r="BH210" s="322"/>
      <c r="BI210" s="181" t="s">
        <v>165</v>
      </c>
      <c r="BJ210" s="197">
        <v>-8.6138947999999989</v>
      </c>
      <c r="BK210" s="322"/>
      <c r="BL210" s="470">
        <f>BG210-BJ210</f>
        <v>3.6438801000000014</v>
      </c>
      <c r="BM210" s="44"/>
      <c r="BN210" s="198"/>
      <c r="BO210" s="171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</row>
    <row r="211" spans="1:85" ht="14.1" customHeight="1">
      <c r="A211" s="196"/>
      <c r="C211" s="172"/>
      <c r="E211" s="172"/>
      <c r="G211" s="172"/>
      <c r="K211" s="172"/>
      <c r="AZ211" s="19"/>
      <c r="BA211" s="557"/>
      <c r="BB211" s="557"/>
      <c r="BC211" s="450">
        <f>BG210</f>
        <v>-4.9700146999999975</v>
      </c>
      <c r="BD211" s="187">
        <f>BG211</f>
        <v>14.279019599999998</v>
      </c>
      <c r="BE211" s="233">
        <v>25.984999999999999</v>
      </c>
      <c r="BF211" s="181" t="s">
        <v>166</v>
      </c>
      <c r="BG211" s="197">
        <f>[55]Report!$AE$58</f>
        <v>14.279019599999998</v>
      </c>
      <c r="BH211" s="322">
        <f>SUM(BG210:BG211)</f>
        <v>9.3090049000000015</v>
      </c>
      <c r="BI211" s="181" t="s">
        <v>166</v>
      </c>
      <c r="BJ211" s="197">
        <v>12.131198599999998</v>
      </c>
      <c r="BK211" s="322">
        <v>3.5173037999999988</v>
      </c>
      <c r="BL211" s="470">
        <f>BG211-BJ211</f>
        <v>2.1478210000000004</v>
      </c>
      <c r="BM211" s="44"/>
      <c r="BN211" s="198"/>
      <c r="BO211" s="171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</row>
    <row r="212" spans="1:85" ht="14.1" customHeight="1">
      <c r="AZ212" s="19"/>
      <c r="BA212" s="557"/>
      <c r="BB212" s="557"/>
      <c r="BC212" s="185"/>
      <c r="BD212" s="187"/>
      <c r="BE212" s="233"/>
      <c r="BF212" s="181"/>
      <c r="BG212" s="197"/>
      <c r="BH212" s="233"/>
      <c r="BI212" s="332"/>
      <c r="BJ212" s="197"/>
      <c r="BK212" s="233"/>
      <c r="BL212" s="470"/>
      <c r="BM212" s="44"/>
      <c r="BN212" s="198"/>
      <c r="BO212" s="171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</row>
    <row r="213" spans="1:85" ht="14.1" customHeight="1">
      <c r="AZ213" s="19"/>
      <c r="BA213" s="557"/>
      <c r="BB213" s="560"/>
      <c r="BC213" s="185"/>
      <c r="BD213" s="187"/>
      <c r="BE213" s="233"/>
      <c r="BF213" s="189" t="s">
        <v>147</v>
      </c>
      <c r="BG213" s="533">
        <f>[60]Report!AL57</f>
        <v>-3.0390400999999891</v>
      </c>
      <c r="BH213" s="322"/>
      <c r="BI213" s="331" t="s">
        <v>147</v>
      </c>
      <c r="BJ213" s="533">
        <v>-4.1171022999999876</v>
      </c>
      <c r="BK213" s="322"/>
      <c r="BL213" s="550">
        <f>BG213-BJ213</f>
        <v>1.0780621999999984</v>
      </c>
      <c r="BM213" s="20"/>
      <c r="BN213" s="198"/>
      <c r="BO213" s="171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</row>
    <row r="214" spans="1:85" ht="14.1" customHeight="1">
      <c r="AZ214" s="19"/>
      <c r="BA214" s="557"/>
      <c r="BB214" s="557"/>
      <c r="BC214" s="450">
        <f>BG213</f>
        <v>-3.0390400999999891</v>
      </c>
      <c r="BD214" s="187">
        <f>BG214</f>
        <v>-23.275636699999978</v>
      </c>
      <c r="BE214" s="233">
        <v>1004.296</v>
      </c>
      <c r="BF214" s="189" t="s">
        <v>149</v>
      </c>
      <c r="BG214" s="533">
        <f>[60]Report!AL58</f>
        <v>-23.275636699999978</v>
      </c>
      <c r="BH214" s="322">
        <f>SUM(BG213:BG214)</f>
        <v>-26.314676799999969</v>
      </c>
      <c r="BI214" s="331" t="s">
        <v>149</v>
      </c>
      <c r="BJ214" s="533">
        <v>-21.582422699999977</v>
      </c>
      <c r="BK214" s="322">
        <v>-25.699524999999966</v>
      </c>
      <c r="BL214" s="550">
        <f>BG214-BJ214</f>
        <v>-1.6932140000000011</v>
      </c>
      <c r="BM214" s="20"/>
      <c r="BN214" s="198"/>
      <c r="BO214" s="171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</row>
    <row r="215" spans="1:85" ht="14.1" customHeight="1">
      <c r="AZ215" s="19"/>
      <c r="BA215" s="557"/>
      <c r="BB215" s="557"/>
      <c r="BC215" s="185"/>
      <c r="BD215" s="188"/>
      <c r="BE215" s="13"/>
      <c r="BF215" s="189"/>
      <c r="BG215" s="233"/>
      <c r="BH215" s="322"/>
      <c r="BI215" s="331"/>
      <c r="BJ215" s="233"/>
      <c r="BK215" s="322"/>
      <c r="BL215" s="473"/>
      <c r="BM215" s="20"/>
      <c r="BN215" s="198"/>
      <c r="BP215" s="171"/>
      <c r="BQ215" s="171"/>
      <c r="BR215" s="171"/>
      <c r="BS215" s="171"/>
      <c r="BT215" s="171"/>
      <c r="BU215" s="171"/>
      <c r="BV215" s="171"/>
      <c r="BW215" s="171"/>
      <c r="BX215" s="171"/>
      <c r="BY215" s="171"/>
      <c r="BZ215" s="171"/>
      <c r="CA215" s="171"/>
      <c r="CB215" s="171"/>
      <c r="CG215" s="171"/>
    </row>
    <row r="216" spans="1:85" ht="14.1" customHeight="1">
      <c r="AZ216" s="19"/>
      <c r="BA216" s="557"/>
      <c r="BB216" s="561"/>
      <c r="BC216" s="185"/>
      <c r="BD216" s="186"/>
      <c r="BE216" s="235"/>
      <c r="BF216" s="181" t="s">
        <v>276</v>
      </c>
      <c r="BG216" s="197">
        <f>[84]Report!AD61/1000</f>
        <v>-245.44800000000001</v>
      </c>
      <c r="BH216" s="326"/>
      <c r="BI216" s="181" t="s">
        <v>251</v>
      </c>
      <c r="BJ216" s="197">
        <v>-245.44800000000001</v>
      </c>
      <c r="BK216" s="326"/>
      <c r="BL216" s="473">
        <f>BG216-BJ216</f>
        <v>0</v>
      </c>
      <c r="BM216" s="44"/>
      <c r="BN216" s="198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G216" s="171"/>
    </row>
    <row r="217" spans="1:85" ht="14.25" customHeight="1">
      <c r="AZ217" s="19"/>
      <c r="BA217" s="557"/>
      <c r="BB217" s="557"/>
      <c r="BC217" s="450">
        <f>BG216</f>
        <v>-245.44800000000001</v>
      </c>
      <c r="BD217" s="187">
        <f>BG217</f>
        <v>150.43199999999999</v>
      </c>
      <c r="BE217" s="233">
        <v>2928.558</v>
      </c>
      <c r="BF217" s="181" t="s">
        <v>278</v>
      </c>
      <c r="BG217" s="197">
        <f>[84]Report!AD62/1000</f>
        <v>150.43199999999999</v>
      </c>
      <c r="BH217" s="322">
        <f>SUM(BG216:BG217)</f>
        <v>-95.01600000000002</v>
      </c>
      <c r="BI217" s="181" t="s">
        <v>252</v>
      </c>
      <c r="BJ217" s="197">
        <v>150.43199999999999</v>
      </c>
      <c r="BK217" s="322">
        <v>-95.01600000000002</v>
      </c>
      <c r="BL217" s="473">
        <f>BG217-BJ217</f>
        <v>0</v>
      </c>
      <c r="BM217" s="44"/>
      <c r="BN217" s="198"/>
      <c r="BO217" s="171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</row>
    <row r="218" spans="1:85" ht="14.25" customHeight="1">
      <c r="AZ218" s="19"/>
      <c r="BA218" s="557"/>
      <c r="BB218" s="557"/>
      <c r="BC218" s="450"/>
      <c r="BD218" s="187"/>
      <c r="BE218" s="171"/>
      <c r="BF218" s="181"/>
      <c r="BG218" s="197"/>
      <c r="BH218" s="322"/>
      <c r="BI218" s="181"/>
      <c r="BJ218" s="197"/>
      <c r="BK218" s="322"/>
      <c r="BL218" s="473"/>
      <c r="BM218" s="44"/>
      <c r="BN218" s="198"/>
      <c r="BO218" s="171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</row>
    <row r="219" spans="1:85" ht="14.25" customHeight="1">
      <c r="AZ219" s="19"/>
      <c r="BA219" s="557"/>
      <c r="BB219" s="557"/>
      <c r="BC219" s="450"/>
      <c r="BD219" s="187"/>
      <c r="BE219" s="171"/>
      <c r="BF219" s="181" t="s">
        <v>275</v>
      </c>
      <c r="BG219" s="533">
        <f>+([107]Report!$BC$57)/1000+[59]Report!AE57+[65]Report!W57+[81]Report!W57</f>
        <v>-3025.2591137557083</v>
      </c>
      <c r="BH219" s="322"/>
      <c r="BI219" s="332" t="s">
        <v>268</v>
      </c>
      <c r="BJ219" s="197">
        <v>-3194.0803354557088</v>
      </c>
      <c r="BK219" s="322"/>
      <c r="BL219" s="473">
        <f>BG219-BJ219</f>
        <v>168.82122170000048</v>
      </c>
      <c r="BM219" s="44"/>
      <c r="BN219" s="198"/>
      <c r="BO219" s="171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</row>
    <row r="220" spans="1:85" ht="14.25" customHeight="1">
      <c r="AZ220" s="19"/>
      <c r="BA220" s="557"/>
      <c r="BB220" s="557"/>
      <c r="BC220" s="450">
        <f>BG219</f>
        <v>-3025.2591137557083</v>
      </c>
      <c r="BD220" s="187">
        <f>BG220</f>
        <v>125.74204188601617</v>
      </c>
      <c r="BE220" s="171">
        <f>393.68166+0.64128</f>
        <v>394.32294000000002</v>
      </c>
      <c r="BF220" s="181" t="s">
        <v>277</v>
      </c>
      <c r="BG220" s="533">
        <f>+([107]Report!$BC$58)/1000+[59]Report!AE58+[65]Report!W58+[81]Report!W58</f>
        <v>125.74204188601617</v>
      </c>
      <c r="BH220" s="466">
        <f>SUM(BG219:BG220)</f>
        <v>-2899.5170718696922</v>
      </c>
      <c r="BI220" s="332" t="s">
        <v>269</v>
      </c>
      <c r="BJ220" s="197">
        <v>117.73135897522532</v>
      </c>
      <c r="BK220" s="322">
        <v>-3076.3489764804835</v>
      </c>
      <c r="BL220" s="473">
        <f>BG220-BJ220</f>
        <v>8.0106829107908482</v>
      </c>
      <c r="BM220" s="44"/>
      <c r="BN220" s="198"/>
      <c r="BO220" s="171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</row>
    <row r="221" spans="1:85" ht="14.25" customHeight="1">
      <c r="AZ221" s="19"/>
      <c r="BA221" s="557"/>
      <c r="BB221" s="557"/>
      <c r="BC221" s="185"/>
      <c r="BD221" s="188"/>
      <c r="BE221" s="171"/>
      <c r="BF221" s="189"/>
      <c r="BG221" s="233"/>
      <c r="BH221" s="322"/>
      <c r="BI221" s="331"/>
      <c r="BJ221" s="233"/>
      <c r="BK221" s="322"/>
      <c r="BL221" s="473"/>
      <c r="BM221" s="20"/>
      <c r="BN221" s="198"/>
    </row>
    <row r="222" spans="1:85" ht="16.2" thickBot="1">
      <c r="AZ222" s="518"/>
      <c r="BA222" s="455"/>
      <c r="BB222" s="455"/>
      <c r="BC222" s="455">
        <f>SUM(BC190:BC221)</f>
        <v>20087.900439526566</v>
      </c>
      <c r="BD222" s="455">
        <f>SUM(BD190:BD221)</f>
        <v>-7627.1466374608081</v>
      </c>
      <c r="BE222" s="454" t="s">
        <v>253</v>
      </c>
      <c r="BF222" s="443"/>
      <c r="BG222" s="444"/>
      <c r="BH222" s="445"/>
      <c r="BI222" s="446"/>
      <c r="BJ222" s="444"/>
      <c r="BK222" s="445"/>
      <c r="BL222" s="474"/>
      <c r="BM222" s="247"/>
      <c r="BN222" s="236"/>
      <c r="BO222" s="233"/>
      <c r="BP222" s="197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F222" s="53"/>
    </row>
    <row r="223" spans="1:85" ht="14.25" customHeight="1" thickTop="1">
      <c r="A223" s="19"/>
      <c r="B223" s="152"/>
      <c r="C223" s="19"/>
      <c r="D223" s="23"/>
      <c r="E223" s="19"/>
      <c r="F223" s="221"/>
      <c r="G223" s="19"/>
      <c r="H223" s="221"/>
      <c r="I223" s="19"/>
      <c r="J223" s="22"/>
      <c r="K223" s="19"/>
      <c r="AZ223" s="19"/>
      <c r="BA223" s="557"/>
      <c r="BB223" s="557"/>
      <c r="BC223" s="456"/>
      <c r="BE223" s="457"/>
      <c r="BF223" s="189"/>
      <c r="BH223" s="322"/>
      <c r="BK223" s="322"/>
      <c r="BL223" s="470"/>
      <c r="BM223" s="13"/>
      <c r="BN223" s="13"/>
      <c r="BO223" s="13"/>
      <c r="BP223" s="197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F223" s="53"/>
    </row>
    <row r="224" spans="1:85" ht="14.25" customHeight="1">
      <c r="A224" s="19"/>
      <c r="B224" s="152"/>
      <c r="C224" s="19"/>
      <c r="D224" s="23"/>
      <c r="E224" s="19"/>
      <c r="F224" s="221"/>
      <c r="G224" s="19"/>
      <c r="H224" s="221"/>
      <c r="I224" s="19"/>
      <c r="J224" s="22"/>
      <c r="K224" s="19"/>
      <c r="AZ224" s="19"/>
      <c r="BA224" s="557"/>
      <c r="BB224" s="557"/>
      <c r="BC224" s="188"/>
      <c r="BD224" s="20"/>
      <c r="BE224" s="457"/>
      <c r="BF224" s="189"/>
      <c r="BG224" s="337"/>
      <c r="BH224" s="322"/>
      <c r="BI224" s="189"/>
      <c r="BJ224" s="337"/>
      <c r="BK224" s="322"/>
      <c r="BL224" s="473">
        <f>BG224-BJ224</f>
        <v>0</v>
      </c>
      <c r="BM224" s="13"/>
      <c r="BN224" s="236"/>
      <c r="BO224" s="13"/>
      <c r="BP224" s="13"/>
    </row>
    <row r="225" spans="1:120" ht="14.25" customHeight="1">
      <c r="A225" s="19"/>
      <c r="B225" s="152"/>
      <c r="C225" s="19"/>
      <c r="D225" s="23"/>
      <c r="E225" s="19"/>
      <c r="F225" s="221"/>
      <c r="G225" s="19"/>
      <c r="H225" s="221"/>
      <c r="I225" s="19"/>
      <c r="J225" s="22"/>
      <c r="K225" s="19"/>
      <c r="AZ225" s="19"/>
      <c r="BA225" s="557"/>
      <c r="BB225" s="557"/>
      <c r="BC225" s="450">
        <f>BG224</f>
        <v>0</v>
      </c>
      <c r="BD225" s="187">
        <f>BG225</f>
        <v>0</v>
      </c>
      <c r="BE225" s="457"/>
      <c r="BF225" s="189"/>
      <c r="BG225" s="337"/>
      <c r="BH225" s="466"/>
      <c r="BI225" s="189"/>
      <c r="BJ225" s="337"/>
      <c r="BK225" s="466"/>
      <c r="BL225" s="473">
        <f>BG225-BJ225</f>
        <v>0</v>
      </c>
      <c r="BM225" s="13"/>
      <c r="BN225" s="13"/>
      <c r="BO225" s="13"/>
      <c r="BP225" s="197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</row>
    <row r="226" spans="1:120" ht="14.25" customHeight="1">
      <c r="A226" s="19"/>
      <c r="B226" s="152"/>
      <c r="C226" s="19"/>
      <c r="D226" s="23"/>
      <c r="E226" s="19"/>
      <c r="F226" s="221"/>
      <c r="G226" s="19"/>
      <c r="H226" s="221"/>
      <c r="I226" s="19"/>
      <c r="J226" s="22"/>
      <c r="K226" s="19"/>
      <c r="AZ226" s="19"/>
      <c r="BA226" s="557"/>
      <c r="BB226" s="557"/>
      <c r="BC226" s="188"/>
      <c r="BD226" s="171"/>
      <c r="BE226" s="457"/>
      <c r="BF226" s="458"/>
      <c r="BG226" s="197"/>
      <c r="BH226" s="466"/>
      <c r="BI226" s="458"/>
      <c r="BJ226" s="197"/>
      <c r="BK226" s="466"/>
      <c r="BL226" s="470"/>
      <c r="BM226" s="13"/>
      <c r="BN226" s="236"/>
      <c r="BO226" s="233"/>
      <c r="BP226" s="197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</row>
    <row r="227" spans="1:120" ht="14.25" customHeight="1">
      <c r="A227" s="19"/>
      <c r="B227" s="152"/>
      <c r="C227" s="19"/>
      <c r="D227" s="23"/>
      <c r="E227" s="19"/>
      <c r="F227" s="221"/>
      <c r="G227" s="19"/>
      <c r="H227" s="221"/>
      <c r="I227" s="19"/>
      <c r="J227" s="22"/>
      <c r="K227" s="19"/>
      <c r="AZ227" s="19"/>
      <c r="BA227" s="557"/>
      <c r="BB227" s="557"/>
      <c r="BC227" s="185"/>
      <c r="BD227" s="188"/>
      <c r="BE227" s="171"/>
      <c r="BF227" s="458" t="s">
        <v>254</v>
      </c>
      <c r="BG227" s="233">
        <f>[105]Report!AR57+[88]Report!AM61/1000</f>
        <v>-4568.1645799000007</v>
      </c>
      <c r="BH227" s="322"/>
      <c r="BI227" s="459" t="s">
        <v>254</v>
      </c>
      <c r="BJ227" s="233">
        <v>-5334.1468565000005</v>
      </c>
      <c r="BK227" s="322"/>
      <c r="BL227" s="473">
        <f>BG227-BJ227</f>
        <v>765.98227659999975</v>
      </c>
      <c r="BM227" s="13"/>
      <c r="BN227" s="236"/>
      <c r="BO227" s="233"/>
      <c r="BP227" s="233"/>
      <c r="BQ227" s="171"/>
      <c r="BR227" s="171"/>
      <c r="BS227" s="171"/>
      <c r="BT227" s="171"/>
      <c r="BU227" s="171"/>
      <c r="BV227" s="171"/>
      <c r="BW227" s="171"/>
      <c r="BX227" s="171"/>
      <c r="BY227" s="171"/>
      <c r="BZ227" s="171"/>
      <c r="CA227" s="171"/>
      <c r="CB227" s="171"/>
    </row>
    <row r="228" spans="1:120" ht="14.25" customHeight="1">
      <c r="A228" s="19"/>
      <c r="B228" s="152"/>
      <c r="C228" s="19"/>
      <c r="D228" s="23"/>
      <c r="E228" s="19"/>
      <c r="F228" s="221"/>
      <c r="G228" s="19"/>
      <c r="H228" s="221"/>
      <c r="I228" s="19"/>
      <c r="J228" s="22"/>
      <c r="K228" s="19"/>
      <c r="AZ228" s="19"/>
      <c r="BA228" s="557"/>
      <c r="BB228" s="557"/>
      <c r="BC228" s="450">
        <f>BG227</f>
        <v>-4568.1645799000007</v>
      </c>
      <c r="BD228" s="187">
        <f>BG228</f>
        <v>-295.40616749999981</v>
      </c>
      <c r="BE228" s="171"/>
      <c r="BF228" s="458" t="s">
        <v>255</v>
      </c>
      <c r="BG228" s="233">
        <f>[105]Report!AR58+[88]Report!AM62/1000</f>
        <v>-295.40616749999981</v>
      </c>
      <c r="BH228" s="322">
        <f>SUM(BG227:BG228)</f>
        <v>-4863.570747400001</v>
      </c>
      <c r="BI228" s="459" t="s">
        <v>255</v>
      </c>
      <c r="BJ228" s="233">
        <v>-329.23976629999999</v>
      </c>
      <c r="BK228" s="322">
        <v>-5663.3866228000006</v>
      </c>
      <c r="BL228" s="473">
        <f>BG228-BJ228</f>
        <v>33.833598800000175</v>
      </c>
      <c r="BM228" s="13"/>
      <c r="BN228" s="236"/>
      <c r="BO228" s="233"/>
      <c r="BP228" s="197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</row>
    <row r="229" spans="1:120" ht="14.25" customHeight="1">
      <c r="A229" s="19"/>
      <c r="B229" s="152"/>
      <c r="C229" s="19"/>
      <c r="D229" s="23"/>
      <c r="E229" s="19"/>
      <c r="F229" s="221"/>
      <c r="G229" s="19"/>
      <c r="H229" s="221"/>
      <c r="I229" s="19"/>
      <c r="J229" s="22"/>
      <c r="K229" s="19"/>
      <c r="AZ229" s="19"/>
      <c r="BA229" s="557"/>
      <c r="BB229" s="557"/>
      <c r="BC229" s="185"/>
      <c r="BD229" s="187"/>
      <c r="BE229" s="171"/>
      <c r="BF229" s="458"/>
      <c r="BG229" s="197"/>
      <c r="BH229" s="322"/>
      <c r="BI229" s="459"/>
      <c r="BJ229" s="197"/>
      <c r="BK229" s="322"/>
      <c r="BL229" s="470"/>
      <c r="BM229" s="13"/>
      <c r="BN229" s="236"/>
      <c r="BO229" s="233"/>
      <c r="BP229" s="197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</row>
    <row r="230" spans="1:120" ht="14.1" customHeight="1">
      <c r="A230" s="19"/>
      <c r="B230" s="152"/>
      <c r="C230" s="19"/>
      <c r="D230" s="23"/>
      <c r="E230" s="19"/>
      <c r="F230" s="221"/>
      <c r="G230" s="19"/>
      <c r="H230" s="221"/>
      <c r="I230" s="19"/>
      <c r="J230" s="22"/>
      <c r="K230" s="19"/>
      <c r="AZ230" s="19"/>
      <c r="BA230" s="557"/>
      <c r="BB230" s="557"/>
      <c r="BC230" s="185"/>
      <c r="BD230" s="188"/>
      <c r="BE230" s="171"/>
      <c r="BF230" s="458" t="s">
        <v>256</v>
      </c>
      <c r="BG230" s="233">
        <f>([2]Report!E46/1000+[86]Report!$S$57+[89]Report!$Y$61/1000)</f>
        <v>-249.20432159999999</v>
      </c>
      <c r="BH230" s="322"/>
      <c r="BI230" s="459" t="s">
        <v>256</v>
      </c>
      <c r="BJ230" s="233">
        <v>-1982.3895319999999</v>
      </c>
      <c r="BK230" s="322"/>
      <c r="BL230" s="473">
        <f>BG230-BJ230</f>
        <v>1733.1852104</v>
      </c>
      <c r="BM230" s="13"/>
      <c r="BN230" s="236"/>
      <c r="BO230" s="233"/>
      <c r="BP230" s="233"/>
      <c r="BQ230" s="171"/>
      <c r="BR230" s="171"/>
      <c r="BS230" s="171"/>
      <c r="BT230" s="171"/>
      <c r="BU230" s="171"/>
      <c r="BV230" s="171"/>
      <c r="BW230" s="171"/>
      <c r="BX230" s="171"/>
      <c r="BY230" s="171"/>
      <c r="BZ230" s="171"/>
      <c r="CA230" s="171"/>
      <c r="CB230" s="171"/>
    </row>
    <row r="231" spans="1:120" ht="15" customHeight="1">
      <c r="AZ231" s="19"/>
      <c r="BA231" s="557"/>
      <c r="BB231" s="560"/>
      <c r="BC231" s="450">
        <f>BG230</f>
        <v>-249.20432159999999</v>
      </c>
      <c r="BD231" s="187">
        <f>BG231</f>
        <v>55.985248100000007</v>
      </c>
      <c r="BE231" s="233">
        <f>1962.665+0.392</f>
        <v>1963.057</v>
      </c>
      <c r="BF231" s="458" t="s">
        <v>257</v>
      </c>
      <c r="BG231" s="233">
        <f>([2]Report!E47/1000+[86]Report!$S$58+[89]Report!$Y$62/1000)</f>
        <v>55.985248100000007</v>
      </c>
      <c r="BH231" s="322">
        <f>SUM(BG230:BG231)</f>
        <v>-193.21907349999998</v>
      </c>
      <c r="BI231" s="459" t="s">
        <v>257</v>
      </c>
      <c r="BJ231" s="233">
        <v>257.96681089999998</v>
      </c>
      <c r="BK231" s="322">
        <v>-1724.4227211</v>
      </c>
      <c r="BL231" s="473">
        <f>BG231-BJ231</f>
        <v>-201.98156279999998</v>
      </c>
      <c r="BM231" s="13"/>
      <c r="BN231" s="236"/>
      <c r="BO231" s="233"/>
      <c r="BP231" s="197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</row>
    <row r="232" spans="1:120" ht="14.1" customHeight="1">
      <c r="AZ232" s="19"/>
      <c r="BA232" s="557"/>
      <c r="BB232" s="557"/>
      <c r="BC232" s="185"/>
      <c r="BD232" s="187"/>
      <c r="BE232" s="171"/>
      <c r="BF232" s="458"/>
      <c r="BG232" s="197"/>
      <c r="BH232" s="322"/>
      <c r="BI232" s="459"/>
      <c r="BJ232" s="197"/>
      <c r="BK232" s="322"/>
      <c r="BL232" s="470"/>
      <c r="BM232" s="13"/>
      <c r="BN232" s="236"/>
      <c r="BO232" s="233"/>
      <c r="BP232" s="197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</row>
    <row r="233" spans="1:120" ht="16.2" thickBot="1">
      <c r="AZ233" s="518"/>
      <c r="BA233" s="455"/>
      <c r="BB233" s="455"/>
      <c r="BC233" s="455">
        <f>SUM(BC225:BC231)</f>
        <v>-4817.3689015000009</v>
      </c>
      <c r="BD233" s="455">
        <f>SUM(BD225:BD231)</f>
        <v>-239.4209193999998</v>
      </c>
      <c r="BE233" s="454" t="s">
        <v>258</v>
      </c>
      <c r="BF233" s="443"/>
      <c r="BG233" s="444"/>
      <c r="BH233" s="445"/>
      <c r="BI233" s="446"/>
      <c r="BJ233" s="444"/>
      <c r="BK233" s="445"/>
      <c r="BL233" s="474"/>
      <c r="BM233" s="247"/>
      <c r="BN233" s="236"/>
      <c r="BO233" s="233"/>
      <c r="BP233" s="197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</row>
    <row r="234" spans="1:120" s="19" customFormat="1" ht="14.1" customHeight="1" thickTop="1">
      <c r="A234" s="4"/>
      <c r="B234" s="3"/>
      <c r="C234" s="4"/>
      <c r="D234" s="5"/>
      <c r="E234" s="4"/>
      <c r="F234" s="6"/>
      <c r="G234" s="4"/>
      <c r="H234" s="6"/>
      <c r="I234" s="4"/>
      <c r="J234" s="1"/>
      <c r="K234" s="4"/>
      <c r="L234" s="22"/>
      <c r="N234" s="22"/>
      <c r="P234" s="22"/>
      <c r="Q234" s="23"/>
      <c r="R234" s="22"/>
      <c r="T234" s="22"/>
      <c r="V234" s="22"/>
      <c r="X234" s="22"/>
      <c r="Z234" s="22"/>
      <c r="AB234" s="22"/>
      <c r="AD234" s="22"/>
      <c r="AF234" s="22"/>
      <c r="AH234" s="22"/>
      <c r="AJ234" s="23"/>
      <c r="AL234" s="23"/>
      <c r="BA234" s="557"/>
      <c r="BB234" s="563"/>
      <c r="BC234" s="479"/>
      <c r="BD234" s="482"/>
      <c r="BE234" s="233"/>
      <c r="BF234" s="480"/>
      <c r="BG234" s="398"/>
      <c r="BH234" s="322"/>
      <c r="BI234" s="481"/>
      <c r="BJ234" s="398"/>
      <c r="BK234" s="322"/>
      <c r="BL234" s="470"/>
      <c r="BM234" s="247"/>
      <c r="BN234" s="236"/>
      <c r="BO234" s="233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</row>
    <row r="235" spans="1:120" s="19" customFormat="1" ht="14.1" customHeight="1">
      <c r="A235" s="4"/>
      <c r="B235" s="3"/>
      <c r="C235" s="4"/>
      <c r="D235" s="5"/>
      <c r="E235" s="4"/>
      <c r="F235" s="6"/>
      <c r="G235" s="4"/>
      <c r="H235" s="6"/>
      <c r="I235" s="4"/>
      <c r="J235" s="1"/>
      <c r="K235" s="4"/>
      <c r="L235" s="22"/>
      <c r="N235" s="22"/>
      <c r="P235" s="22"/>
      <c r="Q235" s="23"/>
      <c r="R235" s="22"/>
      <c r="T235" s="22"/>
      <c r="V235" s="22"/>
      <c r="X235" s="22"/>
      <c r="Z235" s="22"/>
      <c r="AB235" s="22"/>
      <c r="AD235" s="22"/>
      <c r="AF235" s="22"/>
      <c r="AH235" s="22"/>
      <c r="AJ235" s="23"/>
      <c r="AL235" s="23"/>
      <c r="BA235" s="557"/>
      <c r="BB235" s="563"/>
      <c r="BC235" s="479"/>
      <c r="BD235" s="483"/>
      <c r="BE235" s="233"/>
      <c r="BF235" s="480" t="s">
        <v>260</v>
      </c>
      <c r="BG235" s="477">
        <f>[93]Report!S61/1000</f>
        <v>-0.27201207455783566</v>
      </c>
      <c r="BH235" s="322"/>
      <c r="BI235" s="480" t="s">
        <v>260</v>
      </c>
      <c r="BJ235" s="398">
        <v>-0.27201207455783566</v>
      </c>
      <c r="BK235" s="322"/>
      <c r="BL235" s="473">
        <f>BG235-BJ235</f>
        <v>0</v>
      </c>
      <c r="BM235" s="247"/>
      <c r="BN235" s="236"/>
      <c r="BO235" s="233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</row>
    <row r="236" spans="1:120" s="19" customFormat="1" ht="14.1" customHeight="1">
      <c r="A236" s="4"/>
      <c r="B236" s="3"/>
      <c r="C236" s="4"/>
      <c r="D236" s="5"/>
      <c r="E236" s="4"/>
      <c r="F236" s="6"/>
      <c r="G236" s="4"/>
      <c r="H236" s="6"/>
      <c r="I236" s="4"/>
      <c r="J236" s="1"/>
      <c r="K236" s="4"/>
      <c r="L236" s="22"/>
      <c r="N236" s="22"/>
      <c r="P236" s="22"/>
      <c r="Q236" s="23"/>
      <c r="R236" s="22"/>
      <c r="T236" s="22"/>
      <c r="V236" s="22"/>
      <c r="X236" s="22"/>
      <c r="Z236" s="22"/>
      <c r="AB236" s="22"/>
      <c r="AD236" s="22"/>
      <c r="AF236" s="22"/>
      <c r="AH236" s="22"/>
      <c r="AJ236" s="23"/>
      <c r="AL236" s="23"/>
      <c r="BA236" s="557"/>
      <c r="BB236" s="563"/>
      <c r="BC236" s="450">
        <f>BG235</f>
        <v>-0.27201207455783566</v>
      </c>
      <c r="BD236" s="187">
        <f>BG236</f>
        <v>2.7444147802832837</v>
      </c>
      <c r="BE236" s="233">
        <f>-36.9921+0.0947</f>
        <v>-36.897399999999998</v>
      </c>
      <c r="BF236" s="480" t="s">
        <v>261</v>
      </c>
      <c r="BG236" s="477">
        <f>[93]Report!S62/1000</f>
        <v>2.7444147802832837</v>
      </c>
      <c r="BH236" s="322">
        <f>SUM(BG235:BG236)</f>
        <v>2.4724027057254481</v>
      </c>
      <c r="BI236" s="480" t="s">
        <v>261</v>
      </c>
      <c r="BJ236" s="398">
        <v>2.7444147802832837</v>
      </c>
      <c r="BK236" s="322">
        <v>2.4724027057254481</v>
      </c>
      <c r="BL236" s="473">
        <f>BG236-BJ236</f>
        <v>0</v>
      </c>
      <c r="BM236" s="247"/>
      <c r="BN236" s="236"/>
      <c r="BO236" s="233"/>
      <c r="BP236" s="197"/>
      <c r="BQ236" s="197"/>
      <c r="BR236" s="197"/>
      <c r="BS236" s="197"/>
      <c r="BT236" s="197"/>
      <c r="BU236" s="197"/>
      <c r="BV236" s="197"/>
      <c r="BW236" s="197"/>
      <c r="BX236" s="197"/>
      <c r="BY236" s="197"/>
      <c r="BZ236" s="197"/>
      <c r="CA236" s="197"/>
      <c r="CB236" s="197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</row>
    <row r="237" spans="1:120" s="19" customFormat="1" ht="14.1" customHeight="1">
      <c r="A237" s="4"/>
      <c r="B237" s="3"/>
      <c r="C237" s="4"/>
      <c r="D237" s="5"/>
      <c r="E237" s="4"/>
      <c r="F237" s="6"/>
      <c r="G237" s="4"/>
      <c r="H237" s="6"/>
      <c r="I237" s="4"/>
      <c r="J237" s="1"/>
      <c r="K237" s="4"/>
      <c r="L237" s="22"/>
      <c r="N237" s="22"/>
      <c r="P237" s="22"/>
      <c r="Q237" s="23"/>
      <c r="R237" s="22"/>
      <c r="T237" s="22"/>
      <c r="V237" s="22"/>
      <c r="X237" s="22"/>
      <c r="Z237" s="22"/>
      <c r="AB237" s="22"/>
      <c r="AD237" s="22"/>
      <c r="AF237" s="22"/>
      <c r="AH237" s="22"/>
      <c r="AJ237" s="23"/>
      <c r="AL237" s="23"/>
      <c r="BA237" s="557"/>
      <c r="BB237" s="563"/>
      <c r="BC237" s="479"/>
      <c r="BD237" s="483"/>
      <c r="BE237" s="233"/>
      <c r="BF237" s="480"/>
      <c r="BG237" s="477"/>
      <c r="BH237" s="322"/>
      <c r="BI237" s="480"/>
      <c r="BJ237" s="398"/>
      <c r="BK237" s="322"/>
      <c r="BL237" s="470"/>
      <c r="BM237" s="247"/>
      <c r="BN237" s="236"/>
      <c r="BO237" s="233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</row>
    <row r="238" spans="1:120" s="19" customFormat="1" ht="14.1" customHeight="1">
      <c r="A238" s="4"/>
      <c r="B238" s="3"/>
      <c r="C238" s="4"/>
      <c r="D238" s="5"/>
      <c r="E238" s="4"/>
      <c r="F238" s="6"/>
      <c r="G238" s="4"/>
      <c r="H238" s="6"/>
      <c r="I238" s="4"/>
      <c r="J238" s="1"/>
      <c r="K238" s="4"/>
      <c r="L238" s="22"/>
      <c r="N238" s="22"/>
      <c r="P238" s="22"/>
      <c r="Q238" s="23"/>
      <c r="R238" s="22"/>
      <c r="T238" s="22"/>
      <c r="V238" s="22"/>
      <c r="X238" s="22"/>
      <c r="Z238" s="22"/>
      <c r="AB238" s="22"/>
      <c r="AD238" s="22"/>
      <c r="AF238" s="22"/>
      <c r="AH238" s="22"/>
      <c r="AJ238" s="23"/>
      <c r="AL238" s="23"/>
      <c r="BA238" s="557"/>
      <c r="BB238" s="563"/>
      <c r="BC238" s="479"/>
      <c r="BD238" s="483"/>
      <c r="BE238" s="233"/>
      <c r="BF238" s="480" t="s">
        <v>262</v>
      </c>
      <c r="BG238" s="477">
        <f>[94]Report_Controls!I61/1000</f>
        <v>-735.32340588446129</v>
      </c>
      <c r="BH238" s="322"/>
      <c r="BI238" s="480" t="s">
        <v>262</v>
      </c>
      <c r="BJ238" s="398">
        <v>-735.32340588446129</v>
      </c>
      <c r="BK238" s="322"/>
      <c r="BL238" s="473">
        <f>BG238-BJ238</f>
        <v>0</v>
      </c>
      <c r="BM238" s="247"/>
      <c r="BN238" s="236"/>
      <c r="BO238" s="233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</row>
    <row r="239" spans="1:120" s="19" customFormat="1" ht="14.1" customHeight="1">
      <c r="A239" s="220"/>
      <c r="B239" s="152"/>
      <c r="D239" s="23"/>
      <c r="F239" s="221"/>
      <c r="H239" s="221"/>
      <c r="J239" s="22"/>
      <c r="L239" s="22"/>
      <c r="N239" s="22"/>
      <c r="P239" s="22"/>
      <c r="Q239" s="23"/>
      <c r="R239" s="22"/>
      <c r="T239" s="22"/>
      <c r="V239" s="22"/>
      <c r="X239" s="22"/>
      <c r="Z239" s="22"/>
      <c r="AB239" s="22"/>
      <c r="AD239" s="22"/>
      <c r="AF239" s="22"/>
      <c r="AH239" s="22"/>
      <c r="AJ239" s="23"/>
      <c r="AL239" s="23"/>
      <c r="BA239" s="557"/>
      <c r="BB239" s="563"/>
      <c r="BC239" s="450">
        <f>BG238</f>
        <v>-735.32340588446129</v>
      </c>
      <c r="BD239" s="187">
        <f>BG239</f>
        <v>87.152136352617291</v>
      </c>
      <c r="BE239" s="233">
        <v>-110.19074000000001</v>
      </c>
      <c r="BF239" s="480" t="s">
        <v>263</v>
      </c>
      <c r="BG239" s="477">
        <f>[94]Report_Controls!I62/1000</f>
        <v>87.152136352617291</v>
      </c>
      <c r="BH239" s="322">
        <f>SUM(BG238:BG239)</f>
        <v>-648.17126953184402</v>
      </c>
      <c r="BI239" s="480" t="s">
        <v>263</v>
      </c>
      <c r="BJ239" s="398">
        <v>87.152136352617291</v>
      </c>
      <c r="BK239" s="322">
        <v>-648.17126953184402</v>
      </c>
      <c r="BL239" s="473">
        <f>BG239-BJ239</f>
        <v>0</v>
      </c>
      <c r="BM239" s="247"/>
      <c r="BN239" s="236"/>
      <c r="BO239" s="233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</row>
    <row r="240" spans="1:120" s="19" customFormat="1" ht="14.1" customHeight="1">
      <c r="A240" s="224"/>
      <c r="B240" s="225"/>
      <c r="C240" s="13"/>
      <c r="D240" s="221"/>
      <c r="E240" s="13"/>
      <c r="F240" s="221"/>
      <c r="G240" s="13"/>
      <c r="H240" s="221"/>
      <c r="I240" s="13"/>
      <c r="J240" s="22"/>
      <c r="K240" s="13"/>
      <c r="L240" s="22"/>
      <c r="N240" s="22"/>
      <c r="P240" s="22"/>
      <c r="Q240" s="23"/>
      <c r="R240" s="22"/>
      <c r="T240" s="22"/>
      <c r="V240" s="22"/>
      <c r="X240" s="22"/>
      <c r="Z240" s="22"/>
      <c r="AB240" s="22"/>
      <c r="AD240" s="22"/>
      <c r="AF240" s="22"/>
      <c r="AH240" s="22"/>
      <c r="AJ240" s="23"/>
      <c r="AL240" s="23"/>
      <c r="BA240" s="557"/>
      <c r="BB240" s="563"/>
      <c r="BC240" s="479"/>
      <c r="BD240" s="483"/>
      <c r="BE240" s="233"/>
      <c r="BF240" s="480"/>
      <c r="BG240" s="398"/>
      <c r="BH240" s="322"/>
      <c r="BI240" s="481"/>
      <c r="BJ240" s="233"/>
      <c r="BK240" s="233"/>
      <c r="BL240" s="470"/>
      <c r="BM240" s="247"/>
      <c r="BN240" s="236"/>
      <c r="BO240" s="233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</row>
    <row r="241" spans="1:120" s="19" customFormat="1" ht="14.1" customHeight="1" thickBot="1">
      <c r="A241" s="224"/>
      <c r="B241" s="225"/>
      <c r="C241" s="13"/>
      <c r="D241" s="221"/>
      <c r="E241" s="13"/>
      <c r="F241" s="221"/>
      <c r="G241" s="13"/>
      <c r="H241" s="221"/>
      <c r="I241" s="13"/>
      <c r="J241" s="22"/>
      <c r="K241" s="13"/>
      <c r="L241" s="22"/>
      <c r="N241" s="22"/>
      <c r="P241" s="22"/>
      <c r="Q241" s="23"/>
      <c r="R241" s="22"/>
      <c r="T241" s="22"/>
      <c r="V241" s="22"/>
      <c r="X241" s="22"/>
      <c r="Z241" s="22"/>
      <c r="AB241" s="22"/>
      <c r="AD241" s="22"/>
      <c r="AF241" s="22"/>
      <c r="AH241" s="22"/>
      <c r="AJ241" s="23"/>
      <c r="AL241" s="23"/>
      <c r="AZ241" s="518"/>
      <c r="BA241" s="455"/>
      <c r="BB241" s="455"/>
      <c r="BC241" s="455">
        <f>SUM(BC234:BC239)</f>
        <v>-735.59541795901919</v>
      </c>
      <c r="BD241" s="484">
        <f>SUM(BD234:BD239)</f>
        <v>89.896551132900569</v>
      </c>
      <c r="BE241" s="496" t="s">
        <v>266</v>
      </c>
      <c r="BF241" s="443"/>
      <c r="BG241" s="444"/>
      <c r="BH241" s="445"/>
      <c r="BI241" s="446"/>
      <c r="BJ241" s="442"/>
      <c r="BK241" s="445"/>
      <c r="BL241" s="474"/>
      <c r="BM241" s="247"/>
      <c r="BN241" s="236"/>
      <c r="BO241" s="233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</row>
    <row r="242" spans="1:120" s="19" customFormat="1" ht="14.1" customHeight="1" thickTop="1">
      <c r="A242" s="224"/>
      <c r="B242" s="225"/>
      <c r="C242" s="13"/>
      <c r="D242" s="221"/>
      <c r="E242" s="13"/>
      <c r="F242" s="221"/>
      <c r="G242" s="13"/>
      <c r="H242" s="221"/>
      <c r="I242" s="13"/>
      <c r="J242" s="22"/>
      <c r="K242" s="13"/>
      <c r="L242" s="22"/>
      <c r="N242" s="22"/>
      <c r="P242" s="22"/>
      <c r="Q242" s="23"/>
      <c r="R242" s="22"/>
      <c r="T242" s="22"/>
      <c r="V242" s="22"/>
      <c r="X242" s="22"/>
      <c r="Z242" s="22"/>
      <c r="AB242" s="22"/>
      <c r="AD242" s="22"/>
      <c r="AF242" s="22"/>
      <c r="AH242" s="22"/>
      <c r="AJ242" s="23"/>
      <c r="AL242" s="23"/>
      <c r="BA242" s="479"/>
      <c r="BB242" s="479"/>
      <c r="BC242" s="479"/>
      <c r="BD242" s="483"/>
      <c r="BE242" s="519"/>
      <c r="BF242" s="480"/>
      <c r="BG242" s="398"/>
      <c r="BH242" s="322"/>
      <c r="BI242" s="481"/>
      <c r="BJ242" s="233"/>
      <c r="BK242" s="233"/>
      <c r="BL242" s="470"/>
      <c r="BM242" s="247"/>
      <c r="BN242" s="236"/>
      <c r="BO242" s="233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</row>
    <row r="243" spans="1:120" s="19" customFormat="1" ht="14.1" customHeight="1">
      <c r="A243" s="224"/>
      <c r="B243" s="225"/>
      <c r="C243" s="13"/>
      <c r="D243" s="221"/>
      <c r="E243" s="13"/>
      <c r="F243" s="221"/>
      <c r="G243" s="13"/>
      <c r="H243" s="221"/>
      <c r="I243" s="13"/>
      <c r="J243" s="22"/>
      <c r="K243" s="13"/>
      <c r="L243" s="22"/>
      <c r="N243" s="22"/>
      <c r="P243" s="22"/>
      <c r="Q243" s="23"/>
      <c r="R243" s="22"/>
      <c r="T243" s="22"/>
      <c r="V243" s="22"/>
      <c r="X243" s="22"/>
      <c r="Z243" s="22"/>
      <c r="AB243" s="22"/>
      <c r="AD243" s="22"/>
      <c r="AF243" s="22"/>
      <c r="AH243" s="22"/>
      <c r="AJ243" s="23"/>
      <c r="AL243" s="23"/>
      <c r="BA243" s="479"/>
      <c r="BB243" s="479"/>
      <c r="BC243" s="479"/>
      <c r="BD243" s="483"/>
      <c r="BE243" s="519"/>
      <c r="BF243" s="458" t="s">
        <v>271</v>
      </c>
      <c r="BG243" s="398"/>
      <c r="BH243" s="322"/>
      <c r="BI243" s="481"/>
      <c r="BJ243" s="233"/>
      <c r="BK243" s="233"/>
      <c r="BL243" s="470"/>
      <c r="BM243" s="247"/>
      <c r="BN243" s="236"/>
      <c r="BO243" s="233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</row>
    <row r="244" spans="1:120" s="19" customFormat="1" ht="14.1" customHeight="1">
      <c r="A244" s="224"/>
      <c r="B244" s="225"/>
      <c r="C244" s="13"/>
      <c r="D244" s="221"/>
      <c r="E244" s="13"/>
      <c r="F244" s="221"/>
      <c r="G244" s="13"/>
      <c r="H244" s="221"/>
      <c r="I244" s="13"/>
      <c r="J244" s="22"/>
      <c r="K244" s="13"/>
      <c r="L244" s="22"/>
      <c r="N244" s="22"/>
      <c r="P244" s="22"/>
      <c r="Q244" s="23"/>
      <c r="R244" s="22"/>
      <c r="T244" s="22"/>
      <c r="V244" s="22"/>
      <c r="X244" s="22"/>
      <c r="Z244" s="22"/>
      <c r="AB244" s="22"/>
      <c r="AD244" s="22"/>
      <c r="AF244" s="22"/>
      <c r="AH244" s="22"/>
      <c r="AJ244" s="23"/>
      <c r="AL244" s="23"/>
      <c r="BA244" s="479"/>
      <c r="BB244" s="479"/>
      <c r="BC244" s="450">
        <f>BG243</f>
        <v>0</v>
      </c>
      <c r="BD244" s="187">
        <f>BG244</f>
        <v>0</v>
      </c>
      <c r="BE244" s="233">
        <v>1667.90634</v>
      </c>
      <c r="BF244" s="458" t="s">
        <v>272</v>
      </c>
      <c r="BG244" s="197"/>
      <c r="BH244" s="322"/>
      <c r="BI244" s="481"/>
      <c r="BJ244" s="233"/>
      <c r="BK244" s="233"/>
      <c r="BL244" s="470"/>
      <c r="BM244" s="247"/>
      <c r="BN244" s="236"/>
      <c r="BO244" s="233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</row>
    <row r="245" spans="1:120" ht="14.1" customHeight="1" thickBot="1">
      <c r="A245" s="229"/>
      <c r="B245" s="225"/>
      <c r="C245" s="13"/>
      <c r="D245" s="221"/>
      <c r="E245" s="13"/>
      <c r="F245" s="221"/>
      <c r="G245" s="13"/>
      <c r="H245" s="221"/>
      <c r="I245" s="13"/>
      <c r="J245" s="22"/>
      <c r="K245" s="13"/>
      <c r="AZ245" s="518"/>
      <c r="BA245" s="455"/>
      <c r="BB245" s="455"/>
      <c r="BC245" s="455">
        <f>SUM(BC242:BC244)</f>
        <v>0</v>
      </c>
      <c r="BD245" s="455">
        <f>SUM(BD242:BD244)</f>
        <v>0</v>
      </c>
      <c r="BE245" s="496" t="s">
        <v>274</v>
      </c>
      <c r="BF245" s="443"/>
      <c r="BG245" s="444"/>
      <c r="BH245" s="445"/>
      <c r="BI245" s="446"/>
      <c r="BJ245" s="442"/>
      <c r="BK245" s="445"/>
      <c r="BL245" s="474"/>
      <c r="BM245" s="13"/>
      <c r="BN245" s="236"/>
      <c r="BO245" s="233"/>
      <c r="BP245" s="197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</row>
    <row r="246" spans="1:120" s="19" customFormat="1" ht="14.1" customHeight="1" thickTop="1">
      <c r="A246" s="229"/>
      <c r="B246" s="225"/>
      <c r="C246" s="13"/>
      <c r="D246" s="221"/>
      <c r="E246" s="13"/>
      <c r="F246" s="221"/>
      <c r="G246" s="13"/>
      <c r="H246" s="221"/>
      <c r="I246" s="13"/>
      <c r="J246" s="22"/>
      <c r="K246" s="13"/>
      <c r="L246" s="22"/>
      <c r="N246" s="22"/>
      <c r="P246" s="22"/>
      <c r="Q246" s="23"/>
      <c r="R246" s="22"/>
      <c r="T246" s="22"/>
      <c r="V246" s="22"/>
      <c r="X246" s="22"/>
      <c r="Z246" s="22"/>
      <c r="AB246" s="22"/>
      <c r="AD246" s="22"/>
      <c r="AF246" s="22"/>
      <c r="AH246" s="22"/>
      <c r="AJ246" s="23"/>
      <c r="AL246" s="23"/>
      <c r="AZ246" s="518"/>
      <c r="BA246" s="479"/>
      <c r="BB246" s="479"/>
      <c r="BC246" s="479"/>
      <c r="BD246" s="479"/>
      <c r="BE246" s="519"/>
      <c r="BF246" s="480"/>
      <c r="BG246" s="398"/>
      <c r="BH246" s="322"/>
      <c r="BI246" s="481"/>
      <c r="BJ246" s="233"/>
      <c r="BK246" s="233"/>
      <c r="BL246" s="470"/>
      <c r="BM246" s="13"/>
      <c r="BN246" s="236"/>
      <c r="BO246" s="233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</row>
    <row r="247" spans="1:120" s="19" customFormat="1" ht="14.1" customHeight="1">
      <c r="A247" s="229"/>
      <c r="B247" s="225"/>
      <c r="C247" s="13"/>
      <c r="D247" s="221"/>
      <c r="E247" s="13"/>
      <c r="F247" s="221"/>
      <c r="G247" s="13"/>
      <c r="H247" s="221"/>
      <c r="I247" s="13"/>
      <c r="J247" s="22"/>
      <c r="K247" s="13"/>
      <c r="L247" s="22"/>
      <c r="N247" s="22"/>
      <c r="P247" s="22"/>
      <c r="Q247" s="23"/>
      <c r="R247" s="22"/>
      <c r="T247" s="22"/>
      <c r="V247" s="22"/>
      <c r="X247" s="22"/>
      <c r="Z247" s="22"/>
      <c r="AB247" s="22"/>
      <c r="AD247" s="22"/>
      <c r="AF247" s="22"/>
      <c r="AH247" s="22"/>
      <c r="AJ247" s="23"/>
      <c r="AL247" s="23"/>
      <c r="AZ247" s="518"/>
      <c r="BA247" s="479"/>
      <c r="BB247" s="479"/>
      <c r="BC247" s="479"/>
      <c r="BD247" s="479"/>
      <c r="BE247" s="519"/>
      <c r="BF247" s="480"/>
      <c r="BG247" s="398"/>
      <c r="BH247" s="322"/>
      <c r="BI247" s="481"/>
      <c r="BJ247" s="233"/>
      <c r="BK247" s="233"/>
      <c r="BL247" s="470"/>
      <c r="BM247" s="13"/>
      <c r="BN247" s="236"/>
      <c r="BO247" s="233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</row>
    <row r="248" spans="1:120" ht="14.1" customHeight="1" thickBot="1">
      <c r="A248" s="13"/>
      <c r="B248" s="225"/>
      <c r="C248" s="13"/>
      <c r="D248" s="221"/>
      <c r="E248" s="13"/>
      <c r="F248" s="221"/>
      <c r="G248" s="13"/>
      <c r="H248" s="221"/>
      <c r="I248" s="13"/>
      <c r="J248" s="22"/>
      <c r="K248" s="13"/>
      <c r="AZ248" s="19"/>
      <c r="BA248" s="557"/>
      <c r="BB248" s="557"/>
      <c r="BC248" s="185"/>
      <c r="BD248" s="187"/>
      <c r="BE248" s="171"/>
      <c r="BF248" s="460"/>
      <c r="BG248" s="197"/>
      <c r="BH248" s="461"/>
      <c r="BI248" s="462"/>
      <c r="BJ248" s="197"/>
      <c r="BK248" s="463"/>
      <c r="BL248" s="475"/>
      <c r="BM248" s="13"/>
      <c r="BN248" s="236"/>
      <c r="BO248" s="233"/>
      <c r="BP248" s="197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</row>
    <row r="249" spans="1:120" ht="16.8" thickTop="1" thickBot="1">
      <c r="A249" s="13"/>
      <c r="B249" s="225"/>
      <c r="C249" s="10"/>
      <c r="D249" s="11"/>
      <c r="E249" s="10"/>
      <c r="F249" s="11"/>
      <c r="G249" s="10"/>
      <c r="H249" s="11"/>
      <c r="I249" s="10"/>
      <c r="J249" s="22"/>
      <c r="K249" s="10"/>
      <c r="BA249" s="185"/>
      <c r="BB249" s="185"/>
      <c r="BC249" s="453"/>
      <c r="BD249" s="201"/>
      <c r="BE249" s="20"/>
      <c r="BF249" s="199" t="s">
        <v>14</v>
      </c>
      <c r="BG249" s="522">
        <f>SUM(BG141:BG248)</f>
        <v>8938.0895362060346</v>
      </c>
      <c r="BH249" s="523">
        <f>SUM(BH141:BH248)</f>
        <v>8938.0895362060346</v>
      </c>
      <c r="BI249" s="333" t="s">
        <v>14</v>
      </c>
      <c r="BJ249" s="200">
        <v>-3094.6367834989792</v>
      </c>
      <c r="BK249" s="202">
        <v>2773.4681029578974</v>
      </c>
      <c r="BL249" s="476">
        <f>SUM(BL141:BL248)</f>
        <v>-277.7135813625988</v>
      </c>
      <c r="BM249" s="13"/>
      <c r="BN249" s="233"/>
      <c r="BO249" s="233"/>
      <c r="BP249" s="197"/>
      <c r="BQ249" s="53"/>
      <c r="BR249" s="53"/>
    </row>
    <row r="250" spans="1:120" ht="17.399999999999999" thickTop="1" thickBot="1">
      <c r="A250" s="13"/>
      <c r="B250" s="225"/>
      <c r="C250" s="231"/>
      <c r="D250" s="221"/>
      <c r="E250" s="231"/>
      <c r="F250" s="221"/>
      <c r="G250" s="231"/>
      <c r="H250" s="221"/>
      <c r="I250" s="231"/>
      <c r="J250" s="22"/>
      <c r="K250" s="231"/>
      <c r="BA250" s="185"/>
      <c r="BB250" s="185"/>
      <c r="BC250" s="520">
        <f>BC233+BC222+BC189+BC241+BC245</f>
        <v>21848.762800885026</v>
      </c>
      <c r="BD250" s="520">
        <f>BD233+BD222+BD189+BD241+BD245</f>
        <v>-9422.1729820110122</v>
      </c>
      <c r="BE250" s="521">
        <f>SUM(BE137:BE249)</f>
        <v>377897.40314999985</v>
      </c>
      <c r="BF250" s="203" t="s">
        <v>167</v>
      </c>
      <c r="BG250" s="328"/>
      <c r="BH250" s="233"/>
      <c r="BI250" s="204"/>
      <c r="BJ250" s="171"/>
      <c r="BK250" s="171"/>
      <c r="BL250" s="171"/>
      <c r="BM250" s="13"/>
      <c r="BN250" s="233"/>
      <c r="BO250" s="233"/>
      <c r="BP250" s="197"/>
      <c r="BQ250" s="1"/>
      <c r="BR250" s="1"/>
    </row>
    <row r="251" spans="1:120" ht="14.1" customHeight="1" thickTop="1">
      <c r="A251" s="13"/>
      <c r="B251" s="225"/>
      <c r="C251" s="231"/>
      <c r="D251" s="221"/>
      <c r="E251" s="231"/>
      <c r="F251" s="221"/>
      <c r="G251" s="231"/>
      <c r="H251" s="221"/>
      <c r="I251" s="231"/>
      <c r="J251" s="22"/>
      <c r="K251" s="231"/>
      <c r="BD251" s="20"/>
      <c r="BE251" s="20"/>
      <c r="BF251" s="20" t="s">
        <v>168</v>
      </c>
      <c r="BG251" s="233"/>
      <c r="BH251" s="233"/>
      <c r="BJ251" s="205" t="s">
        <v>169</v>
      </c>
      <c r="BL251" s="171"/>
      <c r="BM251" s="205"/>
      <c r="BN251" s="20"/>
      <c r="BO251" s="171"/>
      <c r="BP251" s="53"/>
      <c r="BQ251" s="1"/>
      <c r="BR251" s="1"/>
    </row>
    <row r="252" spans="1:120" ht="14.1" customHeight="1">
      <c r="A252" s="22"/>
      <c r="B252" s="225"/>
      <c r="C252" s="13"/>
      <c r="D252" s="221"/>
      <c r="E252" s="13"/>
      <c r="F252" s="221"/>
      <c r="G252" s="13"/>
      <c r="H252" s="221"/>
      <c r="I252" s="13"/>
      <c r="J252" s="22"/>
      <c r="K252" s="13"/>
      <c r="BD252" s="20"/>
      <c r="BE252" s="20"/>
      <c r="BF252" s="20" t="s">
        <v>170</v>
      </c>
      <c r="BG252" s="233"/>
      <c r="BH252" s="251"/>
      <c r="BJ252" s="205" t="s">
        <v>171</v>
      </c>
      <c r="BL252" s="206"/>
      <c r="BM252" s="205"/>
      <c r="BN252" s="20"/>
      <c r="BO252" s="206"/>
      <c r="BP252" s="53"/>
      <c r="BQ252" s="1"/>
      <c r="BR252" s="1"/>
    </row>
    <row r="253" spans="1:120" ht="14.1" customHeight="1" thickBot="1">
      <c r="A253" s="13"/>
      <c r="B253" s="225"/>
      <c r="C253" s="13"/>
      <c r="D253" s="221"/>
      <c r="E253" s="13"/>
      <c r="F253" s="221"/>
      <c r="G253" s="13"/>
      <c r="H253" s="221"/>
      <c r="I253" s="13"/>
      <c r="J253" s="22"/>
      <c r="K253" s="13"/>
      <c r="BD253" s="20"/>
      <c r="BE253"/>
      <c r="BF253" s="207"/>
      <c r="BG253" s="329" t="s">
        <v>172</v>
      </c>
      <c r="BH253" s="330">
        <f>SUM(BH251:BH252)</f>
        <v>0</v>
      </c>
      <c r="BI253" s="210"/>
      <c r="BJ253" s="211"/>
      <c r="BK253" s="208" t="s">
        <v>173</v>
      </c>
      <c r="BL253" s="209">
        <f>SUM(BL251:BL252)</f>
        <v>0</v>
      </c>
      <c r="BM253" s="205"/>
      <c r="BN253" s="215"/>
      <c r="BO253" s="171"/>
      <c r="BQ253" s="171"/>
    </row>
    <row r="254" spans="1:120" ht="14.1" customHeight="1">
      <c r="A254" s="13"/>
      <c r="B254" s="225"/>
      <c r="C254" s="233"/>
      <c r="D254" s="221"/>
      <c r="E254" s="233"/>
      <c r="F254" s="221"/>
      <c r="G254" s="233"/>
      <c r="H254" s="221"/>
      <c r="I254" s="13"/>
      <c r="J254" s="22"/>
      <c r="K254" s="233"/>
      <c r="BD254" s="20"/>
      <c r="BE254" s="20"/>
      <c r="BF254" s="212" t="s">
        <v>174</v>
      </c>
      <c r="BG254" s="19"/>
      <c r="BH254" s="19"/>
      <c r="BJ254" s="205"/>
      <c r="BL254" s="171"/>
      <c r="BM254" s="205"/>
      <c r="BN254" s="20"/>
      <c r="BO254" s="171"/>
    </row>
    <row r="255" spans="1:120" ht="14.1" customHeight="1">
      <c r="A255" s="13"/>
      <c r="B255" s="225"/>
      <c r="C255" s="233"/>
      <c r="D255" s="221"/>
      <c r="E255" s="233"/>
      <c r="F255" s="221"/>
      <c r="G255" s="233"/>
      <c r="H255" s="221"/>
      <c r="I255" s="13"/>
      <c r="J255" s="22"/>
      <c r="K255" s="233"/>
      <c r="L255" s="22"/>
      <c r="M255" s="19"/>
      <c r="N255" s="22"/>
      <c r="O255" s="19"/>
      <c r="P255" s="22"/>
      <c r="Q255" s="23"/>
      <c r="R255" s="22"/>
      <c r="S255" s="19"/>
      <c r="T255" s="22"/>
      <c r="U255" s="19"/>
      <c r="V255" s="22"/>
      <c r="W255" s="19"/>
      <c r="X255" s="22"/>
      <c r="Y255" s="19"/>
      <c r="Z255" s="22"/>
      <c r="AA255" s="19"/>
      <c r="AB255" s="22"/>
      <c r="AC255" s="19"/>
      <c r="AD255" s="22"/>
      <c r="AE255" s="19"/>
      <c r="AF255" s="22"/>
      <c r="AG255" s="19"/>
      <c r="AH255" s="22"/>
      <c r="AI255" s="19"/>
      <c r="AJ255" s="23"/>
      <c r="AK255" s="19"/>
      <c r="AL255" s="23"/>
      <c r="AM255" s="19"/>
      <c r="AN255" s="222"/>
      <c r="AO255" s="19"/>
      <c r="AP255" s="19"/>
      <c r="AQ255" s="19"/>
      <c r="AR255" s="19"/>
      <c r="AS255" s="19"/>
      <c r="AT255" s="19"/>
      <c r="AU255" s="222"/>
      <c r="AV255" s="19"/>
      <c r="AW255" s="19"/>
      <c r="AX255" s="19"/>
      <c r="AY255" s="19"/>
      <c r="AZ255" s="223"/>
      <c r="BA255" s="222"/>
      <c r="BB255" s="19"/>
      <c r="BD255" s="20"/>
      <c r="BE255" s="20"/>
      <c r="BF255" s="20" t="s">
        <v>175</v>
      </c>
      <c r="BG255" s="233"/>
      <c r="BH255" s="233"/>
      <c r="BJ255" s="205" t="s">
        <v>176</v>
      </c>
      <c r="BL255" s="171"/>
      <c r="BM255" s="205"/>
      <c r="BN255" s="20"/>
      <c r="BO255" s="171"/>
    </row>
    <row r="256" spans="1:120" ht="14.1" customHeight="1">
      <c r="A256" s="13"/>
      <c r="B256" s="225"/>
      <c r="C256" s="233"/>
      <c r="D256" s="221"/>
      <c r="E256" s="233"/>
      <c r="F256" s="221"/>
      <c r="G256" s="233"/>
      <c r="H256" s="221"/>
      <c r="I256" s="13"/>
      <c r="J256" s="22"/>
      <c r="K256" s="233"/>
      <c r="L256" s="22"/>
      <c r="M256" s="13"/>
      <c r="N256" s="22"/>
      <c r="O256" s="13"/>
      <c r="P256" s="22"/>
      <c r="Q256" s="221"/>
      <c r="R256" s="22"/>
      <c r="S256" s="13"/>
      <c r="T256" s="22"/>
      <c r="U256" s="13"/>
      <c r="V256" s="22"/>
      <c r="W256" s="13"/>
      <c r="X256" s="22"/>
      <c r="Y256" s="13"/>
      <c r="Z256" s="22"/>
      <c r="AA256" s="13"/>
      <c r="AB256" s="22"/>
      <c r="AC256" s="13"/>
      <c r="AD256" s="22"/>
      <c r="AE256" s="13"/>
      <c r="AF256" s="22"/>
      <c r="AG256" s="13"/>
      <c r="AH256" s="22"/>
      <c r="AI256" s="13"/>
      <c r="AJ256" s="221"/>
      <c r="AK256" s="13"/>
      <c r="AL256" s="221"/>
      <c r="AM256" s="13"/>
      <c r="AN256" s="226"/>
      <c r="AO256" s="13"/>
      <c r="AP256" s="13"/>
      <c r="AQ256" s="13"/>
      <c r="AR256" s="13"/>
      <c r="AS256" s="13"/>
      <c r="AT256" s="13"/>
      <c r="AU256" s="226"/>
      <c r="AV256" s="13"/>
      <c r="AW256" s="13"/>
      <c r="AX256" s="13"/>
      <c r="AY256" s="13"/>
      <c r="AZ256" s="227"/>
      <c r="BA256" s="226"/>
      <c r="BB256" s="13"/>
      <c r="BD256" s="20"/>
      <c r="BE256" s="20"/>
      <c r="BF256" s="20" t="s">
        <v>177</v>
      </c>
      <c r="BG256" s="233"/>
      <c r="BH256" s="251"/>
      <c r="BJ256" s="205" t="s">
        <v>178</v>
      </c>
      <c r="BL256" s="206"/>
      <c r="BM256" s="205"/>
      <c r="BN256" s="20"/>
      <c r="BO256" s="206"/>
      <c r="BP256" s="171"/>
      <c r="BQ256" s="171"/>
    </row>
    <row r="257" spans="1:70" ht="14.1" customHeight="1" thickBot="1">
      <c r="A257" s="13"/>
      <c r="B257" s="225"/>
      <c r="C257" s="233"/>
      <c r="D257" s="221"/>
      <c r="E257" s="233"/>
      <c r="F257" s="221"/>
      <c r="G257" s="233"/>
      <c r="H257" s="221"/>
      <c r="I257" s="13"/>
      <c r="J257" s="22"/>
      <c r="K257" s="233"/>
      <c r="L257" s="22"/>
      <c r="M257" s="13"/>
      <c r="N257" s="22"/>
      <c r="O257" s="13"/>
      <c r="P257" s="22"/>
      <c r="Q257" s="221"/>
      <c r="R257" s="22"/>
      <c r="S257" s="13"/>
      <c r="T257" s="22"/>
      <c r="U257" s="13"/>
      <c r="V257" s="22"/>
      <c r="W257" s="13"/>
      <c r="X257" s="22"/>
      <c r="Y257" s="13"/>
      <c r="Z257" s="22"/>
      <c r="AA257" s="13"/>
      <c r="AB257" s="22"/>
      <c r="AC257" s="13"/>
      <c r="AD257" s="22"/>
      <c r="AE257" s="13"/>
      <c r="AF257" s="22"/>
      <c r="AG257" s="13"/>
      <c r="AH257" s="22"/>
      <c r="AI257" s="13"/>
      <c r="AJ257" s="221"/>
      <c r="AK257" s="13"/>
      <c r="AL257" s="221"/>
      <c r="AM257" s="13"/>
      <c r="AN257" s="226"/>
      <c r="AO257" s="228"/>
      <c r="AP257" s="13"/>
      <c r="AQ257" s="13"/>
      <c r="AR257" s="13"/>
      <c r="AS257" s="13"/>
      <c r="AT257" s="13"/>
      <c r="AU257" s="226"/>
      <c r="AV257" s="228"/>
      <c r="AW257" s="13"/>
      <c r="AX257" s="13"/>
      <c r="AY257" s="13"/>
      <c r="AZ257" s="13"/>
      <c r="BA257" s="226"/>
      <c r="BB257" s="228"/>
      <c r="BD257" s="20"/>
      <c r="BE257"/>
      <c r="BF257" s="210"/>
      <c r="BG257" s="208" t="s">
        <v>172</v>
      </c>
      <c r="BH257" s="209">
        <f>SUM(BH255:BH256)</f>
        <v>0</v>
      </c>
      <c r="BI257" s="210"/>
      <c r="BJ257" s="213"/>
      <c r="BK257" s="208" t="s">
        <v>173</v>
      </c>
      <c r="BL257" s="209">
        <f>SUM(BL255:BL256)</f>
        <v>0</v>
      </c>
      <c r="BM257" s="216"/>
      <c r="BN257" s="217"/>
      <c r="BO257" s="171"/>
    </row>
    <row r="258" spans="1:70" ht="14.1" customHeight="1">
      <c r="A258" s="13"/>
      <c r="B258" s="225"/>
      <c r="C258" s="233"/>
      <c r="D258" s="221"/>
      <c r="E258" s="233"/>
      <c r="F258" s="221"/>
      <c r="G258" s="233"/>
      <c r="H258" s="221"/>
      <c r="I258" s="13"/>
      <c r="J258" s="22"/>
      <c r="K258" s="233"/>
      <c r="L258" s="22"/>
      <c r="M258" s="13"/>
      <c r="N258" s="22"/>
      <c r="O258" s="13"/>
      <c r="P258" s="22"/>
      <c r="Q258" s="221"/>
      <c r="R258" s="22"/>
      <c r="S258" s="13"/>
      <c r="T258" s="22"/>
      <c r="U258" s="13"/>
      <c r="V258" s="22"/>
      <c r="W258" s="13"/>
      <c r="X258" s="22"/>
      <c r="Y258" s="13"/>
      <c r="Z258" s="22"/>
      <c r="AA258" s="13"/>
      <c r="AB258" s="22"/>
      <c r="AC258" s="13"/>
      <c r="AD258" s="22"/>
      <c r="AE258" s="13"/>
      <c r="AF258" s="22"/>
      <c r="AG258" s="13"/>
      <c r="AH258" s="22"/>
      <c r="AI258" s="13"/>
      <c r="AJ258" s="221"/>
      <c r="AK258" s="13"/>
      <c r="AL258" s="221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D258" s="20"/>
      <c r="BE258" s="20"/>
      <c r="BF258" s="212"/>
      <c r="BG258" s="20"/>
      <c r="BH258" s="171"/>
      <c r="BI258" s="215"/>
      <c r="BJ258" s="216"/>
      <c r="BK258" s="215"/>
      <c r="BL258" s="171"/>
      <c r="BM258" s="215"/>
      <c r="BN258" s="217"/>
      <c r="BO258" s="171"/>
      <c r="BP258" s="215"/>
    </row>
    <row r="259" spans="1:70" ht="14.1" customHeight="1">
      <c r="A259" s="13"/>
      <c r="B259" s="225"/>
      <c r="C259" s="233"/>
      <c r="D259" s="221"/>
      <c r="E259" s="233"/>
      <c r="F259" s="221"/>
      <c r="G259" s="233"/>
      <c r="H259" s="221"/>
      <c r="I259" s="13"/>
      <c r="J259" s="22"/>
      <c r="K259" s="233"/>
      <c r="L259" s="22"/>
      <c r="M259" s="13"/>
      <c r="N259" s="22"/>
      <c r="O259" s="13"/>
      <c r="P259" s="22"/>
      <c r="Q259" s="221"/>
      <c r="R259" s="22"/>
      <c r="S259" s="13"/>
      <c r="T259" s="22"/>
      <c r="U259" s="13"/>
      <c r="V259" s="22"/>
      <c r="W259" s="13"/>
      <c r="X259" s="22"/>
      <c r="Y259" s="13"/>
      <c r="Z259" s="22"/>
      <c r="AA259" s="13"/>
      <c r="AB259" s="22"/>
      <c r="AC259" s="13"/>
      <c r="AD259" s="22"/>
      <c r="AE259" s="13"/>
      <c r="AF259" s="22"/>
      <c r="AG259" s="13"/>
      <c r="AH259" s="22"/>
      <c r="AI259" s="13"/>
      <c r="AJ259" s="221"/>
      <c r="AK259" s="13"/>
      <c r="AL259" s="221"/>
      <c r="AM259" s="13"/>
      <c r="AN259" s="13"/>
      <c r="AO259" s="13"/>
      <c r="AP259" s="231"/>
      <c r="AQ259" s="231"/>
      <c r="AR259" s="231"/>
      <c r="AS259" s="13"/>
      <c r="AT259" s="13"/>
      <c r="AU259" s="13"/>
      <c r="AV259" s="13"/>
      <c r="AW259" s="231"/>
      <c r="AX259" s="231"/>
      <c r="AY259" s="231"/>
      <c r="AZ259" s="13"/>
      <c r="BA259" s="13"/>
      <c r="BB259" s="13"/>
      <c r="BC259" s="19"/>
      <c r="BD259" s="20"/>
      <c r="BE259" s="20"/>
      <c r="BF259" s="218"/>
      <c r="BG259" s="218"/>
      <c r="BH259" s="218"/>
      <c r="BJ259" s="216"/>
      <c r="BK259" s="171"/>
      <c r="BL259" s="171"/>
      <c r="BM259" s="216"/>
      <c r="BN259" s="171"/>
      <c r="BO259" s="171"/>
    </row>
    <row r="260" spans="1:70" ht="14.1" customHeight="1">
      <c r="A260" s="13"/>
      <c r="B260" s="225"/>
      <c r="C260" s="233"/>
      <c r="D260" s="221"/>
      <c r="E260" s="233"/>
      <c r="F260" s="221"/>
      <c r="G260" s="233"/>
      <c r="H260" s="221"/>
      <c r="I260" s="13"/>
      <c r="J260" s="22"/>
      <c r="K260" s="233"/>
      <c r="L260" s="22"/>
      <c r="M260" s="10"/>
      <c r="N260" s="22"/>
      <c r="O260" s="10"/>
      <c r="P260" s="22"/>
      <c r="Q260" s="11"/>
      <c r="R260" s="22"/>
      <c r="S260" s="10"/>
      <c r="T260" s="22"/>
      <c r="U260" s="10"/>
      <c r="V260" s="22"/>
      <c r="W260" s="10"/>
      <c r="X260" s="22"/>
      <c r="Y260" s="10"/>
      <c r="Z260" s="22"/>
      <c r="AA260" s="10"/>
      <c r="AB260" s="22"/>
      <c r="AC260" s="10"/>
      <c r="AD260" s="22"/>
      <c r="AE260" s="10"/>
      <c r="AF260" s="22"/>
      <c r="AG260" s="10"/>
      <c r="AH260" s="22"/>
      <c r="AI260" s="13"/>
      <c r="AJ260" s="221"/>
      <c r="AK260" s="13"/>
      <c r="AL260" s="221"/>
      <c r="AM260" s="13"/>
      <c r="AN260" s="13"/>
      <c r="AO260" s="13"/>
      <c r="AP260" s="231"/>
      <c r="AQ260" s="231"/>
      <c r="AR260" s="231"/>
      <c r="AS260" s="13"/>
      <c r="AT260" s="13"/>
      <c r="AU260" s="13"/>
      <c r="AV260" s="13"/>
      <c r="AW260" s="231"/>
      <c r="AX260" s="231"/>
      <c r="AY260" s="231"/>
      <c r="AZ260" s="13"/>
      <c r="BA260" s="13"/>
      <c r="BB260" s="13"/>
      <c r="BC260" s="13"/>
      <c r="BD260" s="20"/>
      <c r="BE260" s="20"/>
      <c r="BF260" s="218"/>
      <c r="BG260" s="218"/>
      <c r="BH260" s="218"/>
      <c r="BJ260" s="216"/>
      <c r="BK260" s="171"/>
      <c r="BL260" s="171"/>
      <c r="BM260" s="216"/>
      <c r="BN260" s="171"/>
      <c r="BO260" s="171"/>
    </row>
    <row r="261" spans="1:70" ht="14.1" customHeight="1" thickBot="1">
      <c r="A261" s="13"/>
      <c r="B261" s="225"/>
      <c r="C261" s="233"/>
      <c r="D261" s="221"/>
      <c r="E261" s="233"/>
      <c r="F261" s="221"/>
      <c r="G261" s="233"/>
      <c r="H261" s="221"/>
      <c r="I261" s="13"/>
      <c r="J261" s="22"/>
      <c r="K261" s="233"/>
      <c r="L261" s="22"/>
      <c r="M261" s="231"/>
      <c r="N261" s="22"/>
      <c r="O261" s="13"/>
      <c r="P261" s="22"/>
      <c r="Q261" s="232"/>
      <c r="R261" s="22"/>
      <c r="S261" s="231"/>
      <c r="T261" s="22"/>
      <c r="U261" s="231"/>
      <c r="V261" s="22"/>
      <c r="W261" s="231"/>
      <c r="X261" s="22"/>
      <c r="Y261" s="231"/>
      <c r="Z261" s="22"/>
      <c r="AA261" s="231"/>
      <c r="AB261" s="22"/>
      <c r="AC261" s="231"/>
      <c r="AD261" s="22"/>
      <c r="AE261" s="231"/>
      <c r="AF261" s="22"/>
      <c r="AG261" s="231"/>
      <c r="AH261" s="22"/>
      <c r="AI261" s="231"/>
      <c r="AJ261" s="232"/>
      <c r="AK261" s="231"/>
      <c r="AL261" s="221"/>
      <c r="AM261" s="231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20"/>
      <c r="BE261"/>
      <c r="BF261" s="219"/>
      <c r="BG261" s="208"/>
      <c r="BH261" s="209"/>
      <c r="BI261" s="214"/>
      <c r="BJ261" s="211"/>
      <c r="BK261" s="214"/>
      <c r="BL261" s="209"/>
      <c r="BM261" s="217"/>
      <c r="BN261" s="217"/>
      <c r="BO261" s="171"/>
      <c r="BP261" s="171"/>
    </row>
    <row r="262" spans="1:70" ht="14.1" customHeight="1">
      <c r="A262" s="13"/>
      <c r="B262" s="225"/>
      <c r="C262" s="233"/>
      <c r="D262" s="221"/>
      <c r="E262" s="233"/>
      <c r="F262" s="221"/>
      <c r="G262" s="233"/>
      <c r="H262" s="221"/>
      <c r="I262" s="233"/>
      <c r="J262" s="22"/>
      <c r="K262" s="233"/>
      <c r="L262" s="22"/>
      <c r="M262" s="231"/>
      <c r="N262" s="22"/>
      <c r="O262" s="231"/>
      <c r="P262" s="22"/>
      <c r="Q262" s="232"/>
      <c r="R262" s="22"/>
      <c r="S262" s="231"/>
      <c r="T262" s="22"/>
      <c r="U262" s="231"/>
      <c r="V262" s="22"/>
      <c r="W262" s="231"/>
      <c r="X262" s="22"/>
      <c r="Y262" s="231"/>
      <c r="Z262" s="22"/>
      <c r="AA262" s="231"/>
      <c r="AB262" s="22"/>
      <c r="AC262" s="231"/>
      <c r="AD262" s="22"/>
      <c r="AE262" s="231"/>
      <c r="AF262" s="22"/>
      <c r="AG262" s="231"/>
      <c r="AH262" s="22"/>
      <c r="AI262" s="231"/>
      <c r="AJ262" s="232"/>
      <c r="AK262" s="231"/>
      <c r="AL262" s="221"/>
      <c r="AM262" s="231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0"/>
      <c r="BE262" s="20"/>
      <c r="BF262" s="212"/>
      <c r="BG262" s="217"/>
      <c r="BH262" s="171"/>
      <c r="BI262" s="20"/>
      <c r="BJ262" s="171"/>
      <c r="BK262" s="217"/>
      <c r="BL262" s="171"/>
      <c r="BM262" s="20"/>
      <c r="BN262" s="217"/>
      <c r="BO262" s="171"/>
    </row>
    <row r="263" spans="1:70" ht="14.1" customHeight="1">
      <c r="A263" s="13"/>
      <c r="B263" s="225"/>
      <c r="C263" s="13"/>
      <c r="D263" s="221"/>
      <c r="E263" s="13"/>
      <c r="F263" s="221"/>
      <c r="G263" s="13"/>
      <c r="H263" s="221"/>
      <c r="I263" s="13"/>
      <c r="J263" s="22"/>
      <c r="K263" s="13"/>
      <c r="L263" s="22"/>
      <c r="M263" s="13"/>
      <c r="N263" s="22"/>
      <c r="O263" s="13"/>
      <c r="P263" s="22"/>
      <c r="Q263" s="221"/>
      <c r="R263" s="22"/>
      <c r="S263" s="13"/>
      <c r="T263" s="22"/>
      <c r="U263" s="13"/>
      <c r="V263" s="22"/>
      <c r="W263" s="13"/>
      <c r="X263" s="22"/>
      <c r="Y263" s="13"/>
      <c r="Z263" s="22"/>
      <c r="AA263" s="13"/>
      <c r="AB263" s="22"/>
      <c r="AC263" s="13"/>
      <c r="AD263" s="22"/>
      <c r="AE263" s="13"/>
      <c r="AF263" s="22"/>
      <c r="AG263" s="13"/>
      <c r="AH263" s="22"/>
      <c r="AI263" s="13"/>
      <c r="AJ263" s="221"/>
      <c r="AK263" s="13"/>
      <c r="AL263" s="221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231"/>
      <c r="BD263" s="13"/>
      <c r="BE263" s="13"/>
      <c r="BF263" s="256"/>
      <c r="BG263" s="255"/>
      <c r="BH263" s="233"/>
      <c r="BI263" s="13"/>
      <c r="BJ263" s="233"/>
      <c r="BK263" s="255"/>
      <c r="BL263" s="233"/>
      <c r="BM263" s="13"/>
      <c r="BN263" s="255"/>
      <c r="BO263" s="233"/>
      <c r="BP263" s="13"/>
      <c r="BQ263" s="13"/>
      <c r="BR263" s="13"/>
    </row>
    <row r="264" spans="1:70" ht="14.1" customHeight="1">
      <c r="A264" s="13"/>
      <c r="B264" s="225"/>
      <c r="C264" s="13"/>
      <c r="D264" s="221"/>
      <c r="E264" s="13"/>
      <c r="F264" s="221"/>
      <c r="G264" s="13"/>
      <c r="H264" s="221"/>
      <c r="I264" s="13"/>
      <c r="J264" s="22"/>
      <c r="K264" s="13"/>
      <c r="L264" s="22"/>
      <c r="M264" s="13"/>
      <c r="N264" s="22"/>
      <c r="O264" s="13"/>
      <c r="P264" s="22"/>
      <c r="Q264" s="221"/>
      <c r="R264" s="22"/>
      <c r="S264" s="13"/>
      <c r="T264" s="22"/>
      <c r="U264" s="13"/>
      <c r="V264" s="22"/>
      <c r="W264" s="13"/>
      <c r="X264" s="22"/>
      <c r="Y264" s="13"/>
      <c r="Z264" s="22"/>
      <c r="AA264" s="13"/>
      <c r="AB264" s="22"/>
      <c r="AC264" s="13"/>
      <c r="AD264" s="22"/>
      <c r="AE264" s="13"/>
      <c r="AF264" s="22"/>
      <c r="AG264" s="13"/>
      <c r="AH264" s="22"/>
      <c r="AI264" s="13"/>
      <c r="AJ264" s="221"/>
      <c r="AK264" s="13"/>
      <c r="AL264" s="221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256"/>
      <c r="BG264" s="255"/>
      <c r="BH264" s="233"/>
      <c r="BI264" s="13"/>
      <c r="BJ264" s="233"/>
      <c r="BK264" s="255"/>
      <c r="BL264" s="233"/>
      <c r="BM264" s="13"/>
      <c r="BN264" s="255"/>
      <c r="BO264" s="233"/>
      <c r="BP264" s="13"/>
      <c r="BQ264" s="13"/>
      <c r="BR264" s="13"/>
    </row>
    <row r="265" spans="1:70" ht="14.1" customHeight="1">
      <c r="A265" s="13"/>
      <c r="B265" s="225"/>
      <c r="C265" s="233"/>
      <c r="D265" s="221"/>
      <c r="E265" s="233"/>
      <c r="F265" s="221"/>
      <c r="G265" s="233"/>
      <c r="H265" s="221"/>
      <c r="I265" s="13"/>
      <c r="J265" s="22"/>
      <c r="K265" s="233"/>
      <c r="L265" s="22"/>
      <c r="M265" s="233"/>
      <c r="N265" s="22"/>
      <c r="O265" s="233"/>
      <c r="P265" s="22"/>
      <c r="Q265" s="233"/>
      <c r="R265" s="22"/>
      <c r="S265" s="233"/>
      <c r="T265" s="22"/>
      <c r="U265" s="13"/>
      <c r="V265" s="22"/>
      <c r="W265" s="13"/>
      <c r="X265" s="22"/>
      <c r="Y265" s="233"/>
      <c r="Z265" s="22"/>
      <c r="AA265" s="233"/>
      <c r="AB265" s="22"/>
      <c r="AC265" s="233"/>
      <c r="AD265" s="22"/>
      <c r="AE265" s="233"/>
      <c r="AF265" s="22"/>
      <c r="AG265" s="13"/>
      <c r="AH265" s="22"/>
      <c r="AI265" s="233"/>
      <c r="AJ265" s="221"/>
      <c r="AK265" s="13"/>
      <c r="AL265" s="221"/>
      <c r="AM265" s="23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497"/>
      <c r="BG265" s="255"/>
      <c r="BH265" s="233"/>
      <c r="BI265" s="13"/>
      <c r="BJ265" s="498"/>
      <c r="BK265" s="498"/>
      <c r="BL265" s="233"/>
      <c r="BM265" s="13"/>
      <c r="BN265" s="255"/>
      <c r="BO265" s="233"/>
      <c r="BP265" s="13"/>
      <c r="BQ265" s="13"/>
      <c r="BR265" s="13"/>
    </row>
    <row r="266" spans="1:70" ht="14.1" customHeight="1">
      <c r="A266" s="13"/>
      <c r="B266" s="225"/>
      <c r="C266" s="233"/>
      <c r="D266" s="221"/>
      <c r="E266" s="233"/>
      <c r="F266" s="221"/>
      <c r="G266" s="233"/>
      <c r="H266" s="221"/>
      <c r="I266" s="13"/>
      <c r="J266" s="22"/>
      <c r="K266" s="233"/>
      <c r="L266" s="22"/>
      <c r="M266" s="233"/>
      <c r="N266" s="22"/>
      <c r="O266" s="233"/>
      <c r="P266" s="22"/>
      <c r="Q266" s="233"/>
      <c r="R266" s="22"/>
      <c r="S266" s="233"/>
      <c r="T266" s="22"/>
      <c r="U266" s="13"/>
      <c r="V266" s="22"/>
      <c r="W266" s="13"/>
      <c r="X266" s="22"/>
      <c r="Y266" s="233"/>
      <c r="Z266" s="22"/>
      <c r="AA266" s="233"/>
      <c r="AB266" s="22"/>
      <c r="AC266" s="233"/>
      <c r="AD266" s="22"/>
      <c r="AE266" s="233"/>
      <c r="AF266" s="22"/>
      <c r="AG266" s="13"/>
      <c r="AH266" s="22"/>
      <c r="AI266" s="233"/>
      <c r="AJ266" s="221"/>
      <c r="AK266" s="13"/>
      <c r="AL266" s="221"/>
      <c r="AM266" s="23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22"/>
      <c r="BH266" s="233"/>
      <c r="BI266" s="13"/>
      <c r="BJ266" s="13"/>
      <c r="BK266" s="233"/>
      <c r="BL266" s="13"/>
      <c r="BM266" s="13"/>
      <c r="BN266" s="13"/>
      <c r="BO266" s="233"/>
      <c r="BP266" s="13"/>
      <c r="BQ266" s="13"/>
      <c r="BR266" s="13"/>
    </row>
    <row r="267" spans="1:70" ht="14.1" customHeight="1">
      <c r="A267" s="13"/>
      <c r="B267" s="225"/>
      <c r="C267" s="233"/>
      <c r="D267" s="221"/>
      <c r="E267" s="233"/>
      <c r="F267" s="221"/>
      <c r="G267" s="233"/>
      <c r="H267" s="221"/>
      <c r="I267" s="13"/>
      <c r="J267" s="22"/>
      <c r="K267" s="233"/>
      <c r="L267" s="22"/>
      <c r="M267" s="233"/>
      <c r="N267" s="22"/>
      <c r="O267" s="233"/>
      <c r="P267" s="22"/>
      <c r="Q267" s="233"/>
      <c r="R267" s="22"/>
      <c r="S267" s="233"/>
      <c r="T267" s="22"/>
      <c r="U267" s="13"/>
      <c r="V267" s="22"/>
      <c r="W267" s="13"/>
      <c r="X267" s="22"/>
      <c r="Y267" s="233"/>
      <c r="Z267" s="22"/>
      <c r="AA267" s="233"/>
      <c r="AB267" s="22"/>
      <c r="AC267" s="233"/>
      <c r="AD267" s="22"/>
      <c r="AE267" s="233"/>
      <c r="AF267" s="22"/>
      <c r="AG267" s="13"/>
      <c r="AH267" s="22"/>
      <c r="AI267" s="233"/>
      <c r="AJ267" s="221"/>
      <c r="AK267" s="13"/>
      <c r="AL267" s="221"/>
      <c r="AM267" s="23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499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spans="1:70" ht="14.1" customHeight="1">
      <c r="A268" s="13"/>
      <c r="B268" s="225"/>
      <c r="C268" s="233"/>
      <c r="D268" s="221"/>
      <c r="E268" s="233"/>
      <c r="F268" s="221"/>
      <c r="G268" s="233"/>
      <c r="H268" s="221"/>
      <c r="I268" s="13"/>
      <c r="J268" s="22"/>
      <c r="K268" s="233"/>
      <c r="L268" s="22"/>
      <c r="M268" s="233"/>
      <c r="N268" s="22"/>
      <c r="O268" s="233"/>
      <c r="P268" s="22"/>
      <c r="Q268" s="233"/>
      <c r="R268" s="22"/>
      <c r="S268" s="233"/>
      <c r="T268" s="22"/>
      <c r="U268" s="13"/>
      <c r="V268" s="22"/>
      <c r="W268" s="13"/>
      <c r="X268" s="22"/>
      <c r="Y268" s="233"/>
      <c r="Z268" s="22"/>
      <c r="AA268" s="233"/>
      <c r="AB268" s="22"/>
      <c r="AC268" s="233"/>
      <c r="AD268" s="22"/>
      <c r="AE268" s="233"/>
      <c r="AF268" s="22"/>
      <c r="AG268" s="13"/>
      <c r="AH268" s="22"/>
      <c r="AI268" s="233"/>
      <c r="AJ268" s="221"/>
      <c r="AK268" s="13"/>
      <c r="AL268" s="221"/>
      <c r="AM268" s="23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22"/>
      <c r="BD268" s="13"/>
      <c r="BE268" s="13"/>
      <c r="BF268" s="13"/>
      <c r="BG268" s="233"/>
      <c r="BH268" s="233"/>
      <c r="BI268" s="13"/>
      <c r="BJ268" s="233"/>
      <c r="BK268" s="13"/>
      <c r="BL268" s="233"/>
      <c r="BM268" s="13"/>
      <c r="BN268" s="13"/>
      <c r="BO268" s="13"/>
      <c r="BP268" s="13"/>
      <c r="BQ268" s="13"/>
      <c r="BR268" s="13"/>
    </row>
    <row r="269" spans="1:70" ht="14.1" customHeight="1">
      <c r="A269" s="13"/>
      <c r="B269" s="225"/>
      <c r="C269" s="233"/>
      <c r="D269" s="221"/>
      <c r="E269" s="233"/>
      <c r="F269" s="221"/>
      <c r="G269" s="233"/>
      <c r="H269" s="221"/>
      <c r="I269" s="13"/>
      <c r="J269" s="22"/>
      <c r="K269" s="233"/>
      <c r="L269" s="22"/>
      <c r="M269" s="233"/>
      <c r="N269" s="22"/>
      <c r="O269" s="233"/>
      <c r="P269" s="22"/>
      <c r="Q269" s="233"/>
      <c r="R269" s="22"/>
      <c r="S269" s="233"/>
      <c r="T269" s="22"/>
      <c r="U269" s="13"/>
      <c r="V269" s="22"/>
      <c r="W269" s="13"/>
      <c r="X269" s="22"/>
      <c r="Y269" s="233"/>
      <c r="Z269" s="22"/>
      <c r="AA269" s="233"/>
      <c r="AB269" s="22"/>
      <c r="AC269" s="233"/>
      <c r="AD269" s="22"/>
      <c r="AE269" s="233"/>
      <c r="AF269" s="22"/>
      <c r="AG269" s="13"/>
      <c r="AH269" s="22"/>
      <c r="AI269" s="233"/>
      <c r="AJ269" s="221"/>
      <c r="AK269" s="13"/>
      <c r="AL269" s="221"/>
      <c r="AM269" s="23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22"/>
      <c r="BD269" s="13"/>
      <c r="BE269" s="13"/>
      <c r="BF269" s="13"/>
      <c r="BG269" s="233"/>
      <c r="BH269" s="251"/>
      <c r="BI269" s="13"/>
      <c r="BJ269" s="233"/>
      <c r="BK269" s="13"/>
      <c r="BL269" s="233"/>
      <c r="BM269" s="13"/>
      <c r="BN269" s="13"/>
      <c r="BO269" s="13"/>
      <c r="BP269" s="13"/>
      <c r="BQ269" s="13"/>
      <c r="BR269" s="13"/>
    </row>
    <row r="270" spans="1:70" ht="14.1" customHeight="1">
      <c r="A270" s="13"/>
      <c r="B270" s="225"/>
      <c r="C270" s="233"/>
      <c r="D270" s="221"/>
      <c r="E270" s="233"/>
      <c r="F270" s="221"/>
      <c r="G270" s="233"/>
      <c r="H270" s="221"/>
      <c r="I270" s="13"/>
      <c r="J270" s="22"/>
      <c r="K270" s="233"/>
      <c r="L270" s="22"/>
      <c r="M270" s="233"/>
      <c r="N270" s="22"/>
      <c r="O270" s="233"/>
      <c r="P270" s="22"/>
      <c r="Q270" s="233"/>
      <c r="R270" s="22"/>
      <c r="S270" s="233"/>
      <c r="T270" s="22"/>
      <c r="U270" s="13"/>
      <c r="V270" s="22"/>
      <c r="W270" s="13"/>
      <c r="X270" s="22"/>
      <c r="Y270" s="233"/>
      <c r="Z270" s="22"/>
      <c r="AA270" s="233"/>
      <c r="AB270" s="22"/>
      <c r="AC270" s="233"/>
      <c r="AD270" s="22"/>
      <c r="AE270" s="233"/>
      <c r="AF270" s="22"/>
      <c r="AG270" s="13"/>
      <c r="AH270" s="22"/>
      <c r="AI270" s="233"/>
      <c r="AJ270" s="221"/>
      <c r="AK270" s="13"/>
      <c r="AL270" s="221"/>
      <c r="AM270" s="23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23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spans="1:70" ht="14.1" customHeight="1">
      <c r="A271" s="13"/>
      <c r="B271" s="225"/>
      <c r="C271" s="233"/>
      <c r="D271" s="221"/>
      <c r="E271" s="233"/>
      <c r="F271" s="221"/>
      <c r="G271" s="233"/>
      <c r="H271" s="221"/>
      <c r="I271" s="13"/>
      <c r="J271" s="22"/>
      <c r="K271" s="233"/>
      <c r="L271" s="22"/>
      <c r="M271" s="233"/>
      <c r="N271" s="22"/>
      <c r="O271" s="233"/>
      <c r="P271" s="22"/>
      <c r="Q271" s="233"/>
      <c r="R271" s="22"/>
      <c r="S271" s="233"/>
      <c r="T271" s="22"/>
      <c r="U271" s="13"/>
      <c r="V271" s="22"/>
      <c r="W271" s="13"/>
      <c r="X271" s="22"/>
      <c r="Y271" s="233"/>
      <c r="Z271" s="22"/>
      <c r="AA271" s="233"/>
      <c r="AB271" s="22"/>
      <c r="AC271" s="233"/>
      <c r="AD271" s="22"/>
      <c r="AE271" s="233"/>
      <c r="AF271" s="22"/>
      <c r="AG271" s="13"/>
      <c r="AH271" s="22"/>
      <c r="AI271" s="233"/>
      <c r="AJ271" s="221"/>
      <c r="AK271" s="13"/>
      <c r="AL271" s="221"/>
      <c r="AM271" s="23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spans="1:70" ht="14.1" customHeight="1">
      <c r="A272" s="13"/>
      <c r="B272" s="225"/>
      <c r="C272" s="233"/>
      <c r="D272" s="221"/>
      <c r="E272" s="233"/>
      <c r="F272" s="221"/>
      <c r="G272" s="233"/>
      <c r="H272" s="221"/>
      <c r="I272" s="13"/>
      <c r="J272" s="22"/>
      <c r="K272" s="233"/>
      <c r="L272" s="22"/>
      <c r="M272" s="233"/>
      <c r="N272" s="22"/>
      <c r="O272" s="233"/>
      <c r="P272" s="22"/>
      <c r="Q272" s="233"/>
      <c r="R272" s="22"/>
      <c r="S272" s="233"/>
      <c r="T272" s="22"/>
      <c r="U272" s="13"/>
      <c r="V272" s="22"/>
      <c r="W272" s="13"/>
      <c r="X272" s="22"/>
      <c r="Y272" s="233"/>
      <c r="Z272" s="22"/>
      <c r="AA272" s="233"/>
      <c r="AB272" s="22"/>
      <c r="AC272" s="233"/>
      <c r="AD272" s="22"/>
      <c r="AE272" s="233"/>
      <c r="AF272" s="22"/>
      <c r="AG272" s="13"/>
      <c r="AH272" s="22"/>
      <c r="AI272" s="233"/>
      <c r="AJ272" s="221"/>
      <c r="AK272" s="13"/>
      <c r="AL272" s="221"/>
      <c r="AM272" s="23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spans="1:72" ht="14.1" customHeight="1">
      <c r="A273" s="13"/>
      <c r="B273" s="225"/>
      <c r="C273" s="233"/>
      <c r="D273" s="221"/>
      <c r="E273" s="233"/>
      <c r="F273" s="221"/>
      <c r="G273" s="233"/>
      <c r="H273" s="221"/>
      <c r="I273" s="13"/>
      <c r="J273" s="22"/>
      <c r="K273" s="233"/>
      <c r="L273" s="22"/>
      <c r="M273" s="233"/>
      <c r="N273" s="22"/>
      <c r="O273" s="233"/>
      <c r="P273" s="22"/>
      <c r="Q273" s="233"/>
      <c r="R273" s="22"/>
      <c r="S273" s="233"/>
      <c r="T273" s="22"/>
      <c r="U273" s="13"/>
      <c r="V273" s="22"/>
      <c r="W273" s="233"/>
      <c r="X273" s="22"/>
      <c r="Y273" s="233"/>
      <c r="Z273" s="22"/>
      <c r="AA273" s="233"/>
      <c r="AB273" s="22"/>
      <c r="AC273" s="233"/>
      <c r="AD273" s="22"/>
      <c r="AE273" s="233"/>
      <c r="AF273" s="22"/>
      <c r="AG273" s="13"/>
      <c r="AH273" s="22"/>
      <c r="AI273" s="233"/>
      <c r="AJ273" s="221"/>
      <c r="AK273" s="13"/>
      <c r="AL273" s="221"/>
      <c r="AM273" s="23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spans="1:72" ht="14.1" customHeight="1">
      <c r="A274" s="13"/>
      <c r="B274" s="225"/>
      <c r="C274" s="233"/>
      <c r="D274" s="221"/>
      <c r="E274" s="233"/>
      <c r="F274" s="221"/>
      <c r="G274" s="233"/>
      <c r="H274" s="221"/>
      <c r="I274" s="13"/>
      <c r="J274" s="22"/>
      <c r="K274" s="233"/>
      <c r="L274" s="22"/>
      <c r="M274" s="13"/>
      <c r="N274" s="22"/>
      <c r="O274" s="13"/>
      <c r="P274" s="22"/>
      <c r="Q274" s="221"/>
      <c r="R274" s="22"/>
      <c r="S274" s="13"/>
      <c r="T274" s="22"/>
      <c r="U274" s="13"/>
      <c r="V274" s="22"/>
      <c r="W274" s="13"/>
      <c r="X274" s="22"/>
      <c r="Y274" s="13"/>
      <c r="Z274" s="22"/>
      <c r="AA274" s="13"/>
      <c r="AB274" s="22"/>
      <c r="AC274" s="13"/>
      <c r="AD274" s="22"/>
      <c r="AE274" s="13"/>
      <c r="AF274" s="22"/>
      <c r="AG274" s="13"/>
      <c r="AH274" s="22"/>
      <c r="AI274" s="13"/>
      <c r="AJ274" s="221"/>
      <c r="AK274" s="13"/>
      <c r="AL274" s="221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22"/>
      <c r="BG274" s="22"/>
      <c r="BH274" s="22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spans="1:72" ht="14.1" customHeight="1">
      <c r="A275" s="13"/>
      <c r="B275" s="225"/>
      <c r="C275" s="233"/>
      <c r="D275" s="221"/>
      <c r="E275" s="233"/>
      <c r="F275" s="221"/>
      <c r="G275" s="233"/>
      <c r="H275" s="221"/>
      <c r="I275" s="13"/>
      <c r="J275" s="22"/>
      <c r="K275" s="233"/>
      <c r="L275" s="22"/>
      <c r="M275" s="13"/>
      <c r="N275" s="22"/>
      <c r="O275" s="13"/>
      <c r="P275" s="22"/>
      <c r="Q275" s="221"/>
      <c r="R275" s="22"/>
      <c r="S275" s="13"/>
      <c r="T275" s="22"/>
      <c r="U275" s="13"/>
      <c r="V275" s="22"/>
      <c r="W275" s="13"/>
      <c r="X275" s="22"/>
      <c r="Y275" s="13"/>
      <c r="Z275" s="22"/>
      <c r="AA275" s="13"/>
      <c r="AB275" s="22"/>
      <c r="AC275" s="13"/>
      <c r="AD275" s="22"/>
      <c r="AE275" s="13"/>
      <c r="AF275" s="22"/>
      <c r="AG275" s="13"/>
      <c r="AH275" s="22"/>
      <c r="AI275" s="13"/>
      <c r="AJ275" s="221"/>
      <c r="AK275" s="13"/>
      <c r="AL275" s="221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22"/>
      <c r="BG275" s="22"/>
      <c r="BH275" s="22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spans="1:72" ht="14.1" customHeight="1">
      <c r="A276" s="13"/>
      <c r="B276" s="225"/>
      <c r="C276" s="233"/>
      <c r="D276" s="221"/>
      <c r="E276" s="233"/>
      <c r="F276" s="221"/>
      <c r="G276" s="233"/>
      <c r="H276" s="221"/>
      <c r="I276" s="233"/>
      <c r="J276" s="22"/>
      <c r="K276" s="233"/>
      <c r="L276" s="22"/>
      <c r="M276" s="233"/>
      <c r="N276" s="22"/>
      <c r="O276" s="233"/>
      <c r="P276" s="22"/>
      <c r="Q276" s="233"/>
      <c r="R276" s="22"/>
      <c r="S276" s="233"/>
      <c r="T276" s="22"/>
      <c r="U276" s="13"/>
      <c r="V276" s="22"/>
      <c r="W276" s="13"/>
      <c r="X276" s="22"/>
      <c r="Y276" s="233"/>
      <c r="Z276" s="22"/>
      <c r="AA276" s="233"/>
      <c r="AB276" s="22"/>
      <c r="AC276" s="233"/>
      <c r="AD276" s="22"/>
      <c r="AE276" s="233"/>
      <c r="AF276" s="22"/>
      <c r="AG276" s="13"/>
      <c r="AH276" s="22"/>
      <c r="AI276" s="233"/>
      <c r="AJ276" s="221"/>
      <c r="AK276" s="13"/>
      <c r="AL276" s="221"/>
      <c r="AM276" s="23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22"/>
      <c r="BG276" s="22"/>
      <c r="BH276" s="22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spans="1:72" ht="14.1" customHeight="1">
      <c r="A277" s="13"/>
      <c r="B277" s="225"/>
      <c r="C277" s="13"/>
      <c r="D277" s="221"/>
      <c r="E277" s="13"/>
      <c r="F277" s="221"/>
      <c r="G277" s="13"/>
      <c r="H277" s="221"/>
      <c r="I277" s="13"/>
      <c r="J277" s="22"/>
      <c r="K277" s="13"/>
      <c r="L277" s="22"/>
      <c r="M277" s="233"/>
      <c r="N277" s="22"/>
      <c r="O277" s="233"/>
      <c r="P277" s="22"/>
      <c r="Q277" s="233"/>
      <c r="R277" s="22"/>
      <c r="S277" s="233"/>
      <c r="T277" s="22"/>
      <c r="U277" s="13"/>
      <c r="V277" s="22"/>
      <c r="W277" s="13"/>
      <c r="X277" s="22"/>
      <c r="Y277" s="233"/>
      <c r="Z277" s="22"/>
      <c r="AA277" s="233"/>
      <c r="AB277" s="22"/>
      <c r="AC277" s="233"/>
      <c r="AD277" s="22"/>
      <c r="AE277" s="233"/>
      <c r="AF277" s="22"/>
      <c r="AG277" s="13"/>
      <c r="AH277" s="22"/>
      <c r="AI277" s="233"/>
      <c r="AJ277" s="221"/>
      <c r="AK277" s="13"/>
      <c r="AL277" s="221"/>
      <c r="AM277" s="23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spans="1:72" ht="14.1" customHeight="1">
      <c r="A278" s="13"/>
      <c r="B278" s="225"/>
      <c r="C278" s="13"/>
      <c r="D278" s="221"/>
      <c r="E278" s="13"/>
      <c r="F278" s="221"/>
      <c r="G278" s="13"/>
      <c r="H278" s="221"/>
      <c r="I278" s="13"/>
      <c r="J278" s="22"/>
      <c r="K278" s="13"/>
      <c r="L278" s="22"/>
      <c r="M278" s="233"/>
      <c r="N278" s="22"/>
      <c r="O278" s="233"/>
      <c r="P278" s="22"/>
      <c r="Q278" s="233"/>
      <c r="R278" s="22"/>
      <c r="S278" s="233"/>
      <c r="T278" s="22"/>
      <c r="U278" s="13"/>
      <c r="V278" s="22"/>
      <c r="W278" s="13"/>
      <c r="X278" s="22"/>
      <c r="Y278" s="233"/>
      <c r="Z278" s="22"/>
      <c r="AA278" s="233"/>
      <c r="AB278" s="22"/>
      <c r="AC278" s="233"/>
      <c r="AD278" s="22"/>
      <c r="AE278" s="233"/>
      <c r="AF278" s="22"/>
      <c r="AG278" s="13"/>
      <c r="AH278" s="22"/>
      <c r="AI278" s="233"/>
      <c r="AJ278" s="221"/>
      <c r="AK278" s="13"/>
      <c r="AL278" s="221"/>
      <c r="AM278" s="23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226"/>
      <c r="BG278" s="13"/>
      <c r="BH278" s="13"/>
      <c r="BI278" s="13"/>
      <c r="BJ278" s="13"/>
      <c r="BK278" s="13"/>
      <c r="BL278" s="13"/>
      <c r="BM278" s="226"/>
      <c r="BN278" s="13"/>
      <c r="BO278" s="13"/>
      <c r="BP278" s="13"/>
      <c r="BQ278" s="13"/>
      <c r="BR278" s="13"/>
    </row>
    <row r="279" spans="1:72" ht="14.1" customHeight="1">
      <c r="A279" s="13"/>
      <c r="B279" s="225"/>
      <c r="C279" s="235"/>
      <c r="D279" s="221"/>
      <c r="E279" s="235"/>
      <c r="F279" s="221"/>
      <c r="G279" s="233"/>
      <c r="H279" s="221"/>
      <c r="I279" s="13"/>
      <c r="J279" s="22"/>
      <c r="K279" s="233"/>
      <c r="L279" s="22"/>
      <c r="M279" s="233"/>
      <c r="N279" s="22"/>
      <c r="O279" s="233"/>
      <c r="P279" s="22"/>
      <c r="Q279" s="233"/>
      <c r="R279" s="22"/>
      <c r="S279" s="233"/>
      <c r="T279" s="22"/>
      <c r="U279" s="13"/>
      <c r="V279" s="22"/>
      <c r="W279" s="13"/>
      <c r="X279" s="22"/>
      <c r="Y279" s="233"/>
      <c r="Z279" s="22"/>
      <c r="AA279" s="233"/>
      <c r="AB279" s="22"/>
      <c r="AC279" s="233"/>
      <c r="AD279" s="22"/>
      <c r="AE279" s="233"/>
      <c r="AF279" s="22"/>
      <c r="AG279" s="13"/>
      <c r="AH279" s="22"/>
      <c r="AI279" s="233"/>
      <c r="AJ279" s="221"/>
      <c r="AK279" s="13"/>
      <c r="AL279" s="221"/>
      <c r="AM279" s="23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spans="1:72" ht="14.1" customHeight="1">
      <c r="A280" s="13"/>
      <c r="B280" s="225"/>
      <c r="C280" s="235"/>
      <c r="D280" s="221"/>
      <c r="E280" s="235"/>
      <c r="F280" s="221"/>
      <c r="G280" s="233"/>
      <c r="H280" s="221"/>
      <c r="I280" s="13"/>
      <c r="J280" s="22"/>
      <c r="K280" s="233"/>
      <c r="L280" s="22"/>
      <c r="M280" s="233"/>
      <c r="N280" s="22"/>
      <c r="O280" s="233"/>
      <c r="P280" s="22"/>
      <c r="Q280" s="233"/>
      <c r="R280" s="22"/>
      <c r="S280" s="233"/>
      <c r="T280" s="22"/>
      <c r="U280" s="13"/>
      <c r="V280" s="22"/>
      <c r="W280" s="13"/>
      <c r="X280" s="22"/>
      <c r="Y280" s="233"/>
      <c r="Z280" s="22"/>
      <c r="AA280" s="233"/>
      <c r="AB280" s="22"/>
      <c r="AC280" s="233"/>
      <c r="AD280" s="22"/>
      <c r="AE280" s="233"/>
      <c r="AF280" s="22"/>
      <c r="AG280" s="13"/>
      <c r="AH280" s="22"/>
      <c r="AI280" s="233"/>
      <c r="AJ280" s="221"/>
      <c r="AK280" s="13"/>
      <c r="AL280" s="221"/>
      <c r="AM280" s="23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500"/>
      <c r="BG280" s="501"/>
      <c r="BH280" s="502"/>
      <c r="BI280" s="503"/>
      <c r="BJ280" s="502"/>
      <c r="BK280" s="504"/>
      <c r="BL280" s="13"/>
      <c r="BM280" s="500"/>
      <c r="BN280" s="501"/>
      <c r="BO280" s="502"/>
      <c r="BP280" s="501"/>
      <c r="BQ280" s="502"/>
      <c r="BR280" s="504"/>
    </row>
    <row r="281" spans="1:72" ht="14.1" customHeight="1">
      <c r="A281" s="13"/>
      <c r="B281" s="225"/>
      <c r="C281" s="235"/>
      <c r="D281" s="221"/>
      <c r="E281" s="235"/>
      <c r="F281" s="221"/>
      <c r="G281" s="233"/>
      <c r="H281" s="221"/>
      <c r="I281" s="13"/>
      <c r="J281" s="22"/>
      <c r="K281" s="233"/>
      <c r="L281" s="22"/>
      <c r="M281" s="233"/>
      <c r="N281" s="22"/>
      <c r="O281" s="233"/>
      <c r="P281" s="22"/>
      <c r="Q281" s="233"/>
      <c r="R281" s="22"/>
      <c r="S281" s="233"/>
      <c r="T281" s="22"/>
      <c r="U281" s="13"/>
      <c r="V281" s="22"/>
      <c r="W281" s="13"/>
      <c r="X281" s="22"/>
      <c r="Y281" s="233"/>
      <c r="Z281" s="22"/>
      <c r="AA281" s="233"/>
      <c r="AB281" s="22"/>
      <c r="AC281" s="233"/>
      <c r="AD281" s="22"/>
      <c r="AE281" s="233"/>
      <c r="AF281" s="22"/>
      <c r="AG281" s="13"/>
      <c r="AH281" s="22"/>
      <c r="AI281" s="233"/>
      <c r="AJ281" s="221"/>
      <c r="AK281" s="13"/>
      <c r="AL281" s="221"/>
      <c r="AM281" s="23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502"/>
      <c r="BG281" s="502"/>
      <c r="BH281" s="502"/>
      <c r="BI281" s="502"/>
      <c r="BJ281" s="502"/>
      <c r="BK281" s="502"/>
      <c r="BL281" s="13"/>
      <c r="BM281" s="502"/>
      <c r="BN281" s="502"/>
      <c r="BO281" s="502"/>
      <c r="BP281" s="502"/>
      <c r="BQ281" s="502"/>
      <c r="BR281" s="502"/>
    </row>
    <row r="282" spans="1:72" ht="14.1" customHeight="1">
      <c r="A282" s="13"/>
      <c r="B282" s="225"/>
      <c r="C282" s="235"/>
      <c r="D282" s="221"/>
      <c r="E282" s="235"/>
      <c r="F282" s="221"/>
      <c r="G282" s="233"/>
      <c r="H282" s="221"/>
      <c r="I282" s="13"/>
      <c r="J282" s="22"/>
      <c r="K282" s="233"/>
      <c r="L282" s="22"/>
      <c r="M282" s="233"/>
      <c r="N282" s="22"/>
      <c r="O282" s="233"/>
      <c r="P282" s="22"/>
      <c r="Q282" s="233"/>
      <c r="R282" s="22"/>
      <c r="S282" s="233"/>
      <c r="T282" s="22"/>
      <c r="U282" s="13"/>
      <c r="V282" s="22"/>
      <c r="W282" s="13"/>
      <c r="X282" s="22"/>
      <c r="Y282" s="233"/>
      <c r="Z282" s="22"/>
      <c r="AA282" s="233"/>
      <c r="AB282" s="22"/>
      <c r="AC282" s="233"/>
      <c r="AD282" s="22"/>
      <c r="AE282" s="233"/>
      <c r="AF282" s="22"/>
      <c r="AG282" s="13"/>
      <c r="AH282" s="22"/>
      <c r="AI282" s="233"/>
      <c r="AJ282" s="221"/>
      <c r="AK282" s="13"/>
      <c r="AL282" s="221"/>
      <c r="AM282" s="23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502"/>
      <c r="BG282" s="335"/>
      <c r="BH282" s="502"/>
      <c r="BI282" s="335"/>
      <c r="BJ282" s="502"/>
      <c r="BK282" s="335"/>
      <c r="BL282" s="13"/>
      <c r="BM282" s="502"/>
      <c r="BN282" s="335"/>
      <c r="BO282" s="502"/>
      <c r="BP282" s="335"/>
      <c r="BQ282" s="502"/>
      <c r="BR282" s="335"/>
      <c r="BT282" s="20">
        <v>-426028</v>
      </c>
    </row>
    <row r="283" spans="1:72" ht="14.1" customHeight="1">
      <c r="A283" s="13"/>
      <c r="B283" s="225"/>
      <c r="C283" s="235"/>
      <c r="D283" s="221"/>
      <c r="E283" s="235"/>
      <c r="F283" s="221"/>
      <c r="G283" s="233"/>
      <c r="H283" s="221"/>
      <c r="I283" s="13"/>
      <c r="J283" s="22"/>
      <c r="K283" s="233"/>
      <c r="L283" s="22"/>
      <c r="M283" s="233"/>
      <c r="N283" s="22"/>
      <c r="O283" s="233"/>
      <c r="P283" s="22"/>
      <c r="Q283" s="233"/>
      <c r="R283" s="22"/>
      <c r="S283" s="233"/>
      <c r="T283" s="22"/>
      <c r="U283" s="13"/>
      <c r="V283" s="22"/>
      <c r="W283" s="13"/>
      <c r="X283" s="22"/>
      <c r="Y283" s="233"/>
      <c r="Z283" s="22"/>
      <c r="AA283" s="233"/>
      <c r="AB283" s="22"/>
      <c r="AC283" s="233"/>
      <c r="AD283" s="22"/>
      <c r="AE283" s="233"/>
      <c r="AF283" s="22"/>
      <c r="AG283" s="13"/>
      <c r="AH283" s="22"/>
      <c r="AI283" s="233"/>
      <c r="AJ283" s="221"/>
      <c r="AK283" s="13"/>
      <c r="AL283" s="221"/>
      <c r="AM283" s="23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233"/>
      <c r="BD283" s="13"/>
      <c r="BE283" s="13"/>
      <c r="BF283" s="502"/>
      <c r="BG283" s="502"/>
      <c r="BH283" s="502"/>
      <c r="BI283" s="502"/>
      <c r="BJ283" s="502"/>
      <c r="BK283" s="335"/>
      <c r="BL283" s="13"/>
      <c r="BM283" s="502"/>
      <c r="BN283" s="502"/>
      <c r="BO283" s="502"/>
      <c r="BP283" s="502"/>
      <c r="BQ283" s="502"/>
      <c r="BR283" s="335"/>
    </row>
    <row r="284" spans="1:72" ht="14.1" customHeight="1">
      <c r="A284" s="13"/>
      <c r="B284" s="225"/>
      <c r="C284" s="235"/>
      <c r="D284" s="221"/>
      <c r="E284" s="235"/>
      <c r="F284" s="221"/>
      <c r="G284" s="233"/>
      <c r="H284" s="221"/>
      <c r="I284" s="13"/>
      <c r="J284" s="22"/>
      <c r="K284" s="233"/>
      <c r="L284" s="22"/>
      <c r="M284" s="233"/>
      <c r="N284" s="22"/>
      <c r="O284" s="233"/>
      <c r="P284" s="22"/>
      <c r="Q284" s="233"/>
      <c r="R284" s="22"/>
      <c r="S284" s="233"/>
      <c r="T284" s="22"/>
      <c r="U284" s="13"/>
      <c r="V284" s="22"/>
      <c r="W284" s="13"/>
      <c r="X284" s="22"/>
      <c r="Y284" s="233"/>
      <c r="Z284" s="22"/>
      <c r="AA284" s="233"/>
      <c r="AB284" s="22"/>
      <c r="AC284" s="233"/>
      <c r="AD284" s="22"/>
      <c r="AE284" s="233"/>
      <c r="AF284" s="22"/>
      <c r="AG284" s="13"/>
      <c r="AH284" s="22"/>
      <c r="AI284" s="233"/>
      <c r="AJ284" s="221"/>
      <c r="AK284" s="13"/>
      <c r="AL284" s="221"/>
      <c r="AM284" s="23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502"/>
      <c r="BG284" s="335"/>
      <c r="BH284" s="502"/>
      <c r="BI284" s="335"/>
      <c r="BJ284" s="502"/>
      <c r="BK284" s="335"/>
      <c r="BL284" s="13"/>
      <c r="BM284" s="502"/>
      <c r="BN284" s="335"/>
      <c r="BO284" s="502"/>
      <c r="BP284" s="335"/>
      <c r="BQ284" s="502"/>
      <c r="BR284" s="335"/>
      <c r="BT284" s="20">
        <v>-175752</v>
      </c>
    </row>
    <row r="285" spans="1:72" ht="14.1" customHeight="1">
      <c r="A285" s="13"/>
      <c r="B285" s="225"/>
      <c r="C285" s="235"/>
      <c r="D285" s="221"/>
      <c r="E285" s="235"/>
      <c r="F285" s="221"/>
      <c r="G285" s="233"/>
      <c r="H285" s="221"/>
      <c r="I285" s="13"/>
      <c r="J285" s="22"/>
      <c r="K285" s="233"/>
      <c r="L285" s="22"/>
      <c r="M285" s="233"/>
      <c r="N285" s="22"/>
      <c r="O285" s="233"/>
      <c r="P285" s="22"/>
      <c r="Q285" s="233"/>
      <c r="R285" s="22"/>
      <c r="S285" s="233"/>
      <c r="T285" s="22"/>
      <c r="U285" s="13"/>
      <c r="V285" s="22"/>
      <c r="W285" s="13"/>
      <c r="X285" s="22"/>
      <c r="Y285" s="233"/>
      <c r="Z285" s="22"/>
      <c r="AA285" s="233"/>
      <c r="AB285" s="22"/>
      <c r="AC285" s="233"/>
      <c r="AD285" s="22"/>
      <c r="AE285" s="233"/>
      <c r="AF285" s="22"/>
      <c r="AG285" s="13"/>
      <c r="AH285" s="22"/>
      <c r="AI285" s="233"/>
      <c r="AJ285" s="221"/>
      <c r="AK285" s="13"/>
      <c r="AL285" s="221"/>
      <c r="AM285" s="23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226"/>
      <c r="BD285" s="13"/>
      <c r="BE285" s="13"/>
      <c r="BF285" s="502"/>
      <c r="BG285" s="502"/>
      <c r="BH285" s="502"/>
      <c r="BI285" s="502"/>
      <c r="BJ285" s="502"/>
      <c r="BK285" s="335"/>
      <c r="BL285" s="13"/>
      <c r="BM285" s="502"/>
      <c r="BN285" s="502"/>
      <c r="BO285" s="502"/>
      <c r="BP285" s="502"/>
      <c r="BQ285" s="502"/>
      <c r="BR285" s="335"/>
    </row>
    <row r="286" spans="1:72" ht="14.1" customHeight="1">
      <c r="A286" s="13"/>
      <c r="B286" s="225"/>
      <c r="C286" s="235"/>
      <c r="D286" s="221"/>
      <c r="E286" s="235"/>
      <c r="F286" s="221"/>
      <c r="G286" s="233"/>
      <c r="H286" s="221"/>
      <c r="I286" s="13"/>
      <c r="J286" s="22"/>
      <c r="K286" s="233"/>
      <c r="L286" s="22"/>
      <c r="M286" s="233"/>
      <c r="N286" s="22"/>
      <c r="O286" s="233"/>
      <c r="P286" s="22"/>
      <c r="Q286" s="233"/>
      <c r="R286" s="22"/>
      <c r="S286" s="233"/>
      <c r="T286" s="22"/>
      <c r="U286" s="13"/>
      <c r="V286" s="22"/>
      <c r="W286" s="13"/>
      <c r="X286" s="22"/>
      <c r="Y286" s="233"/>
      <c r="Z286" s="22"/>
      <c r="AA286" s="233"/>
      <c r="AB286" s="22"/>
      <c r="AC286" s="233"/>
      <c r="AD286" s="22"/>
      <c r="AE286" s="233"/>
      <c r="AF286" s="22"/>
      <c r="AG286" s="13"/>
      <c r="AH286" s="22"/>
      <c r="AI286" s="233"/>
      <c r="AJ286" s="221"/>
      <c r="AK286" s="13"/>
      <c r="AL286" s="221"/>
      <c r="AM286" s="23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502"/>
      <c r="BG286" s="335"/>
      <c r="BH286" s="502"/>
      <c r="BI286" s="335"/>
      <c r="BJ286" s="502"/>
      <c r="BK286" s="335"/>
      <c r="BL286" s="13"/>
      <c r="BM286" s="502"/>
      <c r="BN286" s="335"/>
      <c r="BO286" s="502"/>
      <c r="BP286" s="335"/>
      <c r="BQ286" s="502"/>
      <c r="BR286" s="335"/>
      <c r="BT286" s="20">
        <v>0</v>
      </c>
    </row>
    <row r="287" spans="1:72" ht="14.1" customHeight="1">
      <c r="A287" s="13"/>
      <c r="B287" s="225"/>
      <c r="C287" s="235"/>
      <c r="D287" s="221"/>
      <c r="E287" s="235"/>
      <c r="F287" s="221"/>
      <c r="G287" s="233"/>
      <c r="H287" s="221"/>
      <c r="I287" s="13"/>
      <c r="J287" s="22"/>
      <c r="K287" s="233"/>
      <c r="L287" s="22"/>
      <c r="M287" s="233"/>
      <c r="N287" s="22"/>
      <c r="O287" s="233"/>
      <c r="P287" s="22"/>
      <c r="Q287" s="233"/>
      <c r="R287" s="22"/>
      <c r="S287" s="233"/>
      <c r="T287" s="22"/>
      <c r="U287" s="13"/>
      <c r="V287" s="22"/>
      <c r="W287" s="233"/>
      <c r="X287" s="22"/>
      <c r="Y287" s="233"/>
      <c r="Z287" s="22"/>
      <c r="AA287" s="233"/>
      <c r="AB287" s="22"/>
      <c r="AC287" s="233"/>
      <c r="AD287" s="22"/>
      <c r="AE287" s="233"/>
      <c r="AF287" s="22"/>
      <c r="AG287" s="13"/>
      <c r="AH287" s="22"/>
      <c r="AI287" s="233"/>
      <c r="AJ287" s="221"/>
      <c r="AK287" s="13"/>
      <c r="AL287" s="221"/>
      <c r="AM287" s="23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502"/>
      <c r="BG287" s="502"/>
      <c r="BH287" s="502"/>
      <c r="BI287" s="502"/>
      <c r="BJ287" s="502"/>
      <c r="BK287" s="335"/>
      <c r="BL287" s="13"/>
      <c r="BM287" s="502"/>
      <c r="BN287" s="502"/>
      <c r="BO287" s="502"/>
      <c r="BP287" s="502"/>
      <c r="BQ287" s="502"/>
      <c r="BR287" s="335"/>
    </row>
    <row r="288" spans="1:72" ht="14.1" customHeight="1">
      <c r="A288" s="20"/>
      <c r="B288" s="21"/>
      <c r="C288" s="20"/>
      <c r="D288" s="6"/>
      <c r="E288" s="20"/>
      <c r="G288" s="20"/>
      <c r="I288" s="20"/>
      <c r="K288" s="20"/>
      <c r="L288" s="22"/>
      <c r="M288" s="13"/>
      <c r="N288" s="22"/>
      <c r="O288" s="13"/>
      <c r="P288" s="22"/>
      <c r="Q288" s="221"/>
      <c r="R288" s="22"/>
      <c r="S288" s="13"/>
      <c r="T288" s="22"/>
      <c r="U288" s="13"/>
      <c r="V288" s="22"/>
      <c r="W288" s="13"/>
      <c r="X288" s="22"/>
      <c r="Y288" s="13"/>
      <c r="Z288" s="22"/>
      <c r="AA288" s="13"/>
      <c r="AB288" s="22"/>
      <c r="AC288" s="13"/>
      <c r="AD288" s="22"/>
      <c r="AE288" s="13"/>
      <c r="AF288" s="22"/>
      <c r="AG288" s="13"/>
      <c r="AH288" s="22"/>
      <c r="AI288" s="13"/>
      <c r="AJ288" s="221"/>
      <c r="AK288" s="13"/>
      <c r="AL288" s="221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502"/>
      <c r="BG288" s="505"/>
      <c r="BH288" s="502"/>
      <c r="BI288" s="505"/>
      <c r="BJ288" s="502"/>
      <c r="BK288" s="502"/>
      <c r="BL288" s="13"/>
      <c r="BM288" s="502"/>
      <c r="BN288" s="505"/>
      <c r="BO288" s="502"/>
      <c r="BP288" s="505"/>
      <c r="BQ288" s="502"/>
      <c r="BR288" s="335"/>
      <c r="BT288" s="20">
        <v>0</v>
      </c>
    </row>
    <row r="289" spans="3:70" ht="14.1" customHeight="1">
      <c r="L289" s="22"/>
      <c r="M289" s="13"/>
      <c r="N289" s="22"/>
      <c r="O289" s="13"/>
      <c r="P289" s="22"/>
      <c r="Q289" s="221"/>
      <c r="R289" s="22"/>
      <c r="S289" s="13"/>
      <c r="T289" s="22"/>
      <c r="U289" s="13"/>
      <c r="V289" s="22"/>
      <c r="W289" s="13"/>
      <c r="X289" s="22"/>
      <c r="Y289" s="13"/>
      <c r="Z289" s="22"/>
      <c r="AA289" s="22"/>
      <c r="AB289" s="22"/>
      <c r="AC289" s="13"/>
      <c r="AD289" s="22"/>
      <c r="AE289" s="13"/>
      <c r="AF289" s="22"/>
      <c r="AG289" s="13"/>
      <c r="AH289" s="22"/>
      <c r="AI289" s="13"/>
      <c r="AJ289" s="221"/>
      <c r="AK289" s="13"/>
      <c r="AL289" s="221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502"/>
      <c r="BG289" s="502"/>
      <c r="BH289" s="502"/>
      <c r="BI289" s="502"/>
      <c r="BJ289" s="502"/>
      <c r="BK289" s="502"/>
      <c r="BL289" s="13"/>
      <c r="BM289" s="502"/>
      <c r="BN289" s="502"/>
      <c r="BO289" s="502"/>
      <c r="BP289" s="502"/>
      <c r="BQ289" s="502"/>
      <c r="BR289" s="502"/>
    </row>
    <row r="290" spans="3:70" ht="14.1" customHeight="1">
      <c r="L290" s="22"/>
      <c r="M290" s="235"/>
      <c r="N290" s="22"/>
      <c r="O290" s="235"/>
      <c r="P290" s="22"/>
      <c r="Q290" s="236"/>
      <c r="R290" s="22"/>
      <c r="S290" s="233"/>
      <c r="T290" s="22"/>
      <c r="U290" s="13"/>
      <c r="V290" s="22"/>
      <c r="W290" s="13"/>
      <c r="X290" s="22"/>
      <c r="Y290" s="13"/>
      <c r="Z290" s="22"/>
      <c r="AA290" s="235"/>
      <c r="AB290" s="22"/>
      <c r="AC290" s="13"/>
      <c r="AD290" s="22"/>
      <c r="AE290" s="13"/>
      <c r="AF290" s="22"/>
      <c r="AG290" s="13"/>
      <c r="AH290" s="22"/>
      <c r="AI290" s="235"/>
      <c r="AJ290" s="221"/>
      <c r="AK290" s="13"/>
      <c r="AL290" s="221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506"/>
      <c r="BG290" s="507"/>
      <c r="BH290" s="506"/>
      <c r="BI290" s="507"/>
      <c r="BJ290" s="502"/>
      <c r="BK290" s="507"/>
      <c r="BL290" s="13"/>
      <c r="BM290" s="506"/>
      <c r="BN290" s="507"/>
      <c r="BO290" s="506"/>
      <c r="BP290" s="507"/>
      <c r="BQ290" s="502"/>
      <c r="BR290" s="507"/>
    </row>
    <row r="291" spans="3:70" ht="14.1" customHeight="1">
      <c r="L291" s="22"/>
      <c r="M291" s="235"/>
      <c r="N291" s="22"/>
      <c r="O291" s="235"/>
      <c r="P291" s="22"/>
      <c r="Q291" s="236"/>
      <c r="R291" s="22"/>
      <c r="S291" s="233"/>
      <c r="T291" s="22"/>
      <c r="U291" s="13"/>
      <c r="V291" s="22"/>
      <c r="W291" s="13"/>
      <c r="X291" s="22"/>
      <c r="Y291" s="13"/>
      <c r="Z291" s="22"/>
      <c r="AA291" s="235"/>
      <c r="AB291" s="22"/>
      <c r="AC291" s="13"/>
      <c r="AD291" s="22"/>
      <c r="AE291" s="13"/>
      <c r="AF291" s="22"/>
      <c r="AG291" s="13"/>
      <c r="AH291" s="22"/>
      <c r="AI291" s="235"/>
      <c r="AJ291" s="221"/>
      <c r="AK291" s="13"/>
      <c r="AL291" s="221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508"/>
      <c r="BG291" s="508"/>
      <c r="BH291" s="508"/>
      <c r="BI291" s="508"/>
      <c r="BJ291" s="508"/>
      <c r="BK291" s="508"/>
      <c r="BL291" s="13"/>
      <c r="BM291" s="508"/>
      <c r="BN291" s="508"/>
      <c r="BO291" s="508"/>
      <c r="BP291" s="508"/>
      <c r="BQ291" s="508"/>
      <c r="BR291" s="508"/>
    </row>
    <row r="292" spans="3:70" ht="14.1" customHeight="1">
      <c r="L292" s="22"/>
      <c r="M292" s="235"/>
      <c r="N292" s="22"/>
      <c r="O292" s="235"/>
      <c r="P292" s="22"/>
      <c r="Q292" s="236"/>
      <c r="R292" s="22"/>
      <c r="S292" s="233"/>
      <c r="T292" s="22"/>
      <c r="U292" s="13"/>
      <c r="V292" s="22"/>
      <c r="W292" s="13"/>
      <c r="X292" s="22"/>
      <c r="Y292" s="13"/>
      <c r="Z292" s="22"/>
      <c r="AA292" s="235"/>
      <c r="AB292" s="22"/>
      <c r="AC292" s="13"/>
      <c r="AD292" s="22"/>
      <c r="AE292" s="13"/>
      <c r="AF292" s="22"/>
      <c r="AG292" s="13"/>
      <c r="AH292" s="22"/>
      <c r="AI292" s="235"/>
      <c r="AJ292" s="221"/>
      <c r="AK292" s="13"/>
      <c r="AL292" s="221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502"/>
      <c r="BG292" s="502"/>
      <c r="BH292" s="502"/>
      <c r="BI292" s="502"/>
      <c r="BJ292" s="506"/>
      <c r="BK292" s="507"/>
      <c r="BL292" s="13"/>
      <c r="BM292" s="502"/>
      <c r="BN292" s="502"/>
      <c r="BO292" s="502"/>
      <c r="BP292" s="502"/>
      <c r="BQ292" s="506"/>
      <c r="BR292" s="507"/>
    </row>
    <row r="293" spans="3:70" ht="14.1" customHeight="1">
      <c r="L293" s="22"/>
      <c r="M293" s="235"/>
      <c r="N293" s="22"/>
      <c r="O293" s="235"/>
      <c r="P293" s="22"/>
      <c r="Q293" s="236"/>
      <c r="R293" s="22"/>
      <c r="S293" s="233"/>
      <c r="T293" s="22"/>
      <c r="U293" s="13"/>
      <c r="V293" s="22"/>
      <c r="W293" s="13"/>
      <c r="X293" s="22"/>
      <c r="Y293" s="13"/>
      <c r="Z293" s="22"/>
      <c r="AA293" s="235"/>
      <c r="AB293" s="22"/>
      <c r="AC293" s="13"/>
      <c r="AD293" s="22"/>
      <c r="AE293" s="13"/>
      <c r="AF293" s="22"/>
      <c r="AG293" s="13"/>
      <c r="AH293" s="22"/>
      <c r="AI293" s="235"/>
      <c r="AJ293" s="221"/>
      <c r="AK293" s="13"/>
      <c r="AL293" s="221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spans="3:70" ht="14.1" customHeight="1">
      <c r="L294" s="22"/>
      <c r="M294" s="235"/>
      <c r="N294" s="22"/>
      <c r="O294" s="235"/>
      <c r="P294" s="22"/>
      <c r="Q294" s="236"/>
      <c r="R294" s="22"/>
      <c r="S294" s="233"/>
      <c r="T294" s="22"/>
      <c r="U294" s="13"/>
      <c r="V294" s="22"/>
      <c r="W294" s="13"/>
      <c r="X294" s="22"/>
      <c r="Y294" s="13"/>
      <c r="Z294" s="22"/>
      <c r="AA294" s="235"/>
      <c r="AB294" s="22"/>
      <c r="AC294" s="13"/>
      <c r="AD294" s="22"/>
      <c r="AE294" s="13"/>
      <c r="AF294" s="22"/>
      <c r="AG294" s="13"/>
      <c r="AH294" s="22"/>
      <c r="AI294" s="235"/>
      <c r="AJ294" s="221"/>
      <c r="AK294" s="13"/>
      <c r="AL294" s="221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spans="3:70" ht="14.1" customHeight="1">
      <c r="L295" s="22"/>
      <c r="M295" s="235"/>
      <c r="N295" s="22"/>
      <c r="O295" s="235"/>
      <c r="P295" s="22"/>
      <c r="Q295" s="236"/>
      <c r="R295" s="22"/>
      <c r="S295" s="233"/>
      <c r="T295" s="22"/>
      <c r="U295" s="13"/>
      <c r="V295" s="22"/>
      <c r="W295" s="13"/>
      <c r="X295" s="22"/>
      <c r="Y295" s="13"/>
      <c r="Z295" s="22"/>
      <c r="AA295" s="235"/>
      <c r="AB295" s="22"/>
      <c r="AC295" s="13"/>
      <c r="AD295" s="22"/>
      <c r="AE295" s="13"/>
      <c r="AF295" s="22"/>
      <c r="AG295" s="13"/>
      <c r="AH295" s="22"/>
      <c r="AI295" s="235"/>
      <c r="AJ295" s="221"/>
      <c r="AK295" s="13"/>
      <c r="AL295" s="221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spans="3:70" ht="14.1" customHeight="1">
      <c r="C296" s="20"/>
      <c r="D296" s="6"/>
      <c r="E296" s="20"/>
      <c r="G296" s="20"/>
      <c r="I296" s="20"/>
      <c r="K296" s="20"/>
      <c r="L296" s="22"/>
      <c r="M296" s="235"/>
      <c r="N296" s="22"/>
      <c r="O296" s="235"/>
      <c r="P296" s="22"/>
      <c r="Q296" s="236"/>
      <c r="R296" s="22"/>
      <c r="S296" s="233"/>
      <c r="T296" s="22"/>
      <c r="U296" s="13"/>
      <c r="V296" s="22"/>
      <c r="W296" s="13"/>
      <c r="X296" s="22"/>
      <c r="Y296" s="13"/>
      <c r="Z296" s="22"/>
      <c r="AA296" s="235"/>
      <c r="AB296" s="22"/>
      <c r="AC296" s="13"/>
      <c r="AD296" s="22"/>
      <c r="AE296" s="13"/>
      <c r="AF296" s="22"/>
      <c r="AG296" s="13"/>
      <c r="AH296" s="22"/>
      <c r="AI296" s="235"/>
      <c r="AJ296" s="221"/>
      <c r="AK296" s="13"/>
      <c r="AL296" s="221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73"/>
      <c r="BE296" s="27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spans="3:70" ht="14.1" customHeight="1">
      <c r="C297" s="34"/>
      <c r="D297" s="237"/>
      <c r="E297" s="34"/>
      <c r="F297" s="237"/>
      <c r="G297" s="34"/>
      <c r="H297" s="237"/>
      <c r="I297" s="34"/>
      <c r="J297" s="237"/>
      <c r="K297" s="34"/>
      <c r="L297" s="22"/>
      <c r="M297" s="235"/>
      <c r="N297" s="22"/>
      <c r="O297" s="235"/>
      <c r="P297" s="22"/>
      <c r="Q297" s="236"/>
      <c r="R297" s="22"/>
      <c r="S297" s="233"/>
      <c r="T297" s="22"/>
      <c r="U297" s="13"/>
      <c r="V297" s="22"/>
      <c r="W297" s="13"/>
      <c r="X297" s="22"/>
      <c r="Y297" s="13"/>
      <c r="Z297" s="22"/>
      <c r="AA297" s="235"/>
      <c r="AB297" s="22"/>
      <c r="AC297" s="13"/>
      <c r="AD297" s="22"/>
      <c r="AE297" s="13"/>
      <c r="AF297" s="22"/>
      <c r="AG297" s="13"/>
      <c r="AH297" s="22"/>
      <c r="AI297" s="235"/>
      <c r="AJ297" s="221"/>
      <c r="AK297" s="13"/>
      <c r="AL297" s="221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233"/>
      <c r="BD297" s="13"/>
      <c r="BE297" s="13"/>
      <c r="BF297" s="226"/>
      <c r="BG297" s="13"/>
      <c r="BH297" s="13"/>
      <c r="BI297" s="13"/>
      <c r="BJ297" s="13"/>
      <c r="BK297" s="13"/>
      <c r="BL297" s="13"/>
      <c r="BM297" s="226"/>
      <c r="BN297" s="13"/>
      <c r="BO297" s="13"/>
      <c r="BP297" s="13"/>
      <c r="BQ297" s="13"/>
      <c r="BR297" s="13"/>
    </row>
    <row r="298" spans="3:70" ht="14.1" customHeight="1">
      <c r="C298" s="34"/>
      <c r="D298" s="237"/>
      <c r="E298" s="34"/>
      <c r="F298" s="237"/>
      <c r="G298" s="34"/>
      <c r="H298" s="237"/>
      <c r="I298" s="34"/>
      <c r="J298" s="237"/>
      <c r="K298" s="238"/>
      <c r="L298" s="22"/>
      <c r="M298" s="235"/>
      <c r="N298" s="22"/>
      <c r="O298" s="235"/>
      <c r="P298" s="22"/>
      <c r="Q298" s="236"/>
      <c r="R298" s="22"/>
      <c r="S298" s="233"/>
      <c r="T298" s="22"/>
      <c r="U298" s="13"/>
      <c r="V298" s="22"/>
      <c r="W298" s="13"/>
      <c r="X298" s="22"/>
      <c r="Y298" s="13"/>
      <c r="Z298" s="22"/>
      <c r="AA298" s="235"/>
      <c r="AB298" s="22"/>
      <c r="AC298" s="13"/>
      <c r="AD298" s="22"/>
      <c r="AE298" s="13"/>
      <c r="AF298" s="22"/>
      <c r="AG298" s="13"/>
      <c r="AH298" s="22"/>
      <c r="AI298" s="235"/>
      <c r="AJ298" s="221"/>
      <c r="AK298" s="13"/>
      <c r="AL298" s="221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231"/>
      <c r="BJ298" s="13"/>
      <c r="BK298" s="13"/>
      <c r="BL298" s="13"/>
      <c r="BM298" s="13"/>
      <c r="BN298" s="13"/>
      <c r="BO298" s="13"/>
      <c r="BP298" s="231"/>
      <c r="BQ298" s="13"/>
      <c r="BR298" s="13"/>
    </row>
    <row r="299" spans="3:70" ht="14.1" customHeight="1">
      <c r="C299" s="20"/>
      <c r="D299" s="6"/>
      <c r="E299" s="20"/>
      <c r="G299" s="20"/>
      <c r="I299" s="20"/>
      <c r="K299" s="20"/>
      <c r="M299" s="20"/>
      <c r="O299" s="20"/>
      <c r="Q299" s="6"/>
      <c r="S299" s="20"/>
      <c r="U299" s="20"/>
      <c r="W299" s="20"/>
      <c r="Y299" s="20"/>
      <c r="AA299" s="20"/>
      <c r="AC299" s="20"/>
      <c r="AE299" s="20"/>
      <c r="AG299" s="20"/>
      <c r="AI299" s="20"/>
      <c r="AJ299" s="6"/>
      <c r="AK299" s="20"/>
      <c r="AL299" s="6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13"/>
      <c r="BD299" s="13"/>
      <c r="BE299" s="230"/>
      <c r="BF299" s="13"/>
      <c r="BG299" s="231"/>
      <c r="BH299" s="13"/>
      <c r="BI299" s="231"/>
      <c r="BJ299" s="252"/>
      <c r="BK299" s="13"/>
      <c r="BL299" s="13"/>
      <c r="BM299" s="13"/>
      <c r="BN299" s="229"/>
      <c r="BO299" s="231"/>
      <c r="BP299" s="231"/>
      <c r="BQ299" s="10"/>
      <c r="BR299" s="13"/>
    </row>
    <row r="300" spans="3:70" ht="14.1" customHeight="1">
      <c r="C300" s="240"/>
      <c r="D300" s="6"/>
      <c r="E300" s="239"/>
      <c r="F300" s="241"/>
      <c r="G300" s="239"/>
      <c r="H300" s="241"/>
      <c r="I300" s="239"/>
      <c r="J300" s="51"/>
      <c r="K300" s="239"/>
      <c r="BC300" s="13"/>
      <c r="BD300" s="231"/>
      <c r="BE300" s="230"/>
      <c r="BF300" s="13"/>
      <c r="BG300" s="233"/>
      <c r="BH300" s="13"/>
      <c r="BI300" s="233"/>
      <c r="BJ300" s="233"/>
      <c r="BK300" s="13"/>
      <c r="BL300" s="13"/>
      <c r="BM300" s="13"/>
      <c r="BN300" s="233"/>
      <c r="BO300" s="230"/>
      <c r="BP300" s="230"/>
      <c r="BQ300" s="230"/>
      <c r="BR300" s="13"/>
    </row>
    <row r="301" spans="3:70" ht="14.1" customHeight="1">
      <c r="C301" s="20"/>
      <c r="D301" s="6"/>
      <c r="E301" s="20"/>
      <c r="G301" s="20"/>
      <c r="I301" s="20"/>
      <c r="K301" s="20"/>
      <c r="BC301" s="13"/>
      <c r="BD301" s="230"/>
      <c r="BE301" s="230"/>
      <c r="BF301" s="13"/>
      <c r="BG301" s="233"/>
      <c r="BH301" s="13"/>
      <c r="BI301" s="233"/>
      <c r="BJ301" s="233"/>
      <c r="BK301" s="13"/>
      <c r="BL301" s="13"/>
      <c r="BM301" s="13"/>
      <c r="BN301" s="233"/>
      <c r="BO301" s="230"/>
      <c r="BP301" s="230"/>
      <c r="BQ301" s="230"/>
      <c r="BR301" s="13"/>
    </row>
    <row r="302" spans="3:70" ht="14.1" customHeight="1">
      <c r="C302" s="20"/>
      <c r="D302" s="6"/>
      <c r="E302" s="242"/>
      <c r="F302" s="242"/>
      <c r="G302" s="242"/>
      <c r="H302" s="242"/>
      <c r="I302" s="242"/>
      <c r="J302" s="243"/>
      <c r="K302" s="242"/>
      <c r="BC302" s="13"/>
      <c r="BD302" s="230"/>
      <c r="BE302" s="230"/>
      <c r="BF302" s="13"/>
      <c r="BG302" s="233"/>
      <c r="BH302" s="13"/>
      <c r="BI302" s="233"/>
      <c r="BJ302" s="233"/>
      <c r="BK302" s="13"/>
      <c r="BL302" s="13"/>
      <c r="BM302" s="13"/>
      <c r="BN302" s="233"/>
      <c r="BO302" s="230"/>
      <c r="BP302" s="230"/>
      <c r="BQ302" s="230"/>
      <c r="BR302" s="13"/>
    </row>
    <row r="303" spans="3:70" ht="14.1" customHeight="1">
      <c r="C303" s="20"/>
      <c r="D303" s="6"/>
      <c r="E303" s="242"/>
      <c r="F303" s="242"/>
      <c r="G303" s="242"/>
      <c r="H303" s="242"/>
      <c r="I303" s="242"/>
      <c r="J303" s="243"/>
      <c r="K303" s="242"/>
      <c r="BC303" s="13"/>
      <c r="BD303" s="230"/>
      <c r="BE303" s="230"/>
      <c r="BF303" s="13"/>
      <c r="BG303" s="233"/>
      <c r="BH303" s="13"/>
      <c r="BI303" s="233"/>
      <c r="BJ303" s="233"/>
      <c r="BK303" s="13"/>
      <c r="BL303" s="13"/>
      <c r="BM303" s="13"/>
      <c r="BN303" s="233"/>
      <c r="BO303" s="230"/>
      <c r="BP303" s="230"/>
      <c r="BQ303" s="230"/>
      <c r="BR303" s="13"/>
    </row>
    <row r="304" spans="3:70" ht="14.1" customHeight="1">
      <c r="C304" s="20"/>
      <c r="D304" s="6"/>
      <c r="E304" s="242"/>
      <c r="F304" s="242"/>
      <c r="G304" s="242"/>
      <c r="H304" s="242"/>
      <c r="I304" s="242"/>
      <c r="J304" s="243"/>
      <c r="K304" s="239"/>
      <c r="BC304" s="13"/>
      <c r="BD304" s="230"/>
      <c r="BE304" s="230"/>
      <c r="BF304" s="13"/>
      <c r="BG304" s="233"/>
      <c r="BH304" s="13"/>
      <c r="BI304" s="233"/>
      <c r="BJ304" s="233"/>
      <c r="BK304" s="13"/>
      <c r="BL304" s="13"/>
      <c r="BM304" s="13"/>
      <c r="BN304" s="233"/>
      <c r="BO304" s="230"/>
      <c r="BP304" s="230"/>
      <c r="BQ304" s="230"/>
      <c r="BR304" s="13"/>
    </row>
    <row r="305" spans="3:70" ht="14.1" customHeight="1">
      <c r="C305" s="20"/>
      <c r="D305" s="6"/>
      <c r="E305" s="242"/>
      <c r="F305" s="242"/>
      <c r="G305" s="242"/>
      <c r="H305" s="242"/>
      <c r="I305" s="242"/>
      <c r="J305" s="243"/>
      <c r="K305" s="242"/>
      <c r="BC305" s="13"/>
      <c r="BD305" s="230"/>
      <c r="BE305" s="230"/>
      <c r="BF305" s="13"/>
      <c r="BG305" s="233"/>
      <c r="BH305" s="13"/>
      <c r="BI305" s="233"/>
      <c r="BJ305" s="233"/>
      <c r="BK305" s="13"/>
      <c r="BL305" s="13"/>
      <c r="BM305" s="13"/>
      <c r="BN305" s="233"/>
      <c r="BO305" s="230"/>
      <c r="BP305" s="230"/>
      <c r="BQ305" s="230"/>
      <c r="BR305" s="13"/>
    </row>
    <row r="306" spans="3:70" ht="14.1" customHeight="1">
      <c r="C306" s="20"/>
      <c r="D306" s="6"/>
      <c r="E306" s="242"/>
      <c r="F306" s="242"/>
      <c r="G306" s="242"/>
      <c r="H306" s="242"/>
      <c r="I306" s="242"/>
      <c r="J306" s="243"/>
      <c r="K306" s="242"/>
      <c r="BC306" s="13"/>
      <c r="BD306" s="230"/>
      <c r="BE306" s="230"/>
      <c r="BF306" s="13"/>
      <c r="BG306" s="509"/>
      <c r="BH306" s="13"/>
      <c r="BI306" s="509"/>
      <c r="BJ306" s="233"/>
      <c r="BK306" s="13"/>
      <c r="BL306" s="13"/>
      <c r="BM306" s="13"/>
      <c r="BN306" s="509"/>
      <c r="BO306" s="230"/>
      <c r="BP306" s="230"/>
      <c r="BQ306" s="230"/>
      <c r="BR306" s="13"/>
    </row>
    <row r="307" spans="3:70" ht="14.1" customHeight="1">
      <c r="C307" s="20"/>
      <c r="D307" s="6"/>
      <c r="E307" s="242"/>
      <c r="F307" s="242"/>
      <c r="G307" s="242"/>
      <c r="H307" s="242"/>
      <c r="I307" s="242"/>
      <c r="J307" s="243"/>
      <c r="K307" s="242"/>
      <c r="M307" s="20"/>
      <c r="O307" s="20"/>
      <c r="Q307" s="6"/>
      <c r="S307" s="20"/>
      <c r="AA307"/>
      <c r="AB307"/>
      <c r="AC307"/>
      <c r="AD307"/>
      <c r="AE307"/>
      <c r="AF307"/>
      <c r="AG307"/>
      <c r="AH307"/>
      <c r="AI307"/>
      <c r="AJ307"/>
      <c r="AK307"/>
      <c r="BC307" s="13"/>
      <c r="BD307" s="230"/>
      <c r="BE307" s="230"/>
      <c r="BF307" s="221"/>
      <c r="BG307" s="509"/>
      <c r="BH307" s="13"/>
      <c r="BI307" s="509"/>
      <c r="BJ307" s="233"/>
      <c r="BK307" s="13"/>
      <c r="BL307" s="13"/>
      <c r="BM307" s="221"/>
      <c r="BN307" s="509"/>
      <c r="BO307" s="230"/>
      <c r="BP307" s="230"/>
      <c r="BQ307" s="230"/>
      <c r="BR307" s="13"/>
    </row>
    <row r="308" spans="3:70" ht="14.1" customHeight="1">
      <c r="C308" s="20"/>
      <c r="D308" s="6"/>
      <c r="E308" s="242"/>
      <c r="F308" s="242"/>
      <c r="G308" s="242"/>
      <c r="H308" s="242"/>
      <c r="I308" s="242"/>
      <c r="J308" s="243"/>
      <c r="K308" s="242"/>
      <c r="L308" s="237"/>
      <c r="M308" s="34"/>
      <c r="N308" s="237"/>
      <c r="O308" s="34"/>
      <c r="P308" s="237"/>
      <c r="Q308" s="34"/>
      <c r="R308" s="237"/>
      <c r="S308" s="34"/>
      <c r="V308" s="237"/>
      <c r="AA308"/>
      <c r="AB308"/>
      <c r="AC308"/>
      <c r="AD308"/>
      <c r="AE308"/>
      <c r="AF308"/>
      <c r="AG308"/>
      <c r="AH308"/>
      <c r="AI308"/>
      <c r="AJ308"/>
      <c r="AK308"/>
      <c r="BC308" s="13"/>
      <c r="BD308" s="230"/>
      <c r="BE308" s="230"/>
      <c r="BF308" s="13"/>
      <c r="BG308" s="509"/>
      <c r="BH308" s="13"/>
      <c r="BI308" s="509"/>
      <c r="BJ308" s="233"/>
      <c r="BK308" s="13"/>
      <c r="BL308" s="13"/>
      <c r="BM308" s="13"/>
      <c r="BN308" s="509"/>
      <c r="BO308" s="230"/>
      <c r="BP308" s="230"/>
      <c r="BQ308" s="230"/>
      <c r="BR308" s="13"/>
    </row>
    <row r="309" spans="3:70" ht="14.1" customHeight="1">
      <c r="C309" s="20"/>
      <c r="D309" s="6"/>
      <c r="E309" s="242"/>
      <c r="F309" s="242"/>
      <c r="G309" s="242"/>
      <c r="H309" s="242"/>
      <c r="I309" s="242"/>
      <c r="J309" s="243"/>
      <c r="K309" s="242"/>
      <c r="L309" s="237"/>
      <c r="M309" s="34"/>
      <c r="N309" s="237"/>
      <c r="O309" s="34"/>
      <c r="P309" s="237"/>
      <c r="Q309" s="34"/>
      <c r="R309" s="237"/>
      <c r="S309" s="34"/>
      <c r="V309" s="237"/>
      <c r="BC309" s="13"/>
      <c r="BD309" s="230"/>
      <c r="BE309" s="230"/>
      <c r="BF309" s="221"/>
      <c r="BG309" s="509"/>
      <c r="BH309" s="13"/>
      <c r="BI309" s="509"/>
      <c r="BJ309" s="233"/>
      <c r="BK309" s="13"/>
      <c r="BL309" s="13"/>
      <c r="BM309" s="221"/>
      <c r="BN309" s="509"/>
      <c r="BO309" s="230"/>
      <c r="BP309" s="230"/>
      <c r="BQ309" s="230"/>
      <c r="BR309" s="13"/>
    </row>
    <row r="310" spans="3:70" ht="14.1" customHeight="1">
      <c r="C310" s="20"/>
      <c r="D310" s="6"/>
      <c r="E310" s="242"/>
      <c r="F310" s="242"/>
      <c r="G310" s="242"/>
      <c r="H310" s="242"/>
      <c r="I310" s="242"/>
      <c r="J310" s="243"/>
      <c r="K310" s="242"/>
      <c r="M310" s="20"/>
      <c r="O310" s="239"/>
      <c r="Q310" s="20"/>
      <c r="S310" s="20"/>
      <c r="BC310" s="13"/>
      <c r="BD310" s="230"/>
      <c r="BE310" s="230"/>
      <c r="BF310" s="13"/>
      <c r="BG310" s="509"/>
      <c r="BH310" s="13"/>
      <c r="BI310" s="509"/>
      <c r="BJ310" s="233"/>
      <c r="BK310" s="13"/>
      <c r="BL310" s="13"/>
      <c r="BM310" s="13"/>
      <c r="BN310" s="509"/>
      <c r="BO310" s="230"/>
      <c r="BP310" s="230"/>
      <c r="BQ310" s="230"/>
      <c r="BR310" s="13"/>
    </row>
    <row r="311" spans="3:70" ht="14.1" customHeight="1">
      <c r="C311" s="20"/>
      <c r="D311" s="6"/>
      <c r="E311" s="20"/>
      <c r="G311" s="20"/>
      <c r="I311" s="20"/>
      <c r="K311" s="20"/>
      <c r="L311" s="51"/>
      <c r="M311" s="239"/>
      <c r="N311" s="51"/>
      <c r="O311" s="239"/>
      <c r="P311" s="51"/>
      <c r="Q311" s="239"/>
      <c r="R311" s="51"/>
      <c r="S311" s="239"/>
      <c r="V311" s="51"/>
      <c r="BC311" s="13"/>
      <c r="BD311" s="230"/>
      <c r="BE311" s="230"/>
      <c r="BF311" s="221"/>
      <c r="BG311" s="509"/>
      <c r="BH311" s="13"/>
      <c r="BI311" s="509"/>
      <c r="BJ311" s="233"/>
      <c r="BK311" s="13"/>
      <c r="BL311" s="13"/>
      <c r="BM311" s="13"/>
      <c r="BN311" s="509"/>
      <c r="BO311" s="230"/>
      <c r="BP311" s="230"/>
      <c r="BQ311" s="230"/>
      <c r="BR311" s="13"/>
    </row>
    <row r="312" spans="3:70" ht="14.1" customHeight="1">
      <c r="C312" s="20"/>
      <c r="D312" s="6"/>
      <c r="E312" s="20"/>
      <c r="G312" s="20"/>
      <c r="I312" s="20"/>
      <c r="K312" s="20"/>
      <c r="M312" s="20"/>
      <c r="O312" s="20"/>
      <c r="Q312" s="20"/>
      <c r="S312" s="20"/>
      <c r="BC312" s="13"/>
      <c r="BD312" s="230"/>
      <c r="BE312" s="230"/>
      <c r="BF312" s="13"/>
      <c r="BG312" s="509"/>
      <c r="BH312" s="13"/>
      <c r="BI312" s="509"/>
      <c r="BJ312" s="233"/>
      <c r="BK312" s="13"/>
      <c r="BL312" s="13"/>
      <c r="BM312" s="221"/>
      <c r="BN312" s="509"/>
      <c r="BO312" s="230"/>
      <c r="BP312" s="230"/>
      <c r="BQ312" s="230"/>
      <c r="BR312" s="13"/>
    </row>
    <row r="313" spans="3:70" ht="14.1" customHeight="1">
      <c r="C313" s="20"/>
      <c r="D313" s="6"/>
      <c r="E313" s="242"/>
      <c r="G313" s="242"/>
      <c r="I313" s="242"/>
      <c r="K313" s="242"/>
      <c r="L313" s="243"/>
      <c r="M313" s="242"/>
      <c r="N313" s="243"/>
      <c r="O313" s="242"/>
      <c r="P313" s="243"/>
      <c r="Q313" s="242"/>
      <c r="R313" s="243"/>
      <c r="S313" s="244"/>
      <c r="V313" s="243"/>
      <c r="BC313" s="13"/>
      <c r="BD313" s="230"/>
      <c r="BE313" s="230"/>
      <c r="BF313" s="221"/>
      <c r="BG313" s="509"/>
      <c r="BH313" s="13"/>
      <c r="BI313" s="509"/>
      <c r="BJ313" s="233"/>
      <c r="BK313" s="13"/>
      <c r="BL313" s="13"/>
      <c r="BM313" s="13"/>
      <c r="BN313" s="509"/>
      <c r="BO313" s="230"/>
      <c r="BP313" s="230"/>
      <c r="BQ313" s="230"/>
      <c r="BR313" s="13"/>
    </row>
    <row r="314" spans="3:70" ht="14.1" customHeight="1">
      <c r="L314" s="243"/>
      <c r="M314" s="242"/>
      <c r="N314" s="243"/>
      <c r="O314" s="242"/>
      <c r="P314" s="243"/>
      <c r="Q314" s="242"/>
      <c r="R314" s="243"/>
      <c r="S314" s="244"/>
      <c r="V314" s="243"/>
      <c r="BC314" s="13"/>
      <c r="BD314" s="230"/>
      <c r="BE314" s="230"/>
      <c r="BF314" s="221"/>
      <c r="BG314" s="509"/>
      <c r="BH314" s="13"/>
      <c r="BI314" s="509"/>
      <c r="BJ314" s="233"/>
      <c r="BK314" s="13"/>
      <c r="BL314" s="13"/>
      <c r="BM314" s="221"/>
      <c r="BN314" s="509"/>
      <c r="BO314" s="230"/>
      <c r="BP314" s="230"/>
      <c r="BQ314" s="230"/>
      <c r="BR314" s="13"/>
    </row>
    <row r="315" spans="3:70" ht="14.1" customHeight="1">
      <c r="L315" s="243"/>
      <c r="M315" s="242"/>
      <c r="N315" s="243"/>
      <c r="O315" s="242"/>
      <c r="P315" s="243"/>
      <c r="Q315" s="242"/>
      <c r="R315" s="243"/>
      <c r="S315" s="244"/>
      <c r="V315" s="243"/>
      <c r="BC315" s="13"/>
      <c r="BD315" s="230"/>
      <c r="BE315" s="230"/>
      <c r="BF315" s="221"/>
      <c r="BG315" s="509"/>
      <c r="BH315" s="13"/>
      <c r="BI315" s="509"/>
      <c r="BJ315" s="233"/>
      <c r="BK315" s="13"/>
      <c r="BL315" s="13"/>
      <c r="BM315" s="13"/>
      <c r="BN315" s="509"/>
      <c r="BO315" s="230"/>
      <c r="BP315" s="230"/>
      <c r="BQ315" s="230"/>
      <c r="BR315" s="13"/>
    </row>
    <row r="316" spans="3:70" ht="14.1" customHeight="1">
      <c r="L316" s="243"/>
      <c r="M316" s="242"/>
      <c r="N316" s="243"/>
      <c r="O316" s="242"/>
      <c r="P316" s="243"/>
      <c r="Q316" s="242"/>
      <c r="R316" s="243"/>
      <c r="S316" s="244"/>
      <c r="V316" s="243"/>
      <c r="BC316" s="13"/>
      <c r="BD316" s="230"/>
      <c r="BE316" s="230"/>
      <c r="BF316" s="221"/>
      <c r="BG316" s="509"/>
      <c r="BH316" s="13"/>
      <c r="BI316" s="509"/>
      <c r="BJ316" s="233"/>
      <c r="BK316" s="13"/>
      <c r="BL316" s="13"/>
      <c r="BM316" s="221"/>
      <c r="BN316" s="509"/>
      <c r="BO316" s="230"/>
      <c r="BP316" s="230"/>
      <c r="BQ316" s="230"/>
      <c r="BR316" s="13"/>
    </row>
    <row r="317" spans="3:70" ht="14.1" customHeight="1">
      <c r="L317" s="243"/>
      <c r="M317" s="242"/>
      <c r="N317" s="243"/>
      <c r="O317" s="242"/>
      <c r="P317" s="243"/>
      <c r="Q317" s="242"/>
      <c r="R317" s="243"/>
      <c r="S317" s="244"/>
      <c r="V317" s="243"/>
      <c r="BC317" s="13"/>
      <c r="BD317" s="230"/>
      <c r="BE317" s="230"/>
      <c r="BF317" s="221"/>
      <c r="BG317" s="509"/>
      <c r="BH317" s="13"/>
      <c r="BI317" s="509"/>
      <c r="BJ317" s="233"/>
      <c r="BK317" s="13"/>
      <c r="BL317" s="13"/>
      <c r="BM317" s="221"/>
      <c r="BN317" s="509"/>
      <c r="BO317" s="230"/>
      <c r="BP317" s="230"/>
      <c r="BQ317" s="230"/>
      <c r="BR317" s="13"/>
    </row>
    <row r="318" spans="3:70" ht="14.1" customHeight="1">
      <c r="L318" s="243"/>
      <c r="M318" s="242"/>
      <c r="N318" s="243"/>
      <c r="O318" s="242"/>
      <c r="P318" s="243"/>
      <c r="Q318" s="242"/>
      <c r="R318" s="243"/>
      <c r="S318" s="244"/>
      <c r="V318" s="243"/>
      <c r="BC318" s="13"/>
      <c r="BD318" s="230"/>
      <c r="BE318" s="230"/>
      <c r="BF318" s="221"/>
      <c r="BG318" s="509"/>
      <c r="BH318" s="13"/>
      <c r="BI318" s="509"/>
      <c r="BJ318" s="233"/>
      <c r="BK318" s="13"/>
      <c r="BL318" s="13"/>
      <c r="BM318" s="221"/>
      <c r="BN318" s="509"/>
      <c r="BO318" s="230"/>
      <c r="BP318" s="230"/>
      <c r="BQ318" s="230"/>
      <c r="BR318" s="13"/>
    </row>
    <row r="319" spans="3:70" ht="14.1" customHeight="1">
      <c r="L319" s="243"/>
      <c r="M319" s="242"/>
      <c r="N319" s="243"/>
      <c r="O319" s="242"/>
      <c r="P319" s="243"/>
      <c r="Q319" s="242"/>
      <c r="R319" s="243"/>
      <c r="S319" s="244"/>
      <c r="V319" s="243"/>
      <c r="BC319" s="13"/>
      <c r="BD319" s="230"/>
      <c r="BE319" s="230"/>
      <c r="BF319" s="221"/>
      <c r="BG319" s="509"/>
      <c r="BH319" s="13"/>
      <c r="BI319" s="509"/>
      <c r="BJ319" s="233"/>
      <c r="BK319" s="13"/>
      <c r="BL319" s="13"/>
      <c r="BM319" s="221"/>
      <c r="BN319" s="509"/>
      <c r="BO319" s="230"/>
      <c r="BP319" s="230"/>
      <c r="BQ319" s="230"/>
      <c r="BR319" s="13"/>
    </row>
    <row r="320" spans="3:70" ht="14.1" customHeight="1">
      <c r="L320" s="243"/>
      <c r="M320" s="242"/>
      <c r="N320" s="243"/>
      <c r="O320" s="242"/>
      <c r="P320" s="243"/>
      <c r="Q320" s="242"/>
      <c r="R320" s="243"/>
      <c r="S320" s="244"/>
      <c r="V320" s="243"/>
      <c r="BC320" s="13"/>
      <c r="BD320" s="230"/>
      <c r="BE320" s="230"/>
      <c r="BF320" s="510"/>
      <c r="BG320" s="509"/>
      <c r="BH320" s="13"/>
      <c r="BI320" s="509"/>
      <c r="BJ320" s="509"/>
      <c r="BK320" s="13"/>
      <c r="BL320" s="13"/>
      <c r="BM320" s="221"/>
      <c r="BN320" s="509"/>
      <c r="BO320" s="230"/>
      <c r="BP320" s="230"/>
      <c r="BQ320" s="230"/>
      <c r="BR320" s="13"/>
    </row>
    <row r="321" spans="12:70" ht="14.1" customHeight="1">
      <c r="L321" s="243"/>
      <c r="M321" s="242"/>
      <c r="N321" s="243"/>
      <c r="O321" s="242"/>
      <c r="P321" s="243"/>
      <c r="Q321" s="242"/>
      <c r="R321" s="243"/>
      <c r="S321" s="244"/>
      <c r="V321" s="243"/>
      <c r="BC321" s="13"/>
      <c r="BD321" s="230"/>
      <c r="BE321" s="230"/>
      <c r="BF321" s="510"/>
      <c r="BG321" s="509"/>
      <c r="BH321" s="13"/>
      <c r="BI321" s="509"/>
      <c r="BJ321" s="509"/>
      <c r="BK321" s="13"/>
      <c r="BL321" s="13"/>
      <c r="BM321" s="221"/>
      <c r="BN321" s="509"/>
      <c r="BO321" s="230"/>
      <c r="BP321" s="230"/>
      <c r="BQ321" s="230"/>
      <c r="BR321" s="13"/>
    </row>
    <row r="322" spans="12:70" ht="14.1" customHeight="1">
      <c r="M322" s="20"/>
      <c r="O322" s="20"/>
      <c r="Q322" s="20"/>
      <c r="S322" s="20"/>
      <c r="BC322" s="13"/>
      <c r="BD322" s="234"/>
      <c r="BE322" s="234"/>
      <c r="BF322" s="221"/>
      <c r="BG322" s="509"/>
      <c r="BH322" s="13"/>
      <c r="BI322" s="509"/>
      <c r="BJ322" s="13"/>
      <c r="BK322" s="13"/>
      <c r="BL322" s="13"/>
      <c r="BM322" s="510"/>
      <c r="BN322" s="509"/>
      <c r="BO322" s="231"/>
      <c r="BP322" s="509"/>
      <c r="BQ322" s="509"/>
      <c r="BR322" s="13"/>
    </row>
    <row r="323" spans="12:70" ht="14.1" customHeight="1">
      <c r="M323" s="20"/>
      <c r="O323" s="20"/>
      <c r="Q323" s="20"/>
      <c r="S323" s="20"/>
      <c r="BC323" s="13"/>
      <c r="BD323" s="233"/>
      <c r="BE323" s="230"/>
      <c r="BF323" s="221"/>
      <c r="BG323" s="509"/>
      <c r="BH323" s="13"/>
      <c r="BI323" s="509"/>
      <c r="BJ323" s="13"/>
      <c r="BK323" s="13"/>
      <c r="BL323" s="13"/>
      <c r="BM323" s="510"/>
      <c r="BN323" s="509"/>
      <c r="BO323" s="231"/>
      <c r="BP323" s="509"/>
      <c r="BQ323" s="509"/>
      <c r="BR323" s="13"/>
    </row>
    <row r="324" spans="12:70" ht="14.1" customHeight="1">
      <c r="M324" s="242"/>
      <c r="O324" s="242"/>
      <c r="Q324" s="242"/>
      <c r="S324" s="20"/>
      <c r="BC324" s="13"/>
      <c r="BD324" s="233"/>
      <c r="BE324" s="230"/>
      <c r="BF324" s="221"/>
      <c r="BG324" s="509"/>
      <c r="BH324" s="13"/>
      <c r="BI324" s="509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spans="12:70" ht="14.1" customHeight="1">
      <c r="BC325" s="13"/>
      <c r="BD325" s="233"/>
      <c r="BE325" s="230"/>
      <c r="BF325" s="221"/>
      <c r="BG325" s="509"/>
      <c r="BH325" s="13"/>
      <c r="BI325" s="509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spans="12:70" ht="14.1" customHeight="1">
      <c r="BC326" s="13"/>
      <c r="BD326" s="233"/>
      <c r="BE326" s="230"/>
      <c r="BF326" s="221"/>
      <c r="BG326" s="509"/>
      <c r="BH326" s="13"/>
      <c r="BI326" s="509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spans="12:70" ht="14.1" customHeight="1">
      <c r="BC327" s="13"/>
      <c r="BD327" s="233"/>
      <c r="BE327" s="13"/>
      <c r="BF327" s="221"/>
      <c r="BG327" s="22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spans="12:70" ht="14.1" customHeight="1">
      <c r="BC328" s="13"/>
      <c r="BD328" s="233"/>
      <c r="BE328" s="13"/>
      <c r="BF328" s="221"/>
      <c r="BG328" s="22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spans="12:70" ht="14.1" customHeight="1">
      <c r="BC329" s="13"/>
      <c r="BD329" s="233"/>
      <c r="BE329" s="13"/>
      <c r="BF329" s="221"/>
      <c r="BG329" s="22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spans="12:70" ht="14.1" customHeight="1">
      <c r="BC330" s="13"/>
      <c r="BD330" s="233"/>
      <c r="BE330" s="13"/>
      <c r="BF330" s="221"/>
      <c r="BG330" s="22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spans="12:70" ht="14.1" customHeight="1">
      <c r="BC331" s="13"/>
      <c r="BD331" s="233"/>
      <c r="BE331" s="13"/>
      <c r="BF331" s="13"/>
      <c r="BG331" s="231"/>
      <c r="BH331" s="13"/>
      <c r="BI331" s="231"/>
      <c r="BJ331" s="13"/>
      <c r="BK331" s="13"/>
      <c r="BL331" s="13"/>
      <c r="BM331" s="13"/>
      <c r="BN331" s="233"/>
      <c r="BO331" s="13"/>
      <c r="BP331" s="13"/>
      <c r="BQ331" s="13"/>
      <c r="BR331" s="13"/>
    </row>
    <row r="332" spans="12:70" ht="14.1" customHeight="1">
      <c r="BC332" s="13"/>
      <c r="BD332" s="233"/>
      <c r="BE332" s="13"/>
      <c r="BF332" s="221"/>
      <c r="BG332" s="509"/>
      <c r="BH332" s="13"/>
      <c r="BI332" s="509"/>
      <c r="BJ332" s="230"/>
      <c r="BK332" s="13"/>
      <c r="BL332" s="13"/>
      <c r="BM332" s="13"/>
      <c r="BN332" s="13"/>
      <c r="BO332" s="13"/>
      <c r="BP332" s="13"/>
      <c r="BQ332" s="13"/>
      <c r="BR332" s="13"/>
    </row>
    <row r="333" spans="12:70" ht="14.1" customHeight="1">
      <c r="BC333" s="13"/>
      <c r="BD333" s="233"/>
      <c r="BE333" s="13"/>
      <c r="BF333" s="221"/>
      <c r="BG333" s="509"/>
      <c r="BH333" s="13"/>
      <c r="BI333" s="509"/>
      <c r="BJ333" s="230"/>
      <c r="BK333" s="13"/>
      <c r="BL333" s="13"/>
      <c r="BM333" s="13"/>
      <c r="BN333" s="13"/>
      <c r="BO333" s="13"/>
      <c r="BP333" s="13"/>
      <c r="BQ333" s="13"/>
      <c r="BR333" s="13"/>
    </row>
    <row r="334" spans="12:70" ht="14.1" customHeight="1">
      <c r="BC334" s="13"/>
      <c r="BD334" s="233"/>
      <c r="BE334" s="233"/>
      <c r="BF334" s="221"/>
      <c r="BG334" s="509"/>
      <c r="BH334" s="13"/>
      <c r="BI334" s="509"/>
      <c r="BJ334" s="230"/>
      <c r="BK334" s="13"/>
      <c r="BL334" s="13"/>
      <c r="BM334" s="13"/>
      <c r="BN334" s="13"/>
      <c r="BO334" s="13"/>
      <c r="BP334" s="13"/>
      <c r="BQ334" s="13"/>
      <c r="BR334" s="13"/>
    </row>
    <row r="335" spans="12:70" ht="14.1" customHeight="1">
      <c r="BC335" s="13"/>
      <c r="BD335" s="233"/>
      <c r="BE335" s="13"/>
      <c r="BF335" s="221"/>
      <c r="BG335" s="509"/>
      <c r="BH335" s="13"/>
      <c r="BI335" s="509"/>
      <c r="BJ335" s="511"/>
      <c r="BK335" s="13"/>
      <c r="BL335" s="13"/>
      <c r="BM335" s="13"/>
      <c r="BN335" s="13"/>
      <c r="BO335" s="13"/>
      <c r="BP335" s="13"/>
      <c r="BQ335" s="13"/>
      <c r="BR335" s="13"/>
    </row>
    <row r="336" spans="12:70" ht="14.1" customHeight="1">
      <c r="BC336" s="13"/>
      <c r="BD336" s="233"/>
      <c r="BE336" s="13"/>
      <c r="BF336" s="221"/>
      <c r="BG336" s="233"/>
      <c r="BH336" s="13"/>
      <c r="BI336" s="233"/>
      <c r="BJ336" s="230"/>
      <c r="BK336" s="13"/>
      <c r="BL336" s="13"/>
      <c r="BM336" s="13"/>
      <c r="BN336" s="13"/>
      <c r="BO336" s="13"/>
      <c r="BP336" s="13"/>
      <c r="BQ336" s="13"/>
      <c r="BR336" s="13"/>
    </row>
    <row r="337" spans="55:70" ht="14.1" customHeight="1">
      <c r="BC337" s="13"/>
      <c r="BD337" s="233"/>
      <c r="BE337" s="13"/>
      <c r="BF337" s="221"/>
      <c r="BG337" s="22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spans="55:70" ht="14.1" customHeight="1">
      <c r="BC338" s="13"/>
      <c r="BD338" s="233"/>
      <c r="BE338" s="13"/>
      <c r="BF338" s="221"/>
      <c r="BG338" s="22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spans="55:70" ht="14.1" customHeight="1">
      <c r="BC339" s="13"/>
      <c r="BD339" s="233"/>
      <c r="BE339" s="13"/>
      <c r="BF339" s="221"/>
      <c r="BG339" s="22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spans="55:70" ht="14.1" customHeight="1">
      <c r="BC340" s="13"/>
      <c r="BD340" s="233"/>
      <c r="BE340" s="13"/>
      <c r="BF340" s="226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spans="55:70" ht="14.1" customHeight="1">
      <c r="BC341" s="13"/>
      <c r="BD341" s="233"/>
      <c r="BE341" s="13"/>
      <c r="BF341" s="13"/>
      <c r="BG341" s="13"/>
      <c r="BH341" s="13"/>
      <c r="BI341" s="231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spans="55:70" ht="14.1" customHeight="1">
      <c r="BC342" s="13"/>
      <c r="BD342" s="233"/>
      <c r="BE342" s="13"/>
      <c r="BF342" s="13"/>
      <c r="BG342" s="231"/>
      <c r="BH342" s="13"/>
      <c r="BI342" s="231"/>
      <c r="BJ342" s="252"/>
      <c r="BK342" s="13"/>
      <c r="BL342" s="13"/>
      <c r="BM342" s="13"/>
      <c r="BN342" s="13"/>
      <c r="BO342" s="13"/>
      <c r="BP342" s="13"/>
      <c r="BQ342" s="13"/>
      <c r="BR342" s="13"/>
    </row>
    <row r="343" spans="55:70" ht="14.1" customHeight="1">
      <c r="BC343" s="13"/>
      <c r="BD343" s="233"/>
      <c r="BE343" s="13"/>
      <c r="BF343" s="13"/>
      <c r="BG343" s="512"/>
      <c r="BH343" s="13"/>
      <c r="BI343" s="233"/>
      <c r="BJ343" s="233"/>
      <c r="BK343" s="13"/>
      <c r="BL343" s="13"/>
      <c r="BM343" s="13"/>
      <c r="BN343" s="13"/>
      <c r="BO343" s="13"/>
      <c r="BP343" s="13"/>
      <c r="BQ343" s="13"/>
      <c r="BR343" s="13"/>
    </row>
    <row r="344" spans="55:70" ht="14.1" customHeight="1">
      <c r="BC344" s="13"/>
      <c r="BD344" s="233"/>
      <c r="BE344" s="13"/>
      <c r="BF344" s="13"/>
      <c r="BG344" s="512"/>
      <c r="BH344" s="13"/>
      <c r="BI344" s="233"/>
      <c r="BJ344" s="233"/>
      <c r="BK344" s="13"/>
      <c r="BL344" s="13"/>
      <c r="BM344" s="13"/>
      <c r="BN344" s="13"/>
      <c r="BO344" s="13"/>
      <c r="BP344" s="13"/>
      <c r="BQ344" s="13"/>
      <c r="BR344" s="13"/>
    </row>
    <row r="345" spans="55:70" ht="14.1" customHeight="1">
      <c r="BC345" s="13"/>
      <c r="BD345" s="233"/>
      <c r="BE345" s="13"/>
      <c r="BF345" s="13"/>
      <c r="BG345" s="512"/>
      <c r="BH345" s="13"/>
      <c r="BI345" s="233"/>
      <c r="BJ345" s="233"/>
      <c r="BK345" s="13"/>
      <c r="BL345" s="13"/>
      <c r="BM345" s="13"/>
      <c r="BN345" s="13"/>
      <c r="BO345" s="13"/>
      <c r="BP345" s="13"/>
      <c r="BQ345" s="13"/>
      <c r="BR345" s="13"/>
    </row>
    <row r="346" spans="55:70" ht="14.1" customHeight="1">
      <c r="BC346" s="13"/>
      <c r="BD346" s="13"/>
      <c r="BE346" s="13"/>
      <c r="BF346" s="13"/>
      <c r="BG346" s="512"/>
      <c r="BH346" s="13"/>
      <c r="BI346" s="509"/>
      <c r="BJ346" s="233"/>
      <c r="BK346" s="13"/>
      <c r="BL346" s="13"/>
      <c r="BM346" s="13"/>
      <c r="BN346" s="13"/>
      <c r="BO346" s="13"/>
      <c r="BP346" s="13"/>
      <c r="BQ346" s="13"/>
      <c r="BR346" s="13"/>
    </row>
    <row r="347" spans="55:70" ht="14.1" customHeight="1">
      <c r="BC347" s="13"/>
      <c r="BD347" s="13"/>
      <c r="BE347" s="13"/>
      <c r="BF347" s="13"/>
      <c r="BG347" s="512"/>
      <c r="BH347" s="13"/>
      <c r="BI347" s="509"/>
      <c r="BJ347" s="233"/>
      <c r="BK347" s="13"/>
      <c r="BL347" s="13"/>
      <c r="BM347" s="13"/>
      <c r="BN347" s="13"/>
      <c r="BO347" s="13"/>
      <c r="BP347" s="13"/>
      <c r="BQ347" s="13"/>
      <c r="BR347" s="13"/>
    </row>
    <row r="348" spans="55:70" ht="14.1" customHeight="1">
      <c r="BC348" s="13"/>
      <c r="BD348" s="13"/>
      <c r="BE348" s="13"/>
      <c r="BF348" s="13"/>
      <c r="BG348" s="512"/>
      <c r="BH348" s="13"/>
      <c r="BI348" s="509"/>
      <c r="BJ348" s="233"/>
      <c r="BK348" s="13"/>
      <c r="BL348" s="13"/>
      <c r="BM348" s="13"/>
      <c r="BN348" s="13"/>
      <c r="BO348" s="13"/>
      <c r="BP348" s="13"/>
      <c r="BQ348" s="13"/>
      <c r="BR348" s="13"/>
    </row>
    <row r="349" spans="55:70" ht="14.1" customHeight="1">
      <c r="BC349" s="13"/>
      <c r="BD349" s="13"/>
      <c r="BE349" s="13"/>
      <c r="BF349" s="13"/>
      <c r="BG349" s="512"/>
      <c r="BH349" s="13"/>
      <c r="BI349" s="509"/>
      <c r="BJ349" s="233"/>
      <c r="BK349" s="13"/>
      <c r="BL349" s="13"/>
      <c r="BM349" s="13"/>
      <c r="BN349" s="13"/>
      <c r="BO349" s="13"/>
      <c r="BP349" s="13"/>
      <c r="BQ349" s="13"/>
      <c r="BR349" s="13"/>
    </row>
    <row r="350" spans="55:70" ht="14.1" customHeight="1">
      <c r="BC350" s="13"/>
      <c r="BD350" s="13"/>
      <c r="BE350" s="13"/>
      <c r="BF350" s="13"/>
      <c r="BG350" s="512"/>
      <c r="BH350" s="13"/>
      <c r="BI350" s="509"/>
      <c r="BJ350" s="233"/>
      <c r="BK350" s="13"/>
      <c r="BL350" s="13"/>
      <c r="BM350" s="13"/>
      <c r="BN350" s="13"/>
      <c r="BO350" s="13"/>
      <c r="BP350" s="13"/>
      <c r="BQ350" s="13"/>
      <c r="BR350" s="13"/>
    </row>
    <row r="351" spans="55:70" ht="14.1" customHeight="1">
      <c r="BC351" s="13"/>
      <c r="BD351" s="13"/>
      <c r="BE351" s="13"/>
      <c r="BF351" s="221"/>
      <c r="BG351" s="512"/>
      <c r="BH351" s="13"/>
      <c r="BI351" s="509"/>
      <c r="BJ351" s="233"/>
      <c r="BK351" s="13"/>
      <c r="BL351" s="13"/>
      <c r="BM351" s="13"/>
      <c r="BN351" s="13"/>
      <c r="BO351" s="13"/>
      <c r="BP351" s="13"/>
      <c r="BQ351" s="13"/>
      <c r="BR351" s="13"/>
    </row>
    <row r="352" spans="55:70" ht="14.1" customHeight="1">
      <c r="BC352" s="13"/>
      <c r="BD352" s="13"/>
      <c r="BE352" s="13"/>
      <c r="BF352" s="221"/>
      <c r="BG352" s="509"/>
      <c r="BH352" s="13"/>
      <c r="BI352" s="509"/>
      <c r="BJ352" s="233"/>
      <c r="BK352" s="13"/>
      <c r="BL352" s="13"/>
      <c r="BM352" s="13"/>
      <c r="BN352" s="13"/>
      <c r="BO352" s="13"/>
      <c r="BP352" s="13"/>
      <c r="BQ352" s="13"/>
      <c r="BR352" s="13"/>
    </row>
    <row r="353" spans="55:70" ht="14.1" customHeight="1">
      <c r="BC353" s="13"/>
      <c r="BD353" s="13"/>
      <c r="BE353" s="13"/>
      <c r="BF353" s="221"/>
      <c r="BG353" s="509"/>
      <c r="BH353" s="13"/>
      <c r="BI353" s="509"/>
      <c r="BJ353" s="233"/>
      <c r="BK353" s="13"/>
      <c r="BL353" s="13"/>
      <c r="BM353" s="13"/>
      <c r="BN353" s="13"/>
      <c r="BO353" s="13"/>
      <c r="BP353" s="13"/>
      <c r="BQ353" s="13"/>
      <c r="BR353" s="13"/>
    </row>
    <row r="354" spans="55:70" ht="14.1" customHeight="1">
      <c r="BC354" s="13"/>
      <c r="BD354" s="13"/>
      <c r="BE354" s="13"/>
      <c r="BF354" s="221"/>
      <c r="BG354" s="509"/>
      <c r="BH354" s="13"/>
      <c r="BI354" s="509"/>
      <c r="BJ354" s="233"/>
      <c r="BK354" s="13"/>
      <c r="BL354" s="13"/>
      <c r="BM354" s="13"/>
      <c r="BN354" s="13"/>
      <c r="BO354" s="13"/>
      <c r="BP354" s="13"/>
      <c r="BQ354" s="13"/>
      <c r="BR354" s="13"/>
    </row>
    <row r="355" spans="55:70" ht="14.1" customHeight="1">
      <c r="BC355" s="13"/>
      <c r="BD355" s="13"/>
      <c r="BE355" s="13"/>
      <c r="BF355" s="221"/>
      <c r="BG355" s="509"/>
      <c r="BH355" s="13"/>
      <c r="BI355" s="509"/>
      <c r="BJ355" s="233"/>
      <c r="BK355" s="13"/>
      <c r="BL355" s="13"/>
      <c r="BM355" s="13"/>
      <c r="BN355" s="13"/>
      <c r="BO355" s="13"/>
      <c r="BP355" s="13"/>
      <c r="BQ355" s="13"/>
      <c r="BR355" s="13"/>
    </row>
    <row r="356" spans="55:70" ht="14.1" customHeight="1">
      <c r="BC356" s="13"/>
      <c r="BD356" s="13"/>
      <c r="BE356" s="13"/>
      <c r="BF356" s="221"/>
      <c r="BG356" s="509"/>
      <c r="BH356" s="13"/>
      <c r="BI356" s="509"/>
      <c r="BJ356" s="233"/>
      <c r="BK356" s="13"/>
      <c r="BL356" s="13"/>
      <c r="BM356" s="13"/>
      <c r="BN356" s="13"/>
      <c r="BO356" s="13"/>
      <c r="BP356" s="13"/>
      <c r="BQ356" s="13"/>
      <c r="BR356" s="13"/>
    </row>
    <row r="357" spans="55:70" ht="14.1" customHeight="1">
      <c r="BC357" s="13"/>
      <c r="BD357" s="13"/>
      <c r="BE357" s="13"/>
      <c r="BF357" s="221"/>
      <c r="BG357" s="509"/>
      <c r="BH357" s="13"/>
      <c r="BI357" s="509"/>
      <c r="BJ357" s="233"/>
      <c r="BK357" s="13"/>
      <c r="BL357" s="13"/>
      <c r="BM357" s="13"/>
      <c r="BN357" s="13"/>
      <c r="BO357" s="13"/>
      <c r="BP357" s="13"/>
      <c r="BQ357" s="13"/>
      <c r="BR357" s="13"/>
    </row>
    <row r="358" spans="55:70" ht="14.1" customHeight="1">
      <c r="BC358" s="13"/>
      <c r="BD358" s="13"/>
      <c r="BE358" s="13"/>
      <c r="BF358" s="221"/>
      <c r="BG358" s="509"/>
      <c r="BH358" s="13"/>
      <c r="BI358" s="509"/>
      <c r="BJ358" s="233"/>
      <c r="BK358" s="13"/>
      <c r="BL358" s="245"/>
      <c r="BM358" s="246"/>
      <c r="BN358" s="247"/>
      <c r="BO358" s="248"/>
      <c r="BP358" s="13"/>
      <c r="BQ358" s="13"/>
      <c r="BR358" s="13"/>
    </row>
    <row r="359" spans="55:70" ht="14.1" customHeight="1">
      <c r="BC359" s="13"/>
      <c r="BD359" s="13"/>
      <c r="BE359" s="13"/>
      <c r="BF359" s="221"/>
      <c r="BG359" s="509"/>
      <c r="BH359" s="13"/>
      <c r="BI359" s="509"/>
      <c r="BJ359" s="233"/>
      <c r="BK359" s="13"/>
      <c r="BL359" s="13"/>
      <c r="BM359" s="246"/>
      <c r="BN359" s="247"/>
      <c r="BO359" s="248"/>
      <c r="BP359" s="13"/>
      <c r="BQ359" s="13"/>
      <c r="BR359" s="13"/>
    </row>
    <row r="360" spans="55:70" ht="14.1" customHeight="1">
      <c r="BC360" s="13"/>
      <c r="BD360" s="13"/>
      <c r="BE360" s="13"/>
      <c r="BF360" s="221"/>
      <c r="BG360" s="509"/>
      <c r="BH360" s="13"/>
      <c r="BI360" s="509"/>
      <c r="BJ360" s="233"/>
      <c r="BK360" s="13"/>
      <c r="BL360" s="13"/>
      <c r="BM360" s="247"/>
      <c r="BN360" s="245"/>
      <c r="BO360" s="245"/>
      <c r="BP360" s="13"/>
      <c r="BQ360" s="13"/>
      <c r="BR360" s="13"/>
    </row>
    <row r="361" spans="55:70" ht="14.1" customHeight="1">
      <c r="BC361" s="13"/>
      <c r="BD361" s="13"/>
      <c r="BE361" s="13"/>
      <c r="BF361" s="221"/>
      <c r="BG361" s="509"/>
      <c r="BH361" s="13"/>
      <c r="BI361" s="509"/>
      <c r="BJ361" s="233"/>
      <c r="BK361" s="13"/>
      <c r="BL361" s="233"/>
      <c r="BM361" s="247"/>
      <c r="BN361" s="236"/>
      <c r="BO361" s="197"/>
      <c r="BP361" s="13"/>
      <c r="BQ361" s="13"/>
      <c r="BR361" s="13"/>
    </row>
    <row r="362" spans="55:70" ht="14.1" customHeight="1">
      <c r="BC362" s="13"/>
      <c r="BD362" s="13"/>
      <c r="BE362" s="13"/>
      <c r="BF362" s="221"/>
      <c r="BG362" s="509"/>
      <c r="BH362" s="13"/>
      <c r="BI362" s="509"/>
      <c r="BJ362" s="233"/>
      <c r="BK362" s="13"/>
      <c r="BL362" s="233"/>
      <c r="BM362" s="247"/>
      <c r="BN362" s="236"/>
      <c r="BO362" s="233"/>
      <c r="BP362" s="13"/>
      <c r="BQ362" s="13"/>
      <c r="BR362" s="13"/>
    </row>
    <row r="363" spans="55:70" ht="14.1" customHeight="1">
      <c r="BC363" s="13"/>
      <c r="BD363" s="13"/>
      <c r="BE363" s="13"/>
      <c r="BF363" s="510"/>
      <c r="BG363" s="509"/>
      <c r="BH363" s="13"/>
      <c r="BI363" s="509"/>
      <c r="BJ363" s="233"/>
      <c r="BK363" s="13"/>
      <c r="BL363" s="13"/>
      <c r="BM363" s="247"/>
      <c r="BN363" s="236"/>
      <c r="BO363" s="233"/>
      <c r="BP363" s="13"/>
      <c r="BQ363" s="13"/>
      <c r="BR363" s="13"/>
    </row>
    <row r="364" spans="55:70" ht="14.1" customHeight="1">
      <c r="BC364" s="13"/>
      <c r="BD364" s="13"/>
      <c r="BE364" s="13"/>
      <c r="BF364" s="510"/>
      <c r="BG364" s="509"/>
      <c r="BH364" s="13"/>
      <c r="BI364" s="509"/>
      <c r="BJ364" s="509"/>
      <c r="BK364" s="13"/>
      <c r="BL364" s="233"/>
      <c r="BM364" s="13"/>
      <c r="BN364" s="236"/>
      <c r="BO364" s="233"/>
      <c r="BP364" s="13"/>
      <c r="BQ364" s="13"/>
      <c r="BR364" s="13"/>
    </row>
    <row r="365" spans="55:70" ht="14.1" customHeight="1">
      <c r="BC365" s="13"/>
      <c r="BD365" s="13"/>
      <c r="BE365" s="13"/>
      <c r="BF365" s="246"/>
      <c r="BG365" s="247"/>
      <c r="BH365" s="248"/>
      <c r="BI365" s="246"/>
      <c r="BJ365" s="247"/>
      <c r="BK365" s="248"/>
      <c r="BL365" s="233"/>
      <c r="BM365" s="13"/>
      <c r="BN365" s="236"/>
      <c r="BO365" s="233"/>
      <c r="BP365" s="13"/>
      <c r="BQ365" s="13"/>
      <c r="BR365" s="13"/>
    </row>
    <row r="366" spans="55:70" ht="14.1" customHeight="1">
      <c r="BC366" s="13"/>
      <c r="BD366" s="13"/>
      <c r="BE366" s="13"/>
      <c r="BF366" s="247"/>
      <c r="BG366" s="245"/>
      <c r="BH366" s="245"/>
      <c r="BI366" s="247"/>
      <c r="BJ366" s="245"/>
      <c r="BK366" s="245"/>
      <c r="BL366" s="233"/>
      <c r="BM366" s="13"/>
      <c r="BN366" s="236"/>
      <c r="BO366" s="233"/>
      <c r="BP366" s="13"/>
      <c r="BQ366" s="13"/>
      <c r="BR366" s="13"/>
    </row>
    <row r="367" spans="55:70" ht="14.1" customHeight="1">
      <c r="BC367" s="13"/>
      <c r="BD367" s="13"/>
      <c r="BE367" s="13"/>
      <c r="BF367" s="247"/>
      <c r="BG367" s="197"/>
      <c r="BH367" s="197"/>
      <c r="BI367" s="247"/>
      <c r="BJ367" s="197"/>
      <c r="BK367" s="197"/>
      <c r="BL367" s="233"/>
      <c r="BM367" s="13"/>
      <c r="BN367" s="236"/>
      <c r="BO367" s="233"/>
      <c r="BP367" s="13"/>
      <c r="BQ367" s="13"/>
      <c r="BR367" s="13"/>
    </row>
    <row r="368" spans="55:70" ht="14.1" customHeight="1">
      <c r="BC368" s="13"/>
      <c r="BD368" s="13"/>
      <c r="BE368" s="13"/>
      <c r="BF368" s="247"/>
      <c r="BG368" s="197"/>
      <c r="BH368" s="233"/>
      <c r="BI368" s="247"/>
      <c r="BJ368" s="197"/>
      <c r="BK368" s="233"/>
      <c r="BL368" s="233"/>
      <c r="BM368" s="13"/>
      <c r="BN368" s="236"/>
      <c r="BO368" s="233"/>
      <c r="BP368" s="13"/>
      <c r="BQ368" s="13"/>
      <c r="BR368" s="13"/>
    </row>
    <row r="369" spans="55:70" ht="14.1" customHeight="1">
      <c r="BC369" s="13"/>
      <c r="BD369" s="13"/>
      <c r="BE369" s="13"/>
      <c r="BF369" s="247"/>
      <c r="BG369" s="233"/>
      <c r="BH369" s="233"/>
      <c r="BI369" s="247"/>
      <c r="BJ369" s="233"/>
      <c r="BK369" s="233"/>
      <c r="BL369" s="233"/>
      <c r="BM369" s="13"/>
      <c r="BN369" s="236"/>
      <c r="BO369" s="233"/>
      <c r="BP369" s="13"/>
      <c r="BQ369" s="13"/>
      <c r="BR369" s="13"/>
    </row>
    <row r="370" spans="55:70" ht="14.1" customHeight="1">
      <c r="BC370" s="13"/>
      <c r="BD370" s="13"/>
      <c r="BE370" s="13"/>
      <c r="BF370" s="13"/>
      <c r="BG370" s="197"/>
      <c r="BH370" s="233"/>
      <c r="BI370" s="13"/>
      <c r="BJ370" s="197"/>
      <c r="BK370" s="233"/>
      <c r="BL370" s="233"/>
      <c r="BM370" s="13"/>
      <c r="BN370" s="236"/>
      <c r="BO370" s="233"/>
      <c r="BP370" s="13"/>
      <c r="BQ370" s="13"/>
      <c r="BR370" s="13"/>
    </row>
    <row r="371" spans="55:70" ht="14.1" customHeight="1">
      <c r="BC371" s="13"/>
      <c r="BD371" s="13"/>
      <c r="BE371" s="13"/>
      <c r="BF371" s="13"/>
      <c r="BG371" s="197"/>
      <c r="BH371" s="233"/>
      <c r="BI371" s="13"/>
      <c r="BJ371" s="197"/>
      <c r="BK371" s="233"/>
      <c r="BL371" s="233"/>
      <c r="BM371" s="13"/>
      <c r="BN371" s="236"/>
      <c r="BO371" s="233"/>
      <c r="BP371" s="13"/>
      <c r="BQ371" s="13"/>
      <c r="BR371" s="13"/>
    </row>
    <row r="372" spans="55:70" ht="14.1" customHeight="1">
      <c r="BC372" s="13"/>
      <c r="BD372" s="13"/>
      <c r="BE372" s="13"/>
      <c r="BF372" s="13"/>
      <c r="BG372" s="233"/>
      <c r="BH372" s="233"/>
      <c r="BI372" s="13"/>
      <c r="BJ372" s="233"/>
      <c r="BK372" s="233"/>
      <c r="BL372" s="233"/>
      <c r="BM372" s="13"/>
      <c r="BN372" s="236"/>
      <c r="BO372" s="233"/>
      <c r="BP372" s="13"/>
      <c r="BQ372" s="13"/>
      <c r="BR372" s="13"/>
    </row>
    <row r="373" spans="55:70" ht="14.1" customHeight="1">
      <c r="BC373" s="13"/>
      <c r="BD373" s="13"/>
      <c r="BE373" s="13"/>
      <c r="BF373" s="13"/>
      <c r="BG373" s="197"/>
      <c r="BH373" s="233"/>
      <c r="BI373" s="13"/>
      <c r="BJ373" s="197"/>
      <c r="BK373" s="233"/>
      <c r="BL373" s="233"/>
      <c r="BM373" s="13"/>
      <c r="BN373" s="236"/>
      <c r="BO373" s="233"/>
      <c r="BP373" s="13"/>
      <c r="BQ373" s="13"/>
      <c r="BR373" s="13"/>
    </row>
    <row r="374" spans="55:70" ht="14.1" customHeight="1">
      <c r="BC374" s="13"/>
      <c r="BD374" s="13"/>
      <c r="BE374" s="13"/>
      <c r="BF374" s="13"/>
      <c r="BG374" s="233"/>
      <c r="BH374" s="233"/>
      <c r="BI374" s="13"/>
      <c r="BJ374" s="197"/>
      <c r="BK374" s="233"/>
      <c r="BL374" s="233"/>
      <c r="BM374" s="13"/>
      <c r="BN374" s="236"/>
      <c r="BO374" s="233"/>
      <c r="BP374" s="13"/>
      <c r="BQ374" s="13"/>
      <c r="BR374" s="13"/>
    </row>
    <row r="375" spans="55:70" ht="14.1" customHeight="1">
      <c r="BC375" s="13"/>
      <c r="BD375" s="13"/>
      <c r="BE375" s="13"/>
      <c r="BF375" s="13"/>
      <c r="BG375" s="233"/>
      <c r="BH375" s="233"/>
      <c r="BI375" s="13"/>
      <c r="BJ375" s="233"/>
      <c r="BK375" s="233"/>
      <c r="BL375" s="233"/>
      <c r="BM375" s="13"/>
      <c r="BN375" s="236"/>
      <c r="BO375" s="233"/>
      <c r="BP375" s="13"/>
      <c r="BQ375" s="13"/>
      <c r="BR375" s="13"/>
    </row>
    <row r="376" spans="55:70" ht="14.1" customHeight="1">
      <c r="BC376" s="13"/>
      <c r="BD376" s="13"/>
      <c r="BE376" s="13"/>
      <c r="BF376" s="13"/>
      <c r="BG376" s="197"/>
      <c r="BH376" s="233"/>
      <c r="BI376" s="13"/>
      <c r="BJ376" s="197"/>
      <c r="BK376" s="233"/>
      <c r="BL376" s="233"/>
      <c r="BM376" s="13"/>
      <c r="BN376" s="236"/>
      <c r="BO376" s="13"/>
      <c r="BP376" s="13"/>
      <c r="BQ376" s="13"/>
      <c r="BR376" s="13"/>
    </row>
    <row r="377" spans="55:70" ht="14.1" customHeight="1">
      <c r="BC377" s="13"/>
      <c r="BD377" s="13"/>
      <c r="BE377" s="13"/>
      <c r="BF377" s="13"/>
      <c r="BG377" s="197"/>
      <c r="BH377" s="233"/>
      <c r="BI377" s="13"/>
      <c r="BJ377" s="197"/>
      <c r="BK377" s="233"/>
      <c r="BL377" s="233"/>
      <c r="BM377" s="13"/>
      <c r="BN377" s="236"/>
      <c r="BO377" s="233"/>
      <c r="BP377" s="13"/>
      <c r="BQ377" s="13"/>
      <c r="BR377" s="13"/>
    </row>
    <row r="378" spans="55:70" ht="14.1" customHeight="1">
      <c r="BC378" s="13"/>
      <c r="BD378" s="13"/>
      <c r="BE378" s="13"/>
      <c r="BF378" s="13"/>
      <c r="BG378" s="233"/>
      <c r="BH378" s="233"/>
      <c r="BI378" s="13"/>
      <c r="BJ378" s="233"/>
      <c r="BK378" s="233"/>
      <c r="BL378" s="233"/>
      <c r="BM378" s="13"/>
      <c r="BN378" s="236"/>
      <c r="BO378" s="233"/>
      <c r="BP378" s="13"/>
      <c r="BQ378" s="13"/>
      <c r="BR378" s="13"/>
    </row>
    <row r="379" spans="55:70" ht="14.1" customHeight="1">
      <c r="BC379" s="13"/>
      <c r="BD379" s="13"/>
      <c r="BE379" s="13"/>
      <c r="BF379" s="13"/>
      <c r="BG379" s="233"/>
      <c r="BH379" s="233"/>
      <c r="BI379" s="13"/>
      <c r="BJ379" s="197"/>
      <c r="BK379" s="233"/>
      <c r="BL379" s="233"/>
      <c r="BM379" s="13"/>
      <c r="BN379" s="236"/>
      <c r="BO379" s="13"/>
      <c r="BP379" s="13"/>
      <c r="BQ379" s="13"/>
      <c r="BR379" s="13"/>
    </row>
    <row r="380" spans="55:70" ht="14.1" customHeight="1">
      <c r="BC380" s="13"/>
      <c r="BD380" s="13"/>
      <c r="BE380" s="13"/>
      <c r="BF380" s="13"/>
      <c r="BG380" s="233"/>
      <c r="BH380" s="233"/>
      <c r="BI380" s="13"/>
      <c r="BJ380" s="197"/>
      <c r="BK380" s="233"/>
      <c r="BL380" s="233"/>
      <c r="BM380" s="13"/>
      <c r="BN380" s="236"/>
      <c r="BO380" s="233"/>
      <c r="BP380" s="13"/>
      <c r="BQ380" s="13"/>
      <c r="BR380" s="13"/>
    </row>
    <row r="381" spans="55:70" ht="14.1" customHeight="1">
      <c r="BC381" s="13"/>
      <c r="BD381" s="13"/>
      <c r="BE381" s="13"/>
      <c r="BF381" s="13"/>
      <c r="BG381" s="233"/>
      <c r="BH381" s="233"/>
      <c r="BI381" s="13"/>
      <c r="BJ381" s="233"/>
      <c r="BK381" s="13"/>
      <c r="BL381" s="233"/>
      <c r="BM381" s="13"/>
      <c r="BN381" s="236"/>
      <c r="BO381" s="233"/>
      <c r="BP381" s="13"/>
      <c r="BQ381" s="13"/>
      <c r="BR381" s="13"/>
    </row>
    <row r="382" spans="55:70" ht="14.1" customHeight="1">
      <c r="BC382" s="13"/>
      <c r="BD382" s="13"/>
      <c r="BE382" s="13"/>
      <c r="BF382" s="13"/>
      <c r="BG382" s="13"/>
      <c r="BH382" s="13"/>
      <c r="BI382" s="13"/>
      <c r="BJ382" s="197"/>
      <c r="BK382" s="13"/>
      <c r="BL382" s="233"/>
      <c r="BM382" s="13"/>
      <c r="BN382" s="236"/>
      <c r="BO382" s="13"/>
      <c r="BP382" s="13"/>
      <c r="BQ382" s="13"/>
      <c r="BR382" s="13"/>
    </row>
    <row r="383" spans="55:70" ht="14.1" customHeight="1">
      <c r="BC383" s="13"/>
      <c r="BD383" s="13"/>
      <c r="BE383" s="13"/>
      <c r="BF383" s="13"/>
      <c r="BG383" s="197"/>
      <c r="BH383" s="233"/>
      <c r="BI383" s="13"/>
      <c r="BJ383" s="197"/>
      <c r="BK383" s="233"/>
      <c r="BL383" s="233"/>
      <c r="BM383" s="247"/>
      <c r="BN383" s="236"/>
      <c r="BO383" s="233"/>
      <c r="BP383" s="13"/>
      <c r="BQ383" s="13"/>
      <c r="BR383" s="13"/>
    </row>
    <row r="384" spans="55:70" ht="14.1" customHeight="1">
      <c r="BC384" s="13"/>
      <c r="BD384" s="13"/>
      <c r="BE384" s="13"/>
      <c r="BF384" s="13"/>
      <c r="BG384" s="197"/>
      <c r="BH384" s="233"/>
      <c r="BI384" s="13"/>
      <c r="BJ384" s="197"/>
      <c r="BK384" s="233"/>
      <c r="BL384" s="233"/>
      <c r="BM384" s="247"/>
      <c r="BN384" s="236"/>
      <c r="BO384" s="233"/>
      <c r="BP384" s="13"/>
      <c r="BQ384" s="13"/>
      <c r="BR384" s="13"/>
    </row>
    <row r="385" spans="55:70" ht="14.1" customHeight="1">
      <c r="BC385" s="13"/>
      <c r="BD385" s="13"/>
      <c r="BE385" s="13"/>
      <c r="BF385" s="13"/>
      <c r="BG385" s="13"/>
      <c r="BH385" s="13"/>
      <c r="BI385" s="13"/>
      <c r="BJ385" s="13"/>
      <c r="BK385" s="13"/>
      <c r="BL385" s="233"/>
      <c r="BM385" s="247"/>
      <c r="BN385" s="236"/>
      <c r="BO385" s="13"/>
      <c r="BP385" s="13"/>
      <c r="BQ385" s="13"/>
      <c r="BR385" s="13"/>
    </row>
    <row r="386" spans="55:70" ht="14.1" customHeight="1">
      <c r="BC386" s="13"/>
      <c r="BD386" s="13"/>
      <c r="BE386" s="13"/>
      <c r="BF386" s="13"/>
      <c r="BG386" s="197"/>
      <c r="BH386" s="233"/>
      <c r="BI386" s="13"/>
      <c r="BJ386" s="197"/>
      <c r="BK386" s="233"/>
      <c r="BL386" s="233"/>
      <c r="BM386" s="247"/>
      <c r="BN386" s="236"/>
      <c r="BO386" s="233"/>
      <c r="BP386" s="13"/>
      <c r="BQ386" s="13"/>
      <c r="BR386" s="13"/>
    </row>
    <row r="387" spans="55:70" ht="14.1" customHeight="1">
      <c r="BC387" s="13"/>
      <c r="BD387" s="13"/>
      <c r="BE387" s="13"/>
      <c r="BF387" s="13"/>
      <c r="BG387" s="197"/>
      <c r="BH387" s="233"/>
      <c r="BI387" s="13"/>
      <c r="BJ387" s="197"/>
      <c r="BK387" s="233"/>
      <c r="BL387" s="233"/>
      <c r="BM387" s="13"/>
      <c r="BN387" s="236"/>
      <c r="BO387" s="13"/>
      <c r="BP387" s="13"/>
      <c r="BQ387" s="13"/>
      <c r="BR387" s="13"/>
    </row>
    <row r="388" spans="55:70" ht="14.1" customHeight="1">
      <c r="BC388" s="13"/>
      <c r="BD388" s="13"/>
      <c r="BE388" s="13"/>
      <c r="BF388" s="13"/>
      <c r="BG388" s="13"/>
      <c r="BH388" s="13"/>
      <c r="BI388" s="13"/>
      <c r="BJ388" s="13"/>
      <c r="BK388" s="13"/>
      <c r="BL388" s="233"/>
      <c r="BM388" s="247"/>
      <c r="BN388" s="236"/>
      <c r="BO388" s="197"/>
      <c r="BP388" s="13"/>
      <c r="BQ388" s="13"/>
      <c r="BR388" s="13"/>
    </row>
    <row r="389" spans="55:70" ht="14.1" customHeight="1">
      <c r="BF389" s="247"/>
      <c r="BG389" s="197"/>
      <c r="BH389" s="233"/>
      <c r="BI389" s="247"/>
      <c r="BJ389" s="197"/>
      <c r="BK389" s="233"/>
      <c r="BL389" s="233"/>
      <c r="BM389" s="247"/>
      <c r="BN389" s="236"/>
      <c r="BO389" s="233"/>
    </row>
    <row r="390" spans="55:70" ht="14.1" customHeight="1">
      <c r="BF390" s="247"/>
      <c r="BG390" s="197"/>
      <c r="BH390" s="233"/>
      <c r="BI390" s="247"/>
      <c r="BJ390" s="197"/>
      <c r="BK390" s="233"/>
      <c r="BL390" s="233"/>
      <c r="BM390" s="13"/>
      <c r="BN390" s="236"/>
      <c r="BO390" s="13"/>
    </row>
    <row r="391" spans="55:70" ht="14.1" customHeight="1">
      <c r="BF391" s="247"/>
      <c r="BG391" s="197"/>
      <c r="BH391" s="249"/>
      <c r="BI391" s="247"/>
      <c r="BJ391" s="197"/>
      <c r="BK391" s="249"/>
      <c r="BL391" s="233"/>
      <c r="BM391" s="13"/>
      <c r="BN391" s="236"/>
      <c r="BO391" s="233"/>
    </row>
    <row r="392" spans="55:70" ht="14.1" customHeight="1">
      <c r="BF392" s="247"/>
      <c r="BG392" s="197"/>
      <c r="BH392" s="233"/>
      <c r="BI392" s="247"/>
      <c r="BJ392" s="197"/>
      <c r="BK392" s="233"/>
      <c r="BL392" s="233"/>
      <c r="BM392" s="13"/>
      <c r="BN392" s="236"/>
      <c r="BO392" s="233"/>
    </row>
    <row r="393" spans="55:70" ht="14.1" customHeight="1">
      <c r="BF393" s="13"/>
      <c r="BG393" s="233"/>
      <c r="BH393" s="13"/>
      <c r="BI393" s="13"/>
      <c r="BJ393" s="233"/>
      <c r="BK393" s="13"/>
      <c r="BL393" s="233"/>
      <c r="BM393" s="13"/>
      <c r="BN393" s="236"/>
      <c r="BO393" s="13"/>
    </row>
    <row r="394" spans="55:70" ht="14.1" customHeight="1">
      <c r="BF394" s="247"/>
      <c r="BG394" s="197"/>
      <c r="BH394" s="197"/>
      <c r="BI394" s="247"/>
      <c r="BJ394" s="197"/>
      <c r="BK394" s="197"/>
      <c r="BL394" s="233"/>
      <c r="BM394" s="13"/>
      <c r="BN394" s="236"/>
      <c r="BO394" s="233"/>
    </row>
    <row r="395" spans="55:70" ht="14.1" customHeight="1">
      <c r="BF395" s="247"/>
      <c r="BG395" s="197"/>
      <c r="BH395" s="233"/>
      <c r="BI395" s="247"/>
      <c r="BJ395" s="197"/>
      <c r="BK395" s="233"/>
      <c r="BL395" s="233"/>
      <c r="BM395" s="13"/>
      <c r="BN395" s="236"/>
      <c r="BO395" s="233"/>
    </row>
    <row r="396" spans="55:70" ht="14.1" customHeight="1">
      <c r="BF396" s="13"/>
      <c r="BG396" s="13"/>
      <c r="BH396" s="13"/>
      <c r="BI396" s="13"/>
      <c r="BJ396" s="13"/>
      <c r="BK396" s="13"/>
      <c r="BL396" s="233"/>
      <c r="BM396" s="13"/>
      <c r="BN396" s="236"/>
      <c r="BO396" s="233"/>
    </row>
    <row r="397" spans="55:70" ht="14.1" customHeight="1">
      <c r="BF397" s="13"/>
      <c r="BG397" s="197"/>
      <c r="BH397" s="233"/>
      <c r="BI397" s="13"/>
      <c r="BJ397" s="197"/>
      <c r="BK397" s="233"/>
      <c r="BL397" s="233"/>
      <c r="BM397" s="13"/>
      <c r="BN397" s="236"/>
      <c r="BO397" s="233"/>
    </row>
    <row r="398" spans="55:70" ht="14.1" customHeight="1">
      <c r="BF398" s="13"/>
      <c r="BG398" s="197"/>
      <c r="BH398" s="233"/>
      <c r="BI398" s="13"/>
      <c r="BJ398" s="197"/>
      <c r="BK398" s="233"/>
      <c r="BL398" s="233"/>
      <c r="BM398" s="13"/>
      <c r="BN398" s="236"/>
      <c r="BO398" s="233"/>
    </row>
    <row r="399" spans="55:70" ht="14.1" customHeight="1">
      <c r="BF399" s="13"/>
      <c r="BG399" s="13"/>
      <c r="BH399" s="13"/>
      <c r="BI399" s="13"/>
      <c r="BJ399" s="13"/>
      <c r="BK399" s="13"/>
      <c r="BL399" s="233"/>
      <c r="BM399" s="13"/>
      <c r="BN399" s="236"/>
      <c r="BO399" s="233"/>
    </row>
    <row r="400" spans="55:70" ht="14.1" customHeight="1">
      <c r="BF400" s="13"/>
      <c r="BG400" s="197"/>
      <c r="BH400" s="233"/>
      <c r="BI400" s="13"/>
      <c r="BJ400" s="197"/>
      <c r="BK400" s="233"/>
      <c r="BL400" s="233"/>
      <c r="BM400" s="13"/>
      <c r="BN400" s="236"/>
      <c r="BO400" s="233"/>
    </row>
    <row r="401" spans="58:67" ht="14.1" customHeight="1">
      <c r="BF401" s="13"/>
      <c r="BG401" s="197"/>
      <c r="BH401" s="233"/>
      <c r="BI401" s="13"/>
      <c r="BJ401" s="197"/>
      <c r="BK401" s="233"/>
      <c r="BL401" s="233"/>
      <c r="BM401" s="13"/>
      <c r="BN401" s="236"/>
      <c r="BO401" s="233"/>
    </row>
    <row r="402" spans="58:67" ht="14.1" customHeight="1">
      <c r="BF402" s="13"/>
      <c r="BG402" s="233"/>
      <c r="BH402" s="233"/>
      <c r="BI402" s="13"/>
      <c r="BJ402" s="233"/>
      <c r="BK402" s="233"/>
      <c r="BL402" s="233"/>
      <c r="BM402" s="13"/>
      <c r="BN402" s="236"/>
      <c r="BO402" s="13"/>
    </row>
    <row r="403" spans="58:67" ht="14.1" customHeight="1">
      <c r="BF403" s="13"/>
      <c r="BG403" s="197"/>
      <c r="BH403" s="233"/>
      <c r="BI403" s="13"/>
      <c r="BJ403" s="197"/>
      <c r="BK403" s="233"/>
      <c r="BL403" s="233"/>
      <c r="BM403" s="13"/>
      <c r="BN403" s="236"/>
      <c r="BO403" s="233"/>
    </row>
    <row r="404" spans="58:67" ht="14.1" customHeight="1">
      <c r="BF404" s="13"/>
      <c r="BG404" s="197"/>
      <c r="BH404" s="233"/>
      <c r="BI404" s="13"/>
      <c r="BJ404" s="197"/>
      <c r="BK404" s="233"/>
      <c r="BL404" s="233"/>
      <c r="BM404" s="13"/>
      <c r="BN404" s="236"/>
      <c r="BO404" s="233"/>
    </row>
    <row r="405" spans="58:67" ht="14.1" customHeight="1">
      <c r="BF405" s="13"/>
      <c r="BG405" s="233"/>
      <c r="BH405" s="233"/>
      <c r="BI405" s="13"/>
      <c r="BJ405" s="233"/>
      <c r="BK405" s="233"/>
      <c r="BL405" s="233"/>
      <c r="BM405" s="13"/>
      <c r="BN405" s="236"/>
      <c r="BO405" s="13"/>
    </row>
    <row r="406" spans="58:67" ht="14.1" customHeight="1">
      <c r="BF406" s="13"/>
      <c r="BG406" s="197"/>
      <c r="BH406" s="233"/>
      <c r="BI406" s="13"/>
      <c r="BJ406" s="197"/>
      <c r="BK406" s="233"/>
      <c r="BL406" s="233"/>
      <c r="BM406" s="13"/>
      <c r="BN406" s="236"/>
      <c r="BO406" s="13"/>
    </row>
    <row r="407" spans="58:67" ht="14.1" customHeight="1">
      <c r="BF407" s="13"/>
      <c r="BG407" s="197"/>
      <c r="BH407" s="233"/>
      <c r="BI407" s="13"/>
      <c r="BJ407" s="197"/>
      <c r="BK407" s="233"/>
      <c r="BL407" s="233"/>
      <c r="BM407" s="13"/>
      <c r="BN407" s="236"/>
      <c r="BO407" s="233"/>
    </row>
    <row r="408" spans="58:67" ht="14.1" customHeight="1">
      <c r="BF408" s="13"/>
      <c r="BG408" s="13"/>
      <c r="BH408" s="13"/>
      <c r="BI408" s="13"/>
      <c r="BJ408" s="13"/>
      <c r="BK408" s="13"/>
      <c r="BL408" s="233"/>
      <c r="BM408" s="13"/>
      <c r="BN408" s="236"/>
      <c r="BO408" s="233"/>
    </row>
    <row r="409" spans="58:67" ht="14.1" customHeight="1">
      <c r="BF409" s="13"/>
      <c r="BG409" s="197"/>
      <c r="BH409" s="233"/>
      <c r="BI409" s="13"/>
      <c r="BJ409" s="197"/>
      <c r="BK409" s="233"/>
      <c r="BL409" s="233"/>
      <c r="BM409" s="13"/>
      <c r="BN409" s="236"/>
      <c r="BO409" s="233"/>
    </row>
    <row r="410" spans="58:67" ht="14.1" customHeight="1">
      <c r="BF410" s="13"/>
      <c r="BG410" s="197"/>
      <c r="BH410" s="233"/>
      <c r="BI410" s="13"/>
      <c r="BJ410" s="197"/>
      <c r="BK410" s="233"/>
      <c r="BL410" s="233"/>
      <c r="BM410" s="13"/>
      <c r="BN410" s="236"/>
      <c r="BO410" s="233"/>
    </row>
    <row r="411" spans="58:67" ht="14.1" customHeight="1">
      <c r="BF411" s="13"/>
      <c r="BG411" s="197"/>
      <c r="BH411" s="233"/>
      <c r="BI411" s="13"/>
      <c r="BJ411" s="197"/>
      <c r="BK411" s="233"/>
      <c r="BL411" s="233"/>
      <c r="BM411" s="13"/>
      <c r="BN411" s="236"/>
      <c r="BO411" s="233"/>
    </row>
    <row r="412" spans="58:67" ht="14.1" customHeight="1">
      <c r="BF412" s="13"/>
      <c r="BG412" s="197"/>
      <c r="BH412" s="233"/>
      <c r="BI412" s="13"/>
      <c r="BJ412" s="197"/>
      <c r="BK412" s="233"/>
      <c r="BL412" s="233"/>
      <c r="BM412" s="13"/>
      <c r="BN412" s="236"/>
      <c r="BO412" s="233"/>
    </row>
    <row r="413" spans="58:67" ht="14.1" customHeight="1">
      <c r="BF413" s="13"/>
      <c r="BG413" s="197"/>
      <c r="BH413" s="233"/>
      <c r="BI413" s="13"/>
      <c r="BJ413" s="197"/>
      <c r="BK413" s="233"/>
      <c r="BL413" s="233"/>
      <c r="BM413" s="13"/>
      <c r="BN413" s="236"/>
      <c r="BO413" s="233"/>
    </row>
    <row r="414" spans="58:67" ht="14.1" customHeight="1">
      <c r="BF414" s="13"/>
      <c r="BG414" s="197"/>
      <c r="BH414" s="233"/>
      <c r="BI414" s="13"/>
      <c r="BJ414" s="197"/>
      <c r="BK414" s="233"/>
      <c r="BL414" s="233"/>
      <c r="BM414" s="13"/>
      <c r="BN414" s="233"/>
      <c r="BO414" s="233"/>
    </row>
    <row r="415" spans="58:67" ht="14.1" customHeight="1">
      <c r="BF415" s="13"/>
      <c r="BG415" s="197"/>
      <c r="BH415" s="233"/>
      <c r="BI415" s="13"/>
      <c r="BJ415" s="197"/>
      <c r="BK415" s="233"/>
      <c r="BL415" s="233"/>
      <c r="BM415" s="13"/>
      <c r="BN415" s="233"/>
      <c r="BO415" s="233"/>
    </row>
    <row r="416" spans="58:67" ht="14.1" customHeight="1">
      <c r="BF416" s="13"/>
      <c r="BG416" s="197"/>
      <c r="BH416" s="233"/>
      <c r="BI416" s="13"/>
      <c r="BJ416" s="197"/>
      <c r="BK416" s="233"/>
      <c r="BL416" s="233"/>
      <c r="BM416" s="250"/>
      <c r="BN416" s="13"/>
      <c r="BO416" s="233"/>
    </row>
    <row r="417" spans="58:67" ht="14.1" customHeight="1">
      <c r="BF417" s="13"/>
      <c r="BG417" s="197"/>
      <c r="BH417" s="233"/>
      <c r="BI417" s="13"/>
      <c r="BJ417" s="197"/>
      <c r="BK417" s="233"/>
      <c r="BL417" s="251"/>
      <c r="BM417" s="250"/>
      <c r="BN417" s="13"/>
      <c r="BO417" s="251"/>
    </row>
    <row r="418" spans="58:67" ht="14.1" customHeight="1">
      <c r="BF418" s="13"/>
      <c r="BG418" s="197"/>
      <c r="BH418" s="233"/>
      <c r="BI418" s="13"/>
      <c r="BJ418" s="197"/>
      <c r="BK418" s="233"/>
      <c r="BL418" s="233"/>
      <c r="BM418" s="250"/>
      <c r="BN418" s="252"/>
      <c r="BO418" s="233"/>
    </row>
    <row r="419" spans="58:67" ht="14.1" customHeight="1">
      <c r="BF419" s="13"/>
      <c r="BG419" s="197"/>
      <c r="BH419" s="233"/>
      <c r="BI419" s="13"/>
      <c r="BJ419" s="197"/>
      <c r="BK419" s="233"/>
      <c r="BL419" s="233"/>
      <c r="BM419" s="250"/>
      <c r="BN419" s="13"/>
      <c r="BO419" s="233"/>
    </row>
    <row r="420" spans="58:67" ht="14.1" customHeight="1">
      <c r="BF420" s="13"/>
      <c r="BG420" s="233"/>
      <c r="BH420" s="233"/>
      <c r="BI420" s="13"/>
      <c r="BJ420" s="233"/>
      <c r="BK420" s="233"/>
      <c r="BL420" s="233"/>
      <c r="BM420" s="250"/>
      <c r="BN420" s="13"/>
      <c r="BO420" s="233"/>
    </row>
    <row r="421" spans="58:67" ht="14.1" customHeight="1">
      <c r="BF421" s="253"/>
      <c r="BG421" s="254"/>
      <c r="BH421" s="233"/>
      <c r="BI421" s="13"/>
      <c r="BJ421" s="233"/>
      <c r="BK421" s="233"/>
      <c r="BL421" s="251"/>
      <c r="BM421" s="250"/>
      <c r="BN421" s="13"/>
      <c r="BO421" s="251"/>
    </row>
    <row r="422" spans="58:67" ht="14.1" customHeight="1">
      <c r="BF422" s="13"/>
      <c r="BG422" s="233"/>
      <c r="BH422" s="233"/>
      <c r="BI422" s="13"/>
      <c r="BJ422" s="250"/>
      <c r="BK422" s="13"/>
      <c r="BL422" s="233"/>
      <c r="BM422" s="10"/>
      <c r="BN422" s="255"/>
      <c r="BO422" s="233"/>
    </row>
    <row r="423" spans="58:67" ht="14.1" customHeight="1">
      <c r="BF423" s="13"/>
      <c r="BG423" s="233"/>
      <c r="BH423" s="251"/>
      <c r="BI423" s="13"/>
      <c r="BJ423" s="250"/>
      <c r="BK423" s="13"/>
      <c r="BL423" s="233"/>
      <c r="BM423" s="252"/>
      <c r="BN423" s="255"/>
      <c r="BO423" s="233"/>
    </row>
    <row r="424" spans="58:67" ht="14.1" customHeight="1">
      <c r="BF424" s="22"/>
      <c r="BG424" s="252"/>
      <c r="BH424" s="233"/>
      <c r="BI424" s="13"/>
      <c r="BJ424" s="250"/>
      <c r="BK424" s="252"/>
      <c r="BL424" s="233"/>
      <c r="BM424" s="10"/>
      <c r="BN424" s="233"/>
      <c r="BO424" s="233"/>
    </row>
    <row r="425" spans="58:67" ht="14.1" customHeight="1">
      <c r="BF425" s="256"/>
      <c r="BG425" s="13"/>
      <c r="BH425" s="13"/>
      <c r="BI425" s="13"/>
      <c r="BJ425" s="250"/>
      <c r="BK425" s="13"/>
      <c r="BL425" s="233"/>
      <c r="BM425" s="10"/>
      <c r="BN425" s="233"/>
      <c r="BO425" s="233"/>
    </row>
    <row r="426" spans="58:67" ht="14.1" customHeight="1">
      <c r="BF426" s="13"/>
      <c r="BG426" s="233"/>
      <c r="BH426" s="233"/>
      <c r="BI426" s="13"/>
      <c r="BJ426" s="250"/>
      <c r="BK426" s="13"/>
      <c r="BL426" s="233"/>
      <c r="BM426" s="255"/>
      <c r="BN426" s="255"/>
      <c r="BO426" s="233"/>
    </row>
    <row r="427" spans="58:67" ht="14.1" customHeight="1">
      <c r="BF427" s="13"/>
      <c r="BG427" s="233"/>
      <c r="BH427" s="251"/>
      <c r="BI427" s="13"/>
      <c r="BJ427" s="250"/>
      <c r="BK427" s="13"/>
      <c r="BL427" s="233"/>
      <c r="BM427" s="13"/>
      <c r="BN427" s="255"/>
      <c r="BO427" s="233"/>
    </row>
    <row r="428" spans="58:67" ht="14.1" customHeight="1">
      <c r="BF428" s="13"/>
      <c r="BG428" s="252"/>
      <c r="BH428" s="233"/>
      <c r="BI428" s="13"/>
      <c r="BJ428" s="10"/>
      <c r="BK428" s="252"/>
      <c r="BL428" s="233"/>
      <c r="BM428" s="13"/>
      <c r="BN428" s="255"/>
      <c r="BO428" s="233"/>
    </row>
    <row r="429" spans="58:67" ht="14.1" customHeight="1">
      <c r="BF429" s="256"/>
      <c r="BG429" s="13"/>
      <c r="BH429" s="233"/>
      <c r="BI429" s="252"/>
      <c r="BJ429" s="10"/>
      <c r="BK429" s="252"/>
      <c r="BL429" s="233"/>
      <c r="BM429" s="13"/>
      <c r="BN429" s="255"/>
      <c r="BO429" s="233"/>
    </row>
    <row r="430" spans="58:67" ht="14.1" customHeight="1">
      <c r="BF430" s="257"/>
      <c r="BG430" s="257"/>
      <c r="BH430" s="257"/>
      <c r="BI430" s="13"/>
      <c r="BJ430" s="10"/>
      <c r="BK430" s="233"/>
    </row>
    <row r="431" spans="58:67" ht="14.1" customHeight="1">
      <c r="BF431" s="257"/>
      <c r="BG431" s="257"/>
      <c r="BH431" s="257"/>
      <c r="BI431" s="13"/>
      <c r="BJ431" s="10"/>
      <c r="BK431" s="233"/>
    </row>
    <row r="432" spans="58:67" ht="14.1" customHeight="1">
      <c r="BF432" s="257"/>
      <c r="BG432" s="252"/>
      <c r="BH432" s="233"/>
      <c r="BI432" s="255"/>
      <c r="BJ432" s="250"/>
      <c r="BK432" s="255"/>
    </row>
    <row r="433" spans="58:63" ht="14.1" customHeight="1">
      <c r="BF433" s="256"/>
      <c r="BG433" s="255"/>
      <c r="BH433" s="233"/>
      <c r="BI433" s="13"/>
      <c r="BJ433" s="233"/>
      <c r="BK433" s="255"/>
    </row>
    <row r="434" spans="58:63" ht="14.1" customHeight="1">
      <c r="BF434" s="256"/>
      <c r="BG434" s="255"/>
      <c r="BH434" s="233"/>
      <c r="BI434" s="13"/>
      <c r="BJ434" s="233"/>
      <c r="BK434" s="255"/>
    </row>
    <row r="435" spans="58:63" ht="14.1" customHeight="1">
      <c r="BF435" s="256"/>
      <c r="BG435" s="255"/>
      <c r="BH435" s="233"/>
      <c r="BI435" s="13"/>
      <c r="BJ435" s="233"/>
      <c r="BK435" s="255"/>
    </row>
    <row r="436" spans="58:63" ht="14.1" customHeight="1"/>
    <row r="437" spans="58:63" ht="14.1" customHeight="1"/>
    <row r="438" spans="58:63" ht="14.1" customHeight="1"/>
    <row r="439" spans="58:63" ht="14.1" customHeight="1"/>
    <row r="440" spans="58:63" ht="14.1" customHeight="1"/>
    <row r="441" spans="58:63" ht="14.1" customHeight="1"/>
    <row r="442" spans="58:63" ht="14.1" customHeight="1"/>
    <row r="443" spans="58:63" ht="14.1" customHeight="1"/>
    <row r="444" spans="58:63" ht="14.1" customHeight="1"/>
    <row r="445" spans="58:63" ht="14.1" customHeight="1"/>
    <row r="446" spans="58:63" ht="14.1" customHeight="1"/>
    <row r="447" spans="58:63" ht="14.1" customHeight="1"/>
    <row r="448" spans="58:63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</sheetData>
  <mergeCells count="5">
    <mergeCell ref="BJ129:BK129"/>
    <mergeCell ref="BC137:BD137"/>
    <mergeCell ref="BA137:BB137"/>
    <mergeCell ref="BF129:BG129"/>
    <mergeCell ref="BH129:BI129"/>
  </mergeCells>
  <phoneticPr fontId="61" type="noConversion"/>
  <printOptions verticalCentered="1"/>
  <pageMargins left="0" right="0" top="0" bottom="0" header="0.5" footer="0.5"/>
  <pageSetup scale="15" orientation="landscape" useFirstPageNumber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Report</vt:lpstr>
      <vt:lpstr>RHO_DRIFT</vt:lpstr>
      <vt:lpstr>A_FX</vt:lpstr>
      <vt:lpstr>A_Rho</vt:lpstr>
      <vt:lpstr>current_date</vt:lpstr>
      <vt:lpstr>current_month</vt:lpstr>
      <vt:lpstr>current_month2</vt:lpstr>
      <vt:lpstr>dpr_date</vt:lpstr>
      <vt:lpstr>old_date</vt:lpstr>
      <vt:lpstr>old_month</vt:lpstr>
      <vt:lpstr>Report!Print_Area</vt:lpstr>
      <vt:lpstr>RHO_DRIFT!Print_Area</vt:lpstr>
      <vt:lpstr>Report!Print_Titles</vt:lpstr>
      <vt:lpstr>prior_date</vt:lpstr>
      <vt:lpstr>report</vt:lpstr>
      <vt:lpstr>TIME_EMERGING</vt:lpstr>
      <vt:lpstr>TIME_GAS</vt:lpstr>
      <vt:lpstr>TIME_GLOBAL</vt:lpstr>
      <vt:lpstr>TIME_INTEREST</vt:lpstr>
      <vt:lpstr>TIME_POWER</vt:lpstr>
      <vt:lpstr>TIME_SC</vt:lpstr>
      <vt:lpstr>TIME_SINGAPORE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mbenien</dc:creator>
  <cp:lastModifiedBy>Havlíček Jan</cp:lastModifiedBy>
  <cp:lastPrinted>2001-09-05T17:48:29Z</cp:lastPrinted>
  <dcterms:created xsi:type="dcterms:W3CDTF">2000-05-01T18:21:21Z</dcterms:created>
  <dcterms:modified xsi:type="dcterms:W3CDTF">2023-09-10T11:03:58Z</dcterms:modified>
</cp:coreProperties>
</file>