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 firstSheet="14" activeTab="19"/>
  </bookViews>
  <sheets>
    <sheet name="2000 and 2001 Summary" sheetId="53" r:id="rId1"/>
    <sheet name="Jan 2000" sheetId="32" r:id="rId2"/>
    <sheet name="Feb 2000" sheetId="33" r:id="rId3"/>
    <sheet name="Mar 2000" sheetId="34" r:id="rId4"/>
    <sheet name="Apr 2000" sheetId="35" r:id="rId5"/>
    <sheet name="May 2000" sheetId="36" r:id="rId6"/>
    <sheet name="June 2000" sheetId="37" r:id="rId7"/>
    <sheet name="July 2000" sheetId="38" r:id="rId8"/>
    <sheet name="Aug 2000" sheetId="39" r:id="rId9"/>
    <sheet name="Sept 2000" sheetId="40" r:id="rId10"/>
    <sheet name="Oct 2000" sheetId="41" r:id="rId11"/>
    <sheet name="Nov 2000" sheetId="42" r:id="rId12"/>
    <sheet name="Dec 2000" sheetId="43" r:id="rId13"/>
    <sheet name="Jan 2001" sheetId="44" r:id="rId14"/>
    <sheet name="Feb 2001" sheetId="45" r:id="rId15"/>
    <sheet name="Mar 2001" sheetId="46" r:id="rId16"/>
    <sheet name="Apr 2001" sheetId="47" r:id="rId17"/>
    <sheet name="May 2001" sheetId="48" r:id="rId18"/>
    <sheet name="June 2001" sheetId="49" r:id="rId19"/>
    <sheet name="July 2001" sheetId="50" r:id="rId20"/>
    <sheet name="Sheet2" sheetId="2" r:id="rId21"/>
    <sheet name="Sheet3" sheetId="3" r:id="rId22"/>
  </sheets>
  <calcPr calcId="92512"/>
</workbook>
</file>

<file path=xl/calcChain.xml><?xml version="1.0" encoding="utf-8"?>
<calcChain xmlns="http://schemas.openxmlformats.org/spreadsheetml/2006/main">
  <c r="C6" i="53" l="1"/>
  <c r="B7" i="53"/>
  <c r="C8" i="53"/>
  <c r="C9" i="53"/>
  <c r="C10" i="53"/>
  <c r="B11" i="53"/>
  <c r="B12" i="53"/>
  <c r="B13" i="53"/>
  <c r="C14" i="53"/>
  <c r="C15" i="53"/>
  <c r="B16" i="53"/>
  <c r="B17" i="53"/>
  <c r="B19" i="53"/>
  <c r="C19" i="53"/>
  <c r="B21" i="53"/>
  <c r="B22" i="53"/>
  <c r="B23" i="53"/>
  <c r="B24" i="53"/>
  <c r="B25" i="53"/>
  <c r="B26" i="53"/>
  <c r="B27" i="53"/>
  <c r="B29" i="53"/>
  <c r="B31" i="53"/>
  <c r="C32" i="53"/>
  <c r="B34" i="53"/>
  <c r="B39" i="53"/>
  <c r="K8" i="35"/>
  <c r="J9" i="35"/>
  <c r="E11" i="35"/>
  <c r="H11" i="35"/>
  <c r="K11" i="35"/>
  <c r="E13" i="35"/>
  <c r="H13" i="35"/>
  <c r="K13" i="35"/>
  <c r="E16" i="35"/>
  <c r="H16" i="35"/>
  <c r="K16" i="35"/>
  <c r="E18" i="35"/>
  <c r="H18" i="35"/>
  <c r="K18" i="35"/>
  <c r="E20" i="35"/>
  <c r="H20" i="35"/>
  <c r="K20" i="35"/>
  <c r="K23" i="35"/>
  <c r="E26" i="35"/>
  <c r="H26" i="35"/>
  <c r="K26" i="35"/>
  <c r="E28" i="35"/>
  <c r="H28" i="35"/>
  <c r="K28" i="35"/>
  <c r="J30" i="35"/>
  <c r="E31" i="35"/>
  <c r="H31" i="35"/>
  <c r="K31" i="35"/>
  <c r="E33" i="35"/>
  <c r="H33" i="35"/>
  <c r="K33" i="35"/>
  <c r="E35" i="35"/>
  <c r="H35" i="35"/>
  <c r="K35" i="35"/>
  <c r="E37" i="35"/>
  <c r="H37" i="35"/>
  <c r="K37" i="35"/>
  <c r="K39" i="35"/>
  <c r="E41" i="35"/>
  <c r="H41" i="35"/>
  <c r="K41" i="35"/>
  <c r="D43" i="35"/>
  <c r="F43" i="35"/>
  <c r="D44" i="35"/>
  <c r="E44" i="35"/>
  <c r="F44" i="35"/>
  <c r="E45" i="35"/>
  <c r="K45" i="35"/>
  <c r="E46" i="35"/>
  <c r="H46" i="35"/>
  <c r="K46" i="35"/>
  <c r="E50" i="35"/>
  <c r="K8" i="47"/>
  <c r="J9" i="47"/>
  <c r="E11" i="47"/>
  <c r="H11" i="47"/>
  <c r="K11" i="47"/>
  <c r="E13" i="47"/>
  <c r="H13" i="47"/>
  <c r="K13" i="47"/>
  <c r="E16" i="47"/>
  <c r="H16" i="47"/>
  <c r="K16" i="47"/>
  <c r="E18" i="47"/>
  <c r="H18" i="47"/>
  <c r="K18" i="47"/>
  <c r="E20" i="47"/>
  <c r="H20" i="47"/>
  <c r="K20" i="47"/>
  <c r="K23" i="47"/>
  <c r="E26" i="47"/>
  <c r="H26" i="47"/>
  <c r="K26" i="47"/>
  <c r="E28" i="47"/>
  <c r="H28" i="47"/>
  <c r="K28" i="47"/>
  <c r="J30" i="47"/>
  <c r="E31" i="47"/>
  <c r="H31" i="47"/>
  <c r="K31" i="47"/>
  <c r="E33" i="47"/>
  <c r="H33" i="47"/>
  <c r="K33" i="47"/>
  <c r="E35" i="47"/>
  <c r="H35" i="47"/>
  <c r="K35" i="47"/>
  <c r="E37" i="47"/>
  <c r="H37" i="47"/>
  <c r="K37" i="47"/>
  <c r="H39" i="47"/>
  <c r="K39" i="47"/>
  <c r="E41" i="47"/>
  <c r="H41" i="47"/>
  <c r="K41" i="47"/>
  <c r="D43" i="47"/>
  <c r="E43" i="47"/>
  <c r="F43" i="47"/>
  <c r="D44" i="47"/>
  <c r="E44" i="47"/>
  <c r="F44" i="47"/>
  <c r="E45" i="47"/>
  <c r="K45" i="47"/>
  <c r="E46" i="47"/>
  <c r="H46" i="47"/>
  <c r="K46" i="47"/>
  <c r="E50" i="47"/>
  <c r="K8" i="39"/>
  <c r="J9" i="39"/>
  <c r="E11" i="39"/>
  <c r="H11" i="39"/>
  <c r="K11" i="39"/>
  <c r="E13" i="39"/>
  <c r="H13" i="39"/>
  <c r="K13" i="39"/>
  <c r="E16" i="39"/>
  <c r="H16" i="39"/>
  <c r="K16" i="39"/>
  <c r="E18" i="39"/>
  <c r="H18" i="39"/>
  <c r="K18" i="39"/>
  <c r="E20" i="39"/>
  <c r="H20" i="39"/>
  <c r="K20" i="39"/>
  <c r="K23" i="39"/>
  <c r="E26" i="39"/>
  <c r="H26" i="39"/>
  <c r="K26" i="39"/>
  <c r="E28" i="39"/>
  <c r="H28" i="39"/>
  <c r="K28" i="39"/>
  <c r="J30" i="39"/>
  <c r="E31" i="39"/>
  <c r="H31" i="39"/>
  <c r="K31" i="39"/>
  <c r="E33" i="39"/>
  <c r="H33" i="39"/>
  <c r="K33" i="39"/>
  <c r="E35" i="39"/>
  <c r="H35" i="39"/>
  <c r="K35" i="39"/>
  <c r="E37" i="39"/>
  <c r="H37" i="39"/>
  <c r="K37" i="39"/>
  <c r="K39" i="39"/>
  <c r="E41" i="39"/>
  <c r="H41" i="39"/>
  <c r="K41" i="39"/>
  <c r="D43" i="39"/>
  <c r="F43" i="39"/>
  <c r="D44" i="39"/>
  <c r="E44" i="39"/>
  <c r="F44" i="39"/>
  <c r="E45" i="39"/>
  <c r="K45" i="39"/>
  <c r="E46" i="39"/>
  <c r="H46" i="39"/>
  <c r="K46" i="39"/>
  <c r="E50" i="39"/>
  <c r="K8" i="43"/>
  <c r="J9" i="43"/>
  <c r="E11" i="43"/>
  <c r="H11" i="43"/>
  <c r="K11" i="43"/>
  <c r="E13" i="43"/>
  <c r="H13" i="43"/>
  <c r="K13" i="43"/>
  <c r="E16" i="43"/>
  <c r="H16" i="43"/>
  <c r="K16" i="43"/>
  <c r="E18" i="43"/>
  <c r="H18" i="43"/>
  <c r="K18" i="43"/>
  <c r="E20" i="43"/>
  <c r="H20" i="43"/>
  <c r="K20" i="43"/>
  <c r="K23" i="43"/>
  <c r="E26" i="43"/>
  <c r="H26" i="43"/>
  <c r="K26" i="43"/>
  <c r="E28" i="43"/>
  <c r="H28" i="43"/>
  <c r="K28" i="43"/>
  <c r="J30" i="43"/>
  <c r="E31" i="43"/>
  <c r="H31" i="43"/>
  <c r="K31" i="43"/>
  <c r="E33" i="43"/>
  <c r="H33" i="43"/>
  <c r="K33" i="43"/>
  <c r="E35" i="43"/>
  <c r="H35" i="43"/>
  <c r="K35" i="43"/>
  <c r="E37" i="43"/>
  <c r="H37" i="43"/>
  <c r="K37" i="43"/>
  <c r="K39" i="43"/>
  <c r="E41" i="43"/>
  <c r="H41" i="43"/>
  <c r="K41" i="43"/>
  <c r="D43" i="43"/>
  <c r="F43" i="43"/>
  <c r="D44" i="43"/>
  <c r="E44" i="43"/>
  <c r="F44" i="43"/>
  <c r="E45" i="43"/>
  <c r="K45" i="43"/>
  <c r="E46" i="43"/>
  <c r="H46" i="43"/>
  <c r="K46" i="43"/>
  <c r="E50" i="43"/>
  <c r="K8" i="33"/>
  <c r="J9" i="33"/>
  <c r="E11" i="33"/>
  <c r="H11" i="33"/>
  <c r="K11" i="33"/>
  <c r="E13" i="33"/>
  <c r="H13" i="33"/>
  <c r="K13" i="33"/>
  <c r="E16" i="33"/>
  <c r="H16" i="33"/>
  <c r="K16" i="33"/>
  <c r="E18" i="33"/>
  <c r="H18" i="33"/>
  <c r="K18" i="33"/>
  <c r="E20" i="33"/>
  <c r="H20" i="33"/>
  <c r="K20" i="33"/>
  <c r="K23" i="33"/>
  <c r="E26" i="33"/>
  <c r="H26" i="33"/>
  <c r="K26" i="33"/>
  <c r="E28" i="33"/>
  <c r="H28" i="33"/>
  <c r="K28" i="33"/>
  <c r="J30" i="33"/>
  <c r="E31" i="33"/>
  <c r="H31" i="33"/>
  <c r="K31" i="33"/>
  <c r="E33" i="33"/>
  <c r="H33" i="33"/>
  <c r="K33" i="33"/>
  <c r="E35" i="33"/>
  <c r="H35" i="33"/>
  <c r="K35" i="33"/>
  <c r="E37" i="33"/>
  <c r="H37" i="33"/>
  <c r="K37" i="33"/>
  <c r="K39" i="33"/>
  <c r="E41" i="33"/>
  <c r="H41" i="33"/>
  <c r="K41" i="33"/>
  <c r="D43" i="33"/>
  <c r="F43" i="33"/>
  <c r="D44" i="33"/>
  <c r="E44" i="33"/>
  <c r="F44" i="33"/>
  <c r="E45" i="33"/>
  <c r="K45" i="33"/>
  <c r="E46" i="33"/>
  <c r="H46" i="33"/>
  <c r="K46" i="33"/>
  <c r="E50" i="33"/>
  <c r="K8" i="45"/>
  <c r="J9" i="45"/>
  <c r="E11" i="45"/>
  <c r="H11" i="45"/>
  <c r="K11" i="45"/>
  <c r="E13" i="45"/>
  <c r="H13" i="45"/>
  <c r="K13" i="45"/>
  <c r="E16" i="45"/>
  <c r="H16" i="45"/>
  <c r="K16" i="45"/>
  <c r="E18" i="45"/>
  <c r="H18" i="45"/>
  <c r="K18" i="45"/>
  <c r="E20" i="45"/>
  <c r="H20" i="45"/>
  <c r="K20" i="45"/>
  <c r="K23" i="45"/>
  <c r="E26" i="45"/>
  <c r="H26" i="45"/>
  <c r="K26" i="45"/>
  <c r="E28" i="45"/>
  <c r="H28" i="45"/>
  <c r="K28" i="45"/>
  <c r="J30" i="45"/>
  <c r="E31" i="45"/>
  <c r="H31" i="45"/>
  <c r="K31" i="45"/>
  <c r="E33" i="45"/>
  <c r="H33" i="45"/>
  <c r="K33" i="45"/>
  <c r="E35" i="45"/>
  <c r="H35" i="45"/>
  <c r="K35" i="45"/>
  <c r="E37" i="45"/>
  <c r="H37" i="45"/>
  <c r="K37" i="45"/>
  <c r="H39" i="45"/>
  <c r="K39" i="45"/>
  <c r="E41" i="45"/>
  <c r="H41" i="45"/>
  <c r="K41" i="45"/>
  <c r="D43" i="45"/>
  <c r="F43" i="45"/>
  <c r="D44" i="45"/>
  <c r="E44" i="45"/>
  <c r="F44" i="45"/>
  <c r="E45" i="45"/>
  <c r="K45" i="45"/>
  <c r="E46" i="45"/>
  <c r="H46" i="45"/>
  <c r="K46" i="45"/>
  <c r="E50" i="45"/>
  <c r="K8" i="32"/>
  <c r="J9" i="32"/>
  <c r="E11" i="32"/>
  <c r="H11" i="32"/>
  <c r="K11" i="32"/>
  <c r="E13" i="32"/>
  <c r="H13" i="32"/>
  <c r="K13" i="32"/>
  <c r="E16" i="32"/>
  <c r="H16" i="32"/>
  <c r="K16" i="32"/>
  <c r="E18" i="32"/>
  <c r="H18" i="32"/>
  <c r="K18" i="32"/>
  <c r="E20" i="32"/>
  <c r="H20" i="32"/>
  <c r="K20" i="32"/>
  <c r="K23" i="32"/>
  <c r="E26" i="32"/>
  <c r="H26" i="32"/>
  <c r="K26" i="32"/>
  <c r="E28" i="32"/>
  <c r="H28" i="32"/>
  <c r="K28" i="32"/>
  <c r="D30" i="32"/>
  <c r="J30" i="32"/>
  <c r="E31" i="32"/>
  <c r="H31" i="32"/>
  <c r="K31" i="32"/>
  <c r="E33" i="32"/>
  <c r="H33" i="32"/>
  <c r="K33" i="32"/>
  <c r="E35" i="32"/>
  <c r="H35" i="32"/>
  <c r="K35" i="32"/>
  <c r="E37" i="32"/>
  <c r="H37" i="32"/>
  <c r="K37" i="32"/>
  <c r="K39" i="32"/>
  <c r="E41" i="32"/>
  <c r="H41" i="32"/>
  <c r="K41" i="32"/>
  <c r="D43" i="32"/>
  <c r="E43" i="32"/>
  <c r="F43" i="32"/>
  <c r="D44" i="32"/>
  <c r="E44" i="32"/>
  <c r="F44" i="32"/>
  <c r="E45" i="32"/>
  <c r="K45" i="32"/>
  <c r="E46" i="32"/>
  <c r="H46" i="32"/>
  <c r="K46" i="32"/>
  <c r="E50" i="32"/>
  <c r="K8" i="44"/>
  <c r="J9" i="44"/>
  <c r="E11" i="44"/>
  <c r="H11" i="44"/>
  <c r="K11" i="44"/>
  <c r="E13" i="44"/>
  <c r="H13" i="44"/>
  <c r="K13" i="44"/>
  <c r="E16" i="44"/>
  <c r="H16" i="44"/>
  <c r="K16" i="44"/>
  <c r="E18" i="44"/>
  <c r="H18" i="44"/>
  <c r="K18" i="44"/>
  <c r="E20" i="44"/>
  <c r="H20" i="44"/>
  <c r="K20" i="44"/>
  <c r="E23" i="44"/>
  <c r="K23" i="44"/>
  <c r="E26" i="44"/>
  <c r="H26" i="44"/>
  <c r="K26" i="44"/>
  <c r="E28" i="44"/>
  <c r="H28" i="44"/>
  <c r="K28" i="44"/>
  <c r="J30" i="44"/>
  <c r="E31" i="44"/>
  <c r="H31" i="44"/>
  <c r="K31" i="44"/>
  <c r="E33" i="44"/>
  <c r="H33" i="44"/>
  <c r="K33" i="44"/>
  <c r="E35" i="44"/>
  <c r="H35" i="44"/>
  <c r="K35" i="44"/>
  <c r="E37" i="44"/>
  <c r="H37" i="44"/>
  <c r="K37" i="44"/>
  <c r="H39" i="44"/>
  <c r="K39" i="44"/>
  <c r="E41" i="44"/>
  <c r="H41" i="44"/>
  <c r="K41" i="44"/>
  <c r="D43" i="44"/>
  <c r="F43" i="44"/>
  <c r="D44" i="44"/>
  <c r="E44" i="44"/>
  <c r="F44" i="44"/>
  <c r="E45" i="44"/>
  <c r="K45" i="44"/>
  <c r="E46" i="44"/>
  <c r="H46" i="44"/>
  <c r="K46" i="44"/>
  <c r="E50" i="44"/>
  <c r="K8" i="38"/>
  <c r="J9" i="38"/>
  <c r="E11" i="38"/>
  <c r="H11" i="38"/>
  <c r="K11" i="38"/>
  <c r="E13" i="38"/>
  <c r="H13" i="38"/>
  <c r="K13" i="38"/>
  <c r="E16" i="38"/>
  <c r="H16" i="38"/>
  <c r="K16" i="38"/>
  <c r="E18" i="38"/>
  <c r="H18" i="38"/>
  <c r="K18" i="38"/>
  <c r="E20" i="38"/>
  <c r="H20" i="38"/>
  <c r="K20" i="38"/>
  <c r="K23" i="38"/>
  <c r="E26" i="38"/>
  <c r="H26" i="38"/>
  <c r="K26" i="38"/>
  <c r="E28" i="38"/>
  <c r="H28" i="38"/>
  <c r="K28" i="38"/>
  <c r="J30" i="38"/>
  <c r="E31" i="38"/>
  <c r="H31" i="38"/>
  <c r="K31" i="38"/>
  <c r="E33" i="38"/>
  <c r="H33" i="38"/>
  <c r="K33" i="38"/>
  <c r="E35" i="38"/>
  <c r="H35" i="38"/>
  <c r="K35" i="38"/>
  <c r="E37" i="38"/>
  <c r="H37" i="38"/>
  <c r="K37" i="38"/>
  <c r="K39" i="38"/>
  <c r="E41" i="38"/>
  <c r="H41" i="38"/>
  <c r="K41" i="38"/>
  <c r="D43" i="38"/>
  <c r="F43" i="38"/>
  <c r="D44" i="38"/>
  <c r="E44" i="38"/>
  <c r="F44" i="38"/>
  <c r="E45" i="38"/>
  <c r="K45" i="38"/>
  <c r="E46" i="38"/>
  <c r="H46" i="38"/>
  <c r="K46" i="38"/>
  <c r="E50" i="38"/>
  <c r="K8" i="50"/>
  <c r="J9" i="50"/>
  <c r="E11" i="50"/>
  <c r="H11" i="50"/>
  <c r="K11" i="50"/>
  <c r="E13" i="50"/>
  <c r="H13" i="50"/>
  <c r="K13" i="50"/>
  <c r="E16" i="50"/>
  <c r="H16" i="50"/>
  <c r="K16" i="50"/>
  <c r="E18" i="50"/>
  <c r="H18" i="50"/>
  <c r="K18" i="50"/>
  <c r="E20" i="50"/>
  <c r="H20" i="50"/>
  <c r="K20" i="50"/>
  <c r="K23" i="50"/>
  <c r="E26" i="50"/>
  <c r="H26" i="50"/>
  <c r="K26" i="50"/>
  <c r="E28" i="50"/>
  <c r="H28" i="50"/>
  <c r="K28" i="50"/>
  <c r="J30" i="50"/>
  <c r="E31" i="50"/>
  <c r="H31" i="50"/>
  <c r="K31" i="50"/>
  <c r="E33" i="50"/>
  <c r="H33" i="50"/>
  <c r="K33" i="50"/>
  <c r="E35" i="50"/>
  <c r="H35" i="50"/>
  <c r="K35" i="50"/>
  <c r="E37" i="50"/>
  <c r="H37" i="50"/>
  <c r="K37" i="50"/>
  <c r="H39" i="50"/>
  <c r="K39" i="50"/>
  <c r="E41" i="50"/>
  <c r="H41" i="50"/>
  <c r="K41" i="50"/>
  <c r="D43" i="50"/>
  <c r="F43" i="50"/>
  <c r="D44" i="50"/>
  <c r="F44" i="50"/>
  <c r="E45" i="50"/>
  <c r="K45" i="50"/>
  <c r="E46" i="50"/>
  <c r="H46" i="50"/>
  <c r="K46" i="50"/>
  <c r="E50" i="50"/>
  <c r="K8" i="37"/>
  <c r="J9" i="37"/>
  <c r="E11" i="37"/>
  <c r="H11" i="37"/>
  <c r="K11" i="37"/>
  <c r="E13" i="37"/>
  <c r="H13" i="37"/>
  <c r="K13" i="37"/>
  <c r="E16" i="37"/>
  <c r="H16" i="37"/>
  <c r="K16" i="37"/>
  <c r="E18" i="37"/>
  <c r="H18" i="37"/>
  <c r="K18" i="37"/>
  <c r="E20" i="37"/>
  <c r="H20" i="37"/>
  <c r="K20" i="37"/>
  <c r="K23" i="37"/>
  <c r="E26" i="37"/>
  <c r="H26" i="37"/>
  <c r="K26" i="37"/>
  <c r="E28" i="37"/>
  <c r="H28" i="37"/>
  <c r="K28" i="37"/>
  <c r="J30" i="37"/>
  <c r="E31" i="37"/>
  <c r="H31" i="37"/>
  <c r="K31" i="37"/>
  <c r="E33" i="37"/>
  <c r="H33" i="37"/>
  <c r="K33" i="37"/>
  <c r="E35" i="37"/>
  <c r="H35" i="37"/>
  <c r="K35" i="37"/>
  <c r="E37" i="37"/>
  <c r="H37" i="37"/>
  <c r="K37" i="37"/>
  <c r="K39" i="37"/>
  <c r="E41" i="37"/>
  <c r="H41" i="37"/>
  <c r="K41" i="37"/>
  <c r="D43" i="37"/>
  <c r="F43" i="37"/>
  <c r="D44" i="37"/>
  <c r="E44" i="37"/>
  <c r="F44" i="37"/>
  <c r="E45" i="37"/>
  <c r="K45" i="37"/>
  <c r="E46" i="37"/>
  <c r="H46" i="37"/>
  <c r="K46" i="37"/>
  <c r="E50" i="37"/>
  <c r="K8" i="49"/>
  <c r="J9" i="49"/>
  <c r="E11" i="49"/>
  <c r="H11" i="49"/>
  <c r="K11" i="49"/>
  <c r="E13" i="49"/>
  <c r="H13" i="49"/>
  <c r="K13" i="49"/>
  <c r="E16" i="49"/>
  <c r="H16" i="49"/>
  <c r="K16" i="49"/>
  <c r="E18" i="49"/>
  <c r="H18" i="49"/>
  <c r="K18" i="49"/>
  <c r="E20" i="49"/>
  <c r="H20" i="49"/>
  <c r="K20" i="49"/>
  <c r="K23" i="49"/>
  <c r="E26" i="49"/>
  <c r="H26" i="49"/>
  <c r="K26" i="49"/>
  <c r="E28" i="49"/>
  <c r="H28" i="49"/>
  <c r="K28" i="49"/>
  <c r="J30" i="49"/>
  <c r="E31" i="49"/>
  <c r="H31" i="49"/>
  <c r="K31" i="49"/>
  <c r="E33" i="49"/>
  <c r="H33" i="49"/>
  <c r="K33" i="49"/>
  <c r="E35" i="49"/>
  <c r="H35" i="49"/>
  <c r="K35" i="49"/>
  <c r="E37" i="49"/>
  <c r="H37" i="49"/>
  <c r="K37" i="49"/>
  <c r="H39" i="49"/>
  <c r="K39" i="49"/>
  <c r="E41" i="49"/>
  <c r="H41" i="49"/>
  <c r="K41" i="49"/>
  <c r="D43" i="49"/>
  <c r="F43" i="49"/>
  <c r="D44" i="49"/>
  <c r="E44" i="49"/>
  <c r="F44" i="49"/>
  <c r="E45" i="49"/>
  <c r="K45" i="49"/>
  <c r="E46" i="49"/>
  <c r="H46" i="49"/>
  <c r="K46" i="49"/>
  <c r="E50" i="49"/>
  <c r="K8" i="34"/>
  <c r="J9" i="34"/>
  <c r="E11" i="34"/>
  <c r="H11" i="34"/>
  <c r="K11" i="34"/>
  <c r="E13" i="34"/>
  <c r="H13" i="34"/>
  <c r="K13" i="34"/>
  <c r="E16" i="34"/>
  <c r="H16" i="34"/>
  <c r="K16" i="34"/>
  <c r="E18" i="34"/>
  <c r="H18" i="34"/>
  <c r="K18" i="34"/>
  <c r="E20" i="34"/>
  <c r="H20" i="34"/>
  <c r="K20" i="34"/>
  <c r="K23" i="34"/>
  <c r="E26" i="34"/>
  <c r="H26" i="34"/>
  <c r="K26" i="34"/>
  <c r="E28" i="34"/>
  <c r="H28" i="34"/>
  <c r="K28" i="34"/>
  <c r="J30" i="34"/>
  <c r="E31" i="34"/>
  <c r="H31" i="34"/>
  <c r="K31" i="34"/>
  <c r="E33" i="34"/>
  <c r="H33" i="34"/>
  <c r="K33" i="34"/>
  <c r="E35" i="34"/>
  <c r="H35" i="34"/>
  <c r="K35" i="34"/>
  <c r="E37" i="34"/>
  <c r="H37" i="34"/>
  <c r="K37" i="34"/>
  <c r="K39" i="34"/>
  <c r="E41" i="34"/>
  <c r="H41" i="34"/>
  <c r="K41" i="34"/>
  <c r="D43" i="34"/>
  <c r="F43" i="34"/>
  <c r="D44" i="34"/>
  <c r="E44" i="34"/>
  <c r="F44" i="34"/>
  <c r="E45" i="34"/>
  <c r="K45" i="34"/>
  <c r="E46" i="34"/>
  <c r="H46" i="34"/>
  <c r="K46" i="34"/>
  <c r="E50" i="34"/>
  <c r="K8" i="46"/>
  <c r="J9" i="46"/>
  <c r="E11" i="46"/>
  <c r="H11" i="46"/>
  <c r="K11" i="46"/>
  <c r="E13" i="46"/>
  <c r="H13" i="46"/>
  <c r="K13" i="46"/>
  <c r="E16" i="46"/>
  <c r="H16" i="46"/>
  <c r="K16" i="46"/>
  <c r="E18" i="46"/>
  <c r="H18" i="46"/>
  <c r="K18" i="46"/>
  <c r="E20" i="46"/>
  <c r="H20" i="46"/>
  <c r="K20" i="46"/>
  <c r="K23" i="46"/>
  <c r="E26" i="46"/>
  <c r="H26" i="46"/>
  <c r="K26" i="46"/>
  <c r="E28" i="46"/>
  <c r="H28" i="46"/>
  <c r="K28" i="46"/>
  <c r="J30" i="46"/>
  <c r="E31" i="46"/>
  <c r="H31" i="46"/>
  <c r="K31" i="46"/>
  <c r="E33" i="46"/>
  <c r="H33" i="46"/>
  <c r="K33" i="46"/>
  <c r="E35" i="46"/>
  <c r="H35" i="46"/>
  <c r="K35" i="46"/>
  <c r="E37" i="46"/>
  <c r="H37" i="46"/>
  <c r="K37" i="46"/>
  <c r="H39" i="46"/>
  <c r="K39" i="46"/>
  <c r="E41" i="46"/>
  <c r="H41" i="46"/>
  <c r="K41" i="46"/>
  <c r="D43" i="46"/>
  <c r="F43" i="46"/>
  <c r="D44" i="46"/>
  <c r="E44" i="46"/>
  <c r="F44" i="46"/>
  <c r="E45" i="46"/>
  <c r="K45" i="46"/>
  <c r="E46" i="46"/>
  <c r="H46" i="46"/>
  <c r="K46" i="46"/>
  <c r="E50" i="46"/>
  <c r="K8" i="36"/>
  <c r="J9" i="36"/>
  <c r="E11" i="36"/>
  <c r="H11" i="36"/>
  <c r="K11" i="36"/>
  <c r="E13" i="36"/>
  <c r="H13" i="36"/>
  <c r="K13" i="36"/>
  <c r="E16" i="36"/>
  <c r="H16" i="36"/>
  <c r="K16" i="36"/>
  <c r="E18" i="36"/>
  <c r="H18" i="36"/>
  <c r="K18" i="36"/>
  <c r="E20" i="36"/>
  <c r="H20" i="36"/>
  <c r="K20" i="36"/>
  <c r="K23" i="36"/>
  <c r="E26" i="36"/>
  <c r="H26" i="36"/>
  <c r="K26" i="36"/>
  <c r="E28" i="36"/>
  <c r="H28" i="36"/>
  <c r="K28" i="36"/>
  <c r="J30" i="36"/>
  <c r="E31" i="36"/>
  <c r="H31" i="36"/>
  <c r="K31" i="36"/>
  <c r="E33" i="36"/>
  <c r="H33" i="36"/>
  <c r="K33" i="36"/>
  <c r="E35" i="36"/>
  <c r="H35" i="36"/>
  <c r="K35" i="36"/>
  <c r="E37" i="36"/>
  <c r="H37" i="36"/>
  <c r="K37" i="36"/>
  <c r="K39" i="36"/>
  <c r="E41" i="36"/>
  <c r="H41" i="36"/>
  <c r="K41" i="36"/>
  <c r="D43" i="36"/>
  <c r="F43" i="36"/>
  <c r="D44" i="36"/>
  <c r="E44" i="36"/>
  <c r="F44" i="36"/>
  <c r="E45" i="36"/>
  <c r="K45" i="36"/>
  <c r="E46" i="36"/>
  <c r="H46" i="36"/>
  <c r="K46" i="36"/>
  <c r="E50" i="36"/>
  <c r="K8" i="48"/>
  <c r="J9" i="48"/>
  <c r="E11" i="48"/>
  <c r="H11" i="48"/>
  <c r="K11" i="48"/>
  <c r="E13" i="48"/>
  <c r="H13" i="48"/>
  <c r="K13" i="48"/>
  <c r="E16" i="48"/>
  <c r="H16" i="48"/>
  <c r="K16" i="48"/>
  <c r="E18" i="48"/>
  <c r="H18" i="48"/>
  <c r="K18" i="48"/>
  <c r="E20" i="48"/>
  <c r="H20" i="48"/>
  <c r="K20" i="48"/>
  <c r="K23" i="48"/>
  <c r="E26" i="48"/>
  <c r="H26" i="48"/>
  <c r="K26" i="48"/>
  <c r="E28" i="48"/>
  <c r="H28" i="48"/>
  <c r="K28" i="48"/>
  <c r="J30" i="48"/>
  <c r="E31" i="48"/>
  <c r="H31" i="48"/>
  <c r="K31" i="48"/>
  <c r="E33" i="48"/>
  <c r="H33" i="48"/>
  <c r="K33" i="48"/>
  <c r="E35" i="48"/>
  <c r="H35" i="48"/>
  <c r="K35" i="48"/>
  <c r="E37" i="48"/>
  <c r="H37" i="48"/>
  <c r="K37" i="48"/>
  <c r="H39" i="48"/>
  <c r="K39" i="48"/>
  <c r="E41" i="48"/>
  <c r="H41" i="48"/>
  <c r="K41" i="48"/>
  <c r="D43" i="48"/>
  <c r="F43" i="48"/>
  <c r="D44" i="48"/>
  <c r="E44" i="48"/>
  <c r="F44" i="48"/>
  <c r="E45" i="48"/>
  <c r="K45" i="48"/>
  <c r="E46" i="48"/>
  <c r="H46" i="48"/>
  <c r="K46" i="48"/>
  <c r="E50" i="48"/>
  <c r="K8" i="42"/>
  <c r="J9" i="42"/>
  <c r="E11" i="42"/>
  <c r="H11" i="42"/>
  <c r="K11" i="42"/>
  <c r="E13" i="42"/>
  <c r="H13" i="42"/>
  <c r="K13" i="42"/>
  <c r="E16" i="42"/>
  <c r="H16" i="42"/>
  <c r="K16" i="42"/>
  <c r="E18" i="42"/>
  <c r="H18" i="42"/>
  <c r="K18" i="42"/>
  <c r="E20" i="42"/>
  <c r="H20" i="42"/>
  <c r="K20" i="42"/>
  <c r="K23" i="42"/>
  <c r="E26" i="42"/>
  <c r="H26" i="42"/>
  <c r="K26" i="42"/>
  <c r="E28" i="42"/>
  <c r="H28" i="42"/>
  <c r="K28" i="42"/>
  <c r="J30" i="42"/>
  <c r="E31" i="42"/>
  <c r="H31" i="42"/>
  <c r="K31" i="42"/>
  <c r="E33" i="42"/>
  <c r="H33" i="42"/>
  <c r="K33" i="42"/>
  <c r="E35" i="42"/>
  <c r="H35" i="42"/>
  <c r="K35" i="42"/>
  <c r="E37" i="42"/>
  <c r="H37" i="42"/>
  <c r="K37" i="42"/>
  <c r="H39" i="42"/>
  <c r="K39" i="42"/>
  <c r="E41" i="42"/>
  <c r="H41" i="42"/>
  <c r="K41" i="42"/>
  <c r="D43" i="42"/>
  <c r="E43" i="42"/>
  <c r="F43" i="42"/>
  <c r="D44" i="42"/>
  <c r="E44" i="42"/>
  <c r="F44" i="42"/>
  <c r="E45" i="42"/>
  <c r="K45" i="42"/>
  <c r="E46" i="42"/>
  <c r="H46" i="42"/>
  <c r="K46" i="42"/>
  <c r="E50" i="42"/>
  <c r="K8" i="41"/>
  <c r="J9" i="41"/>
  <c r="E11" i="41"/>
  <c r="H11" i="41"/>
  <c r="K11" i="41"/>
  <c r="E13" i="41"/>
  <c r="H13" i="41"/>
  <c r="K13" i="41"/>
  <c r="E16" i="41"/>
  <c r="H16" i="41"/>
  <c r="K16" i="41"/>
  <c r="E18" i="41"/>
  <c r="H18" i="41"/>
  <c r="K18" i="41"/>
  <c r="E20" i="41"/>
  <c r="H20" i="41"/>
  <c r="K20" i="41"/>
  <c r="K23" i="41"/>
  <c r="E26" i="41"/>
  <c r="H26" i="41"/>
  <c r="K26" i="41"/>
  <c r="E28" i="41"/>
  <c r="H28" i="41"/>
  <c r="K28" i="41"/>
  <c r="J30" i="41"/>
  <c r="E31" i="41"/>
  <c r="H31" i="41"/>
  <c r="K31" i="41"/>
  <c r="E33" i="41"/>
  <c r="H33" i="41"/>
  <c r="K33" i="41"/>
  <c r="E35" i="41"/>
  <c r="H35" i="41"/>
  <c r="K35" i="41"/>
  <c r="E37" i="41"/>
  <c r="H37" i="41"/>
  <c r="K37" i="41"/>
  <c r="H39" i="41"/>
  <c r="K39" i="41"/>
  <c r="E41" i="41"/>
  <c r="H41" i="41"/>
  <c r="K41" i="41"/>
  <c r="D43" i="41"/>
  <c r="E43" i="41"/>
  <c r="F43" i="41"/>
  <c r="D44" i="41"/>
  <c r="E44" i="41"/>
  <c r="F44" i="41"/>
  <c r="E45" i="41"/>
  <c r="K45" i="41"/>
  <c r="E46" i="41"/>
  <c r="H46" i="41"/>
  <c r="K46" i="41"/>
  <c r="E50" i="41"/>
  <c r="K8" i="40"/>
  <c r="J9" i="40"/>
  <c r="E11" i="40"/>
  <c r="H11" i="40"/>
  <c r="K11" i="40"/>
  <c r="E13" i="40"/>
  <c r="H13" i="40"/>
  <c r="K13" i="40"/>
  <c r="E16" i="40"/>
  <c r="H16" i="40"/>
  <c r="K16" i="40"/>
  <c r="E18" i="40"/>
  <c r="H18" i="40"/>
  <c r="K18" i="40"/>
  <c r="E20" i="40"/>
  <c r="H20" i="40"/>
  <c r="K20" i="40"/>
  <c r="K23" i="40"/>
  <c r="E26" i="40"/>
  <c r="H26" i="40"/>
  <c r="K26" i="40"/>
  <c r="E28" i="40"/>
  <c r="H28" i="40"/>
  <c r="K28" i="40"/>
  <c r="J30" i="40"/>
  <c r="E31" i="40"/>
  <c r="H31" i="40"/>
  <c r="K31" i="40"/>
  <c r="E33" i="40"/>
  <c r="H33" i="40"/>
  <c r="K33" i="40"/>
  <c r="E35" i="40"/>
  <c r="H35" i="40"/>
  <c r="K35" i="40"/>
  <c r="E37" i="40"/>
  <c r="H37" i="40"/>
  <c r="K37" i="40"/>
  <c r="K39" i="40"/>
  <c r="E41" i="40"/>
  <c r="H41" i="40"/>
  <c r="K41" i="40"/>
  <c r="D43" i="40"/>
  <c r="F43" i="40"/>
  <c r="D44" i="40"/>
  <c r="E44" i="40"/>
  <c r="F44" i="40"/>
  <c r="E45" i="40"/>
  <c r="K45" i="40"/>
  <c r="E46" i="40"/>
  <c r="H46" i="40"/>
  <c r="K46" i="40"/>
  <c r="E50" i="40"/>
</calcChain>
</file>

<file path=xl/sharedStrings.xml><?xml version="1.0" encoding="utf-8"?>
<sst xmlns="http://schemas.openxmlformats.org/spreadsheetml/2006/main" count="696" uniqueCount="38">
  <si>
    <t>KN Processing</t>
  </si>
  <si>
    <t>Bushton Plant</t>
  </si>
  <si>
    <t>GPM Agency Agreement</t>
  </si>
  <si>
    <t>TFDV Volume &amp; Dollar Calculation</t>
  </si>
  <si>
    <t>For</t>
  </si>
  <si>
    <t>Prepared by Dan Fancler</t>
  </si>
  <si>
    <t>Contract #101021</t>
  </si>
  <si>
    <t>Total Deliveries</t>
  </si>
  <si>
    <t>Deliveries to Inlet</t>
  </si>
  <si>
    <t>Deliveries to PVR</t>
  </si>
  <si>
    <t>Non-Fuel Deliveries</t>
  </si>
  <si>
    <t>Fuel Retention</t>
  </si>
  <si>
    <t>Total Receipts</t>
  </si>
  <si>
    <t>GPM Fuel</t>
  </si>
  <si>
    <t>Less Fuel Retained</t>
  </si>
  <si>
    <t>Contract #101073</t>
  </si>
  <si>
    <t>Transport Revenue Volumes Remaining</t>
  </si>
  <si>
    <t>Total Both Contracts</t>
  </si>
  <si>
    <t>Index</t>
  </si>
  <si>
    <t>Total Revenue Due</t>
  </si>
  <si>
    <t>Total Revenue Billed</t>
  </si>
  <si>
    <t>Amount Due NNG (GPM)</t>
  </si>
  <si>
    <t>Charge given by NNG on prior reconciliation</t>
  </si>
  <si>
    <t>NNG Numbers</t>
  </si>
  <si>
    <t>Difference</t>
  </si>
  <si>
    <t>Oneok Numbers</t>
  </si>
  <si>
    <t>NNG GPM contracts 101021 and 101073 Recalculations</t>
  </si>
  <si>
    <t>Total for 2000</t>
  </si>
  <si>
    <t>Amounts</t>
  </si>
  <si>
    <t>Above 4.45%</t>
  </si>
  <si>
    <t xml:space="preserve">Amounts </t>
  </si>
  <si>
    <t>Under 4.45%</t>
  </si>
  <si>
    <t>Total for 2001</t>
  </si>
  <si>
    <t>Total due from EPPI</t>
  </si>
  <si>
    <t>Total due to NNG</t>
  </si>
  <si>
    <t>Total Payment due Oneok</t>
  </si>
  <si>
    <t>Oneok Invoice amounts</t>
  </si>
  <si>
    <t>EPPI 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</si>
</sst>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-yy"/>
    <numFmt numFmtId="169" formatCode="_(&quot;$&quot;* #,##0.0000_);_(&quot;$&quot;* \(#,##0.0000\);_(&quot;$&quot;* &quot;-&quot;??_);_(@_)"/>
    <numFmt numFmtId="171" formatCode="_(&quot;$&quot;* #,##0.00000_);_(&quot;$&quot;* \(#,##0.00000\);_(&quot;$&quot;* &quot;-&quot;??_);_(@_)"/>
  </numFmts>
  <fonts count="4" x14ac:knownFonts="1">
    <font>
      <sz val="10"/>
      <name val="Arial"/>
    </font>
    <font>
      <sz val="10"/>
      <name val="Arial"/>
    </font>
    <font>
      <u val="singleAccounting"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44" fontId="0" fillId="0" borderId="0" xfId="2" applyFont="1"/>
    <xf numFmtId="0" fontId="1" fillId="0" borderId="0" xfId="1" applyNumberFormat="1" applyFont="1"/>
    <xf numFmtId="165" fontId="1" fillId="0" borderId="0" xfId="1" applyNumberFormat="1"/>
    <xf numFmtId="165" fontId="1" fillId="0" borderId="0" xfId="1" applyNumberFormat="1" applyFont="1"/>
    <xf numFmtId="17" fontId="1" fillId="0" borderId="0" xfId="1" applyNumberFormat="1" applyFont="1"/>
    <xf numFmtId="0" fontId="1" fillId="0" borderId="0" xfId="1" applyNumberFormat="1"/>
    <xf numFmtId="10" fontId="1" fillId="0" borderId="0" xfId="3" applyNumberFormat="1"/>
    <xf numFmtId="169" fontId="1" fillId="0" borderId="0" xfId="2" applyNumberFormat="1"/>
    <xf numFmtId="44" fontId="1" fillId="0" borderId="0" xfId="2"/>
    <xf numFmtId="171" fontId="1" fillId="0" borderId="0" xfId="2" applyNumberFormat="1"/>
    <xf numFmtId="165" fontId="1" fillId="0" borderId="0" xfId="1" applyNumberFormat="1" applyFont="1" applyBorder="1"/>
    <xf numFmtId="165" fontId="1" fillId="0" borderId="0" xfId="1" applyNumberFormat="1" applyBorder="1"/>
    <xf numFmtId="44" fontId="1" fillId="0" borderId="1" xfId="2" applyBorder="1"/>
    <xf numFmtId="17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4" fontId="0" fillId="0" borderId="1" xfId="0" applyNumberFormat="1" applyBorder="1"/>
    <xf numFmtId="44" fontId="0" fillId="0" borderId="0" xfId="0" applyNumberFormat="1"/>
    <xf numFmtId="165" fontId="2" fillId="0" borderId="0" xfId="1" applyNumberFormat="1" applyFont="1" applyAlignment="1">
      <alignment horizontal="center"/>
    </xf>
    <xf numFmtId="165" fontId="1" fillId="0" borderId="0" xfId="1" applyNumberFormat="1" applyFont="1" applyAlignment="1">
      <alignment horizontal="center"/>
    </xf>
    <xf numFmtId="166" fontId="1" fillId="0" borderId="0" xfId="1" applyNumberFormat="1" applyAlignment="1">
      <alignment horizontal="center"/>
    </xf>
    <xf numFmtId="166" fontId="1" fillId="0" borderId="0" xfId="1" applyNumberFormat="1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A3" sqref="A3"/>
    </sheetView>
  </sheetViews>
  <sheetFormatPr defaultRowHeight="13.2" x14ac:dyDescent="0.25"/>
  <cols>
    <col min="1" max="1" width="24" customWidth="1"/>
    <col min="2" max="2" width="15.109375" customWidth="1"/>
    <col min="3" max="3" width="12.88671875" customWidth="1"/>
    <col min="4" max="4" width="0" hidden="1" customWidth="1"/>
  </cols>
  <sheetData>
    <row r="1" spans="1:4" x14ac:dyDescent="0.25">
      <c r="A1" t="s">
        <v>26</v>
      </c>
    </row>
    <row r="2" spans="1:4" x14ac:dyDescent="0.25">
      <c r="A2" t="s">
        <v>37</v>
      </c>
    </row>
    <row r="4" spans="1:4" ht="12" customHeight="1" x14ac:dyDescent="0.25">
      <c r="B4" s="15" t="s">
        <v>28</v>
      </c>
      <c r="C4" s="15" t="s">
        <v>30</v>
      </c>
    </row>
    <row r="5" spans="1:4" x14ac:dyDescent="0.25">
      <c r="B5" s="16" t="s">
        <v>29</v>
      </c>
      <c r="C5" s="16" t="s">
        <v>31</v>
      </c>
      <c r="D5">
        <v>101073</v>
      </c>
    </row>
    <row r="6" spans="1:4" x14ac:dyDescent="0.25">
      <c r="A6" s="14">
        <v>36526</v>
      </c>
      <c r="C6" s="18">
        <f>+'Jan 2000'!E46</f>
        <v>9733.6574239999682</v>
      </c>
    </row>
    <row r="7" spans="1:4" x14ac:dyDescent="0.25">
      <c r="A7" s="14">
        <v>36557</v>
      </c>
      <c r="B7" s="18">
        <f>+'Feb 2000'!E46</f>
        <v>-13554.731468000024</v>
      </c>
      <c r="D7">
        <v>2865</v>
      </c>
    </row>
    <row r="8" spans="1:4" x14ac:dyDescent="0.25">
      <c r="A8" s="14">
        <v>36586</v>
      </c>
      <c r="C8" s="18">
        <f>+'Mar 2000'!E46</f>
        <v>14449.944553249979</v>
      </c>
    </row>
    <row r="9" spans="1:4" x14ac:dyDescent="0.25">
      <c r="A9" s="14">
        <v>36617</v>
      </c>
      <c r="C9" s="18">
        <f>+'Apr 2000'!E46</f>
        <v>14868.792595000004</v>
      </c>
    </row>
    <row r="10" spans="1:4" x14ac:dyDescent="0.25">
      <c r="A10" s="14">
        <v>36647</v>
      </c>
      <c r="C10" s="18">
        <f>+'May 2000'!E46</f>
        <v>19898.348064999976</v>
      </c>
    </row>
    <row r="11" spans="1:4" x14ac:dyDescent="0.25">
      <c r="A11" s="14">
        <v>36678</v>
      </c>
      <c r="B11" s="18">
        <f>+'June 2000'!E46</f>
        <v>-23862.416172000008</v>
      </c>
      <c r="D11">
        <v>2060</v>
      </c>
    </row>
    <row r="12" spans="1:4" x14ac:dyDescent="0.25">
      <c r="A12" s="14">
        <v>36708</v>
      </c>
      <c r="B12" s="18">
        <f>+'July 2000'!E46</f>
        <v>-15746.206244000092</v>
      </c>
    </row>
    <row r="13" spans="1:4" x14ac:dyDescent="0.25">
      <c r="A13" s="14">
        <v>36739</v>
      </c>
      <c r="B13" s="18">
        <f>+'Aug 2000'!E46</f>
        <v>-27755.882673000109</v>
      </c>
      <c r="D13">
        <v>1047</v>
      </c>
    </row>
    <row r="14" spans="1:4" x14ac:dyDescent="0.25">
      <c r="A14" s="14">
        <v>36770</v>
      </c>
      <c r="C14" s="18">
        <f>+'Sept 2000'!E46</f>
        <v>12283.621873499935</v>
      </c>
    </row>
    <row r="15" spans="1:4" x14ac:dyDescent="0.25">
      <c r="A15" s="14">
        <v>36800</v>
      </c>
      <c r="C15" s="18">
        <f>+'Oct 2000'!E46</f>
        <v>21540.627643999895</v>
      </c>
    </row>
    <row r="16" spans="1:4" x14ac:dyDescent="0.25">
      <c r="A16" s="14">
        <v>36831</v>
      </c>
      <c r="B16" s="18">
        <f>+'Nov 2000'!E46</f>
        <v>-17582.802945000007</v>
      </c>
    </row>
    <row r="17" spans="1:4" x14ac:dyDescent="0.25">
      <c r="A17" s="14">
        <v>36861</v>
      </c>
      <c r="B17" s="18">
        <f>+'Dec 2000'!E46</f>
        <v>-17727.255761999986</v>
      </c>
      <c r="D17">
        <v>1731</v>
      </c>
    </row>
    <row r="19" spans="1:4" ht="13.8" thickBot="1" x14ac:dyDescent="0.3">
      <c r="A19" s="14" t="s">
        <v>27</v>
      </c>
      <c r="B19" s="17">
        <f>SUM(B6:B18)</f>
        <v>-116229.29526400022</v>
      </c>
      <c r="C19" s="17">
        <f>SUM(C6:C18)</f>
        <v>92774.992154749765</v>
      </c>
    </row>
    <row r="20" spans="1:4" ht="13.8" thickTop="1" x14ac:dyDescent="0.25"/>
    <row r="21" spans="1:4" x14ac:dyDescent="0.25">
      <c r="A21" s="14">
        <v>36892</v>
      </c>
      <c r="B21" s="18">
        <f>+'Jan 2001'!E46</f>
        <v>-41068.521264000032</v>
      </c>
    </row>
    <row r="22" spans="1:4" x14ac:dyDescent="0.25">
      <c r="A22" s="14">
        <v>36923</v>
      </c>
      <c r="B22" s="18">
        <f>+'Feb 2001'!E46</f>
        <v>-25941.368031999991</v>
      </c>
    </row>
    <row r="23" spans="1:4" x14ac:dyDescent="0.25">
      <c r="A23" s="14">
        <v>36951</v>
      </c>
      <c r="B23" s="18">
        <f>+'Mar 2001'!E46</f>
        <v>-18933.950079999981</v>
      </c>
    </row>
    <row r="24" spans="1:4" x14ac:dyDescent="0.25">
      <c r="A24" s="14">
        <v>36982</v>
      </c>
      <c r="B24" s="18">
        <f>+'Apr 2001'!E46</f>
        <v>-31099.460260500033</v>
      </c>
    </row>
    <row r="25" spans="1:4" x14ac:dyDescent="0.25">
      <c r="A25" s="14">
        <v>37012</v>
      </c>
      <c r="B25" s="18">
        <f>+'May 2001'!E46</f>
        <v>-17425.506359000021</v>
      </c>
    </row>
    <row r="26" spans="1:4" x14ac:dyDescent="0.25">
      <c r="A26" s="14">
        <v>37043</v>
      </c>
      <c r="B26" s="18">
        <f>+'June 2001'!E46</f>
        <v>-46326.775444500017</v>
      </c>
    </row>
    <row r="27" spans="1:4" x14ac:dyDescent="0.25">
      <c r="A27" s="14">
        <v>37073</v>
      </c>
      <c r="B27" s="18">
        <f>+'July 2001'!E46</f>
        <v>-42133.81478500001</v>
      </c>
    </row>
    <row r="29" spans="1:4" ht="13.8" thickBot="1" x14ac:dyDescent="0.3">
      <c r="A29" t="s">
        <v>32</v>
      </c>
      <c r="B29" s="17">
        <f>SUM(B21:B28)</f>
        <v>-222929.39622500009</v>
      </c>
    </row>
    <row r="30" spans="1:4" ht="13.8" thickTop="1" x14ac:dyDescent="0.25"/>
    <row r="31" spans="1:4" x14ac:dyDescent="0.25">
      <c r="A31" t="s">
        <v>33</v>
      </c>
      <c r="B31" s="18">
        <f>+B29+B19</f>
        <v>-339158.69148900034</v>
      </c>
    </row>
    <row r="32" spans="1:4" x14ac:dyDescent="0.25">
      <c r="A32" t="s">
        <v>34</v>
      </c>
      <c r="C32" s="18">
        <f>+C19</f>
        <v>92774.992154749765</v>
      </c>
    </row>
    <row r="34" spans="1:2" ht="13.8" thickBot="1" x14ac:dyDescent="0.3">
      <c r="A34" t="s">
        <v>35</v>
      </c>
      <c r="B34" s="17">
        <f>+B31+C32</f>
        <v>-246383.69933425059</v>
      </c>
    </row>
    <row r="35" spans="1:2" ht="13.8" thickTop="1" x14ac:dyDescent="0.25"/>
    <row r="36" spans="1:2" x14ac:dyDescent="0.25">
      <c r="A36" t="s">
        <v>36</v>
      </c>
    </row>
    <row r="37" spans="1:2" x14ac:dyDescent="0.25">
      <c r="A37">
        <v>2000</v>
      </c>
      <c r="B37" s="1">
        <v>79164.929999999993</v>
      </c>
    </row>
    <row r="38" spans="1:2" x14ac:dyDescent="0.25">
      <c r="A38">
        <v>2001</v>
      </c>
      <c r="B38" s="1">
        <v>222315.03</v>
      </c>
    </row>
    <row r="39" spans="1:2" ht="13.8" thickBot="1" x14ac:dyDescent="0.3">
      <c r="B39" s="17">
        <f>+B37+B38</f>
        <v>301479.95999999996</v>
      </c>
    </row>
    <row r="40" spans="1:2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topLeftCell="B4" workbookViewId="0">
      <selection activeCell="G8" sqref="G8"/>
    </sheetView>
  </sheetViews>
  <sheetFormatPr defaultColWidth="9.109375" defaultRowHeight="13.2" x14ac:dyDescent="0.25"/>
  <cols>
    <col min="1" max="1" width="9.109375" style="6"/>
    <col min="2" max="2" width="7.109375" style="3" customWidth="1"/>
    <col min="3" max="3" width="15.33203125" style="3" customWidth="1"/>
    <col min="4" max="4" width="11.33203125" style="3" bestFit="1" customWidth="1"/>
    <col min="5" max="5" width="13.44140625" style="3" customWidth="1"/>
    <col min="6" max="6" width="10.33203125" style="3" bestFit="1" customWidth="1"/>
    <col min="7" max="7" width="10.88671875" style="3" customWidth="1"/>
    <col min="8" max="8" width="13.88671875" style="3" customWidth="1"/>
    <col min="9" max="9" width="1.5546875" style="3" customWidth="1"/>
    <col min="10" max="10" width="9.109375" style="3"/>
    <col min="11" max="11" width="11" style="3" customWidth="1"/>
    <col min="12" max="16384" width="9.109375" style="3"/>
  </cols>
  <sheetData>
    <row r="2" spans="1:11" x14ac:dyDescent="0.25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5">
      <c r="A3" s="5" t="s">
        <v>1</v>
      </c>
      <c r="C3" s="20" t="s">
        <v>3</v>
      </c>
      <c r="D3" s="20"/>
      <c r="E3" s="20"/>
    </row>
    <row r="4" spans="1:11" x14ac:dyDescent="0.25">
      <c r="C4" s="20" t="s">
        <v>4</v>
      </c>
      <c r="D4" s="20"/>
      <c r="E4" s="20"/>
    </row>
    <row r="5" spans="1:11" x14ac:dyDescent="0.25">
      <c r="A5" s="3"/>
      <c r="C5" s="22">
        <v>36770</v>
      </c>
      <c r="D5" s="21"/>
      <c r="E5" s="21"/>
      <c r="F5" s="11"/>
      <c r="G5" s="12"/>
      <c r="H5" s="12"/>
    </row>
    <row r="7" spans="1:11" ht="15" x14ac:dyDescent="0.4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5">
      <c r="B8" s="4" t="s">
        <v>7</v>
      </c>
      <c r="E8" s="3">
        <v>4318689</v>
      </c>
      <c r="H8" s="3">
        <v>4318689</v>
      </c>
      <c r="K8" s="3">
        <f>+E8-H8</f>
        <v>0</v>
      </c>
    </row>
    <row r="9" spans="1:11" x14ac:dyDescent="0.25">
      <c r="C9" s="4" t="s">
        <v>8</v>
      </c>
      <c r="D9" s="3">
        <v>4132083</v>
      </c>
      <c r="G9" s="3">
        <v>4132083</v>
      </c>
      <c r="J9" s="3">
        <f>+D9-G9</f>
        <v>0</v>
      </c>
    </row>
    <row r="10" spans="1:11" x14ac:dyDescent="0.25">
      <c r="C10" s="4" t="s">
        <v>9</v>
      </c>
    </row>
    <row r="11" spans="1:11" x14ac:dyDescent="0.25">
      <c r="C11" s="4" t="s">
        <v>10</v>
      </c>
      <c r="E11" s="3">
        <f>SUM(D9:D10)</f>
        <v>4132083</v>
      </c>
      <c r="H11" s="3">
        <f>SUM(G9:G10)</f>
        <v>4132083</v>
      </c>
      <c r="K11" s="3">
        <f>+E11-H11</f>
        <v>0</v>
      </c>
    </row>
    <row r="12" spans="1:11" x14ac:dyDescent="0.25">
      <c r="C12" s="4"/>
    </row>
    <row r="13" spans="1:11" x14ac:dyDescent="0.25">
      <c r="C13" s="4" t="s">
        <v>11</v>
      </c>
      <c r="E13" s="3">
        <f>+E8-E11</f>
        <v>186606</v>
      </c>
      <c r="H13" s="3">
        <f>+H8-H11</f>
        <v>186606</v>
      </c>
      <c r="K13" s="3">
        <f>+E13-H13</f>
        <v>0</v>
      </c>
    </row>
    <row r="14" spans="1:11" x14ac:dyDescent="0.25">
      <c r="C14" s="4"/>
    </row>
    <row r="15" spans="1:11" x14ac:dyDescent="0.25">
      <c r="B15" s="4" t="s">
        <v>12</v>
      </c>
      <c r="D15" s="3">
        <v>4319025</v>
      </c>
      <c r="G15" s="3">
        <v>4319025</v>
      </c>
    </row>
    <row r="16" spans="1:11" x14ac:dyDescent="0.25">
      <c r="C16" s="4" t="s">
        <v>13</v>
      </c>
      <c r="D16" s="7">
        <v>4.4499999999999998E-2</v>
      </c>
      <c r="E16" s="3">
        <f>+D15*D16</f>
        <v>192196.61249999999</v>
      </c>
      <c r="G16" s="7">
        <v>4.4499999999999998E-2</v>
      </c>
      <c r="H16" s="3">
        <f>+G15*G16</f>
        <v>192196.61249999999</v>
      </c>
      <c r="K16" s="3">
        <f>+E16-H16</f>
        <v>0</v>
      </c>
    </row>
    <row r="18" spans="1:11" x14ac:dyDescent="0.25">
      <c r="C18" s="4" t="s">
        <v>14</v>
      </c>
      <c r="E18" s="3">
        <f>-E13</f>
        <v>-186606</v>
      </c>
      <c r="H18" s="3">
        <f>-H13</f>
        <v>-186606</v>
      </c>
      <c r="K18" s="3">
        <f>+E18-H18</f>
        <v>0</v>
      </c>
    </row>
    <row r="20" spans="1:11" x14ac:dyDescent="0.25">
      <c r="A20" s="4" t="s">
        <v>16</v>
      </c>
      <c r="E20" s="3">
        <f>+E16+E18</f>
        <v>5590.6124999999884</v>
      </c>
      <c r="H20" s="3">
        <f>+H16+H18</f>
        <v>5590.6124999999884</v>
      </c>
      <c r="K20" s="3">
        <f>+E20-H20</f>
        <v>0</v>
      </c>
    </row>
    <row r="22" spans="1:11" x14ac:dyDescent="0.25">
      <c r="A22" s="2" t="s">
        <v>15</v>
      </c>
    </row>
    <row r="23" spans="1:11" x14ac:dyDescent="0.25">
      <c r="B23" s="4" t="s">
        <v>7</v>
      </c>
      <c r="E23" s="3">
        <v>951154</v>
      </c>
      <c r="H23" s="3">
        <v>1126308</v>
      </c>
      <c r="K23" s="3">
        <f>+E23-H23</f>
        <v>-175154</v>
      </c>
    </row>
    <row r="24" spans="1:11" x14ac:dyDescent="0.25">
      <c r="C24" s="4" t="s">
        <v>8</v>
      </c>
      <c r="D24" s="3">
        <v>0</v>
      </c>
    </row>
    <row r="25" spans="1:11" x14ac:dyDescent="0.25">
      <c r="C25" s="4" t="s">
        <v>9</v>
      </c>
      <c r="D25" s="3">
        <v>909135</v>
      </c>
      <c r="G25" s="3">
        <v>1077242</v>
      </c>
    </row>
    <row r="26" spans="1:11" x14ac:dyDescent="0.25">
      <c r="C26" s="4" t="s">
        <v>10</v>
      </c>
      <c r="E26" s="3">
        <f>SUM(D24:D25)</f>
        <v>909135</v>
      </c>
      <c r="H26" s="3">
        <f>SUM(G24:G25)</f>
        <v>1077242</v>
      </c>
      <c r="K26" s="3">
        <f>+E26-H26</f>
        <v>-168107</v>
      </c>
    </row>
    <row r="27" spans="1:11" x14ac:dyDescent="0.25">
      <c r="C27" s="4"/>
    </row>
    <row r="28" spans="1:11" x14ac:dyDescent="0.25">
      <c r="C28" s="4" t="s">
        <v>11</v>
      </c>
      <c r="E28" s="3">
        <f>+E23-E26</f>
        <v>42019</v>
      </c>
      <c r="H28" s="3">
        <f>+H23-H26</f>
        <v>49066</v>
      </c>
      <c r="K28" s="3">
        <f>+E28-H28</f>
        <v>-7047</v>
      </c>
    </row>
    <row r="29" spans="1:11" x14ac:dyDescent="0.25">
      <c r="C29" s="4"/>
    </row>
    <row r="30" spans="1:11" x14ac:dyDescent="0.25">
      <c r="B30" s="4" t="s">
        <v>12</v>
      </c>
      <c r="D30" s="3">
        <v>1100338</v>
      </c>
      <c r="G30" s="3">
        <v>1100338</v>
      </c>
      <c r="J30" s="3">
        <f>+D30-G30</f>
        <v>0</v>
      </c>
    </row>
    <row r="31" spans="1:11" x14ac:dyDescent="0.25">
      <c r="C31" s="4" t="s">
        <v>13</v>
      </c>
      <c r="D31" s="7">
        <v>4.4499999999999998E-2</v>
      </c>
      <c r="E31" s="3">
        <f>+D30*D31</f>
        <v>48965.040999999997</v>
      </c>
      <c r="G31" s="7">
        <v>4.4499999999999998E-2</v>
      </c>
      <c r="H31" s="3">
        <f>+G30*G31</f>
        <v>48965.040999999997</v>
      </c>
      <c r="K31" s="3">
        <f>+E31-H31</f>
        <v>0</v>
      </c>
    </row>
    <row r="33" spans="1:11" x14ac:dyDescent="0.25">
      <c r="C33" s="4" t="s">
        <v>14</v>
      </c>
      <c r="E33" s="3">
        <f>-E28</f>
        <v>-42019</v>
      </c>
      <c r="H33" s="3">
        <f>-H28</f>
        <v>-49066</v>
      </c>
      <c r="K33" s="3">
        <f>+E33-H33</f>
        <v>7047</v>
      </c>
    </row>
    <row r="35" spans="1:11" x14ac:dyDescent="0.25">
      <c r="A35" s="4" t="s">
        <v>16</v>
      </c>
      <c r="E35" s="3">
        <f>+E31+E33</f>
        <v>6946.0409999999974</v>
      </c>
      <c r="H35" s="3">
        <f>+H31+H33</f>
        <v>-100.95900000000256</v>
      </c>
      <c r="K35" s="3">
        <f>+E35-H35</f>
        <v>7047</v>
      </c>
    </row>
    <row r="37" spans="1:11" x14ac:dyDescent="0.25">
      <c r="C37" s="4" t="s">
        <v>17</v>
      </c>
      <c r="E37" s="3">
        <f>+E35+E20</f>
        <v>12536.653499999986</v>
      </c>
      <c r="H37" s="3">
        <f>+H35+H20</f>
        <v>5489.6534999999858</v>
      </c>
      <c r="K37" s="3">
        <f>+E37-H37</f>
        <v>7047</v>
      </c>
    </row>
    <row r="39" spans="1:11" x14ac:dyDescent="0.25">
      <c r="C39" s="4" t="s">
        <v>18</v>
      </c>
      <c r="E39" s="8">
        <v>4.9210000000000003</v>
      </c>
      <c r="H39" s="8">
        <v>4.9215</v>
      </c>
      <c r="K39" s="8">
        <f>+H39</f>
        <v>4.9215</v>
      </c>
    </row>
    <row r="41" spans="1:11" x14ac:dyDescent="0.25">
      <c r="C41" s="4" t="s">
        <v>19</v>
      </c>
      <c r="E41" s="9">
        <f>+E37*E39</f>
        <v>61692.871873499935</v>
      </c>
      <c r="H41" s="9">
        <f>+H37*H39</f>
        <v>27017.329700249931</v>
      </c>
      <c r="K41" s="9">
        <f>+E41-H41</f>
        <v>34675.542173250004</v>
      </c>
    </row>
    <row r="43" spans="1:11" x14ac:dyDescent="0.25">
      <c r="A43" s="4" t="s">
        <v>20</v>
      </c>
      <c r="C43" s="6">
        <v>101021</v>
      </c>
      <c r="D43" s="3">
        <f>+D9</f>
        <v>4132083</v>
      </c>
      <c r="E43" s="9">
        <v>40893.39</v>
      </c>
      <c r="F43" s="8">
        <f>+E43/D43</f>
        <v>9.8965558049051768E-3</v>
      </c>
      <c r="H43" s="9"/>
      <c r="I43" s="10"/>
    </row>
    <row r="44" spans="1:11" x14ac:dyDescent="0.25">
      <c r="A44" s="4"/>
      <c r="C44" s="6">
        <v>101073</v>
      </c>
      <c r="D44" s="3">
        <f>+D25</f>
        <v>909135</v>
      </c>
      <c r="E44" s="9">
        <f>10148.16-1632.3</f>
        <v>8515.86</v>
      </c>
      <c r="F44" s="8">
        <f>+E44/D44</f>
        <v>9.366991700902506E-3</v>
      </c>
      <c r="H44" s="9"/>
      <c r="I44" s="10"/>
    </row>
    <row r="45" spans="1:11" ht="13.8" thickBot="1" x14ac:dyDescent="0.3">
      <c r="E45" s="13">
        <f>SUM(E43:E44)</f>
        <v>49409.25</v>
      </c>
      <c r="H45" s="13">
        <v>27020.76</v>
      </c>
      <c r="K45" s="13">
        <f>+E45-H45</f>
        <v>22388.49</v>
      </c>
    </row>
    <row r="46" spans="1:11" ht="13.8" thickTop="1" x14ac:dyDescent="0.25">
      <c r="C46" s="4" t="s">
        <v>21</v>
      </c>
      <c r="E46" s="9">
        <f>+E41-E43-E44</f>
        <v>12283.621873499935</v>
      </c>
      <c r="H46" s="9">
        <f>+H41-H45</f>
        <v>-3.4302997500672063</v>
      </c>
      <c r="K46" s="3">
        <f>+E46-H46</f>
        <v>12287.052173250002</v>
      </c>
    </row>
    <row r="48" spans="1:11" x14ac:dyDescent="0.25">
      <c r="A48" s="4" t="s">
        <v>22</v>
      </c>
      <c r="E48" s="9"/>
    </row>
    <row r="50" spans="3:5" x14ac:dyDescent="0.25">
      <c r="C50" s="4" t="s">
        <v>21</v>
      </c>
      <c r="E50" s="9">
        <f>+E46-E48</f>
        <v>12283.621873499935</v>
      </c>
    </row>
    <row r="51" spans="3:5" x14ac:dyDescent="0.25">
      <c r="C51" s="4"/>
      <c r="E51" s="9"/>
    </row>
    <row r="52" spans="3:5" x14ac:dyDescent="0.25">
      <c r="C52" s="4"/>
      <c r="E52" s="9"/>
    </row>
    <row r="54" spans="3:5" x14ac:dyDescent="0.25">
      <c r="C54" s="4"/>
      <c r="E54" s="9"/>
    </row>
    <row r="55" spans="3:5" x14ac:dyDescent="0.25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topLeftCell="E32" workbookViewId="0">
      <selection activeCell="G8" sqref="G8"/>
    </sheetView>
  </sheetViews>
  <sheetFormatPr defaultColWidth="9.109375" defaultRowHeight="13.2" x14ac:dyDescent="0.25"/>
  <cols>
    <col min="1" max="1" width="9.109375" style="6"/>
    <col min="2" max="2" width="7.109375" style="3" customWidth="1"/>
    <col min="3" max="3" width="15.33203125" style="3" customWidth="1"/>
    <col min="4" max="4" width="11.33203125" style="3" bestFit="1" customWidth="1"/>
    <col min="5" max="5" width="13.44140625" style="3" customWidth="1"/>
    <col min="6" max="6" width="10.33203125" style="3" bestFit="1" customWidth="1"/>
    <col min="7" max="7" width="10.88671875" style="3" customWidth="1"/>
    <col min="8" max="8" width="13.88671875" style="3" customWidth="1"/>
    <col min="9" max="9" width="1.5546875" style="3" customWidth="1"/>
    <col min="10" max="10" width="9.109375" style="3"/>
    <col min="11" max="11" width="11.88671875" style="3" bestFit="1" customWidth="1"/>
    <col min="12" max="16384" width="9.109375" style="3"/>
  </cols>
  <sheetData>
    <row r="2" spans="1:11" x14ac:dyDescent="0.25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5">
      <c r="A3" s="5" t="s">
        <v>1</v>
      </c>
      <c r="C3" s="20" t="s">
        <v>3</v>
      </c>
      <c r="D3" s="20"/>
      <c r="E3" s="20"/>
    </row>
    <row r="4" spans="1:11" x14ac:dyDescent="0.25">
      <c r="C4" s="20" t="s">
        <v>4</v>
      </c>
      <c r="D4" s="20"/>
      <c r="E4" s="20"/>
    </row>
    <row r="5" spans="1:11" x14ac:dyDescent="0.25">
      <c r="A5" s="3"/>
      <c r="C5" s="22">
        <v>36800</v>
      </c>
      <c r="D5" s="21"/>
      <c r="E5" s="21"/>
      <c r="F5" s="11"/>
      <c r="G5" s="12"/>
      <c r="H5" s="12"/>
    </row>
    <row r="7" spans="1:11" ht="15" x14ac:dyDescent="0.4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5">
      <c r="B8" s="4" t="s">
        <v>7</v>
      </c>
      <c r="E8" s="3">
        <v>4462673</v>
      </c>
      <c r="H8" s="3">
        <v>4462674</v>
      </c>
      <c r="K8" s="3">
        <f>+E8-H8</f>
        <v>-1</v>
      </c>
    </row>
    <row r="9" spans="1:11" x14ac:dyDescent="0.25">
      <c r="C9" s="4" t="s">
        <v>8</v>
      </c>
      <c r="D9" s="3">
        <v>4269638</v>
      </c>
      <c r="G9" s="3">
        <v>4269638</v>
      </c>
      <c r="J9" s="3">
        <f>+D9-G9</f>
        <v>0</v>
      </c>
    </row>
    <row r="10" spans="1:11" x14ac:dyDescent="0.25">
      <c r="C10" s="4" t="s">
        <v>9</v>
      </c>
    </row>
    <row r="11" spans="1:11" x14ac:dyDescent="0.25">
      <c r="C11" s="4" t="s">
        <v>10</v>
      </c>
      <c r="E11" s="3">
        <f>SUM(D9:D10)</f>
        <v>4269638</v>
      </c>
      <c r="H11" s="3">
        <f>SUM(G9:G10)</f>
        <v>4269638</v>
      </c>
      <c r="K11" s="3">
        <f>+E11-H11</f>
        <v>0</v>
      </c>
    </row>
    <row r="12" spans="1:11" x14ac:dyDescent="0.25">
      <c r="C12" s="4"/>
    </row>
    <row r="13" spans="1:11" x14ac:dyDescent="0.25">
      <c r="C13" s="4" t="s">
        <v>11</v>
      </c>
      <c r="E13" s="3">
        <f>+E8-E11</f>
        <v>193035</v>
      </c>
      <c r="H13" s="3">
        <f>+H8-H11</f>
        <v>193036</v>
      </c>
      <c r="K13" s="3">
        <f>+E13-H13</f>
        <v>-1</v>
      </c>
    </row>
    <row r="14" spans="1:11" x14ac:dyDescent="0.25">
      <c r="C14" s="4"/>
    </row>
    <row r="15" spans="1:11" x14ac:dyDescent="0.25">
      <c r="B15" s="4" t="s">
        <v>12</v>
      </c>
      <c r="D15" s="3">
        <v>4462425</v>
      </c>
      <c r="G15" s="3">
        <v>4462425</v>
      </c>
    </row>
    <row r="16" spans="1:11" x14ac:dyDescent="0.25">
      <c r="C16" s="4" t="s">
        <v>13</v>
      </c>
      <c r="D16" s="7">
        <v>4.4499999999999998E-2</v>
      </c>
      <c r="E16" s="3">
        <f>+D15*D16</f>
        <v>198577.91249999998</v>
      </c>
      <c r="G16" s="7">
        <v>4.4499999999999998E-2</v>
      </c>
      <c r="H16" s="3">
        <f>+G15*G16</f>
        <v>198577.91249999998</v>
      </c>
      <c r="K16" s="3">
        <f>+E16-H16</f>
        <v>0</v>
      </c>
    </row>
    <row r="18" spans="1:11" x14ac:dyDescent="0.25">
      <c r="C18" s="4" t="s">
        <v>14</v>
      </c>
      <c r="E18" s="3">
        <f>-E13</f>
        <v>-193035</v>
      </c>
      <c r="H18" s="3">
        <f>-H13</f>
        <v>-193036</v>
      </c>
      <c r="K18" s="3">
        <f>+E18-H18</f>
        <v>1</v>
      </c>
    </row>
    <row r="20" spans="1:11" x14ac:dyDescent="0.25">
      <c r="A20" s="4" t="s">
        <v>16</v>
      </c>
      <c r="E20" s="3">
        <f>+E16+E18</f>
        <v>5542.9124999999767</v>
      </c>
      <c r="H20" s="3">
        <f>+H16+H18</f>
        <v>5541.9124999999767</v>
      </c>
      <c r="K20" s="3">
        <f>+E20-H20</f>
        <v>1</v>
      </c>
    </row>
    <row r="22" spans="1:11" x14ac:dyDescent="0.25">
      <c r="A22" s="2" t="s">
        <v>15</v>
      </c>
    </row>
    <row r="23" spans="1:11" x14ac:dyDescent="0.25">
      <c r="B23" s="4" t="s">
        <v>7</v>
      </c>
      <c r="E23" s="3">
        <v>981557</v>
      </c>
      <c r="H23" s="3">
        <v>1016669</v>
      </c>
      <c r="K23" s="3">
        <f>+E23-H23</f>
        <v>-35112</v>
      </c>
    </row>
    <row r="24" spans="1:11" x14ac:dyDescent="0.25">
      <c r="C24" s="4" t="s">
        <v>8</v>
      </c>
      <c r="D24" s="3">
        <v>0</v>
      </c>
    </row>
    <row r="25" spans="1:11" x14ac:dyDescent="0.25">
      <c r="C25" s="4" t="s">
        <v>9</v>
      </c>
      <c r="D25" s="3">
        <v>938753</v>
      </c>
      <c r="G25" s="3">
        <v>972433</v>
      </c>
    </row>
    <row r="26" spans="1:11" x14ac:dyDescent="0.25">
      <c r="C26" s="4" t="s">
        <v>10</v>
      </c>
      <c r="E26" s="3">
        <f>SUM(D24:D25)</f>
        <v>938753</v>
      </c>
      <c r="H26" s="3">
        <f>SUM(G24:G25)</f>
        <v>972433</v>
      </c>
      <c r="K26" s="3">
        <f>+E26-H26</f>
        <v>-33680</v>
      </c>
    </row>
    <row r="27" spans="1:11" x14ac:dyDescent="0.25">
      <c r="C27" s="4"/>
    </row>
    <row r="28" spans="1:11" x14ac:dyDescent="0.25">
      <c r="C28" s="4" t="s">
        <v>11</v>
      </c>
      <c r="E28" s="3">
        <f>+E23-E26</f>
        <v>42804</v>
      </c>
      <c r="H28" s="3">
        <f>+H23-H26</f>
        <v>44236</v>
      </c>
      <c r="K28" s="3">
        <f>+E28-H28</f>
        <v>-1432</v>
      </c>
    </row>
    <row r="29" spans="1:11" x14ac:dyDescent="0.25">
      <c r="C29" s="4"/>
    </row>
    <row r="30" spans="1:11" x14ac:dyDescent="0.25">
      <c r="B30" s="4" t="s">
        <v>12</v>
      </c>
      <c r="D30" s="3">
        <v>1165853</v>
      </c>
      <c r="G30" s="3">
        <v>1165853</v>
      </c>
      <c r="J30" s="3">
        <f>+D30-G30</f>
        <v>0</v>
      </c>
    </row>
    <row r="31" spans="1:11" x14ac:dyDescent="0.25">
      <c r="C31" s="4" t="s">
        <v>13</v>
      </c>
      <c r="D31" s="7">
        <v>4.4499999999999998E-2</v>
      </c>
      <c r="E31" s="3">
        <f>+D30*D31</f>
        <v>51880.458500000001</v>
      </c>
      <c r="G31" s="7">
        <v>4.4499999999999998E-2</v>
      </c>
      <c r="H31" s="3">
        <f>+G30*G31</f>
        <v>51880.458500000001</v>
      </c>
      <c r="K31" s="3">
        <f>+E31-H31</f>
        <v>0</v>
      </c>
    </row>
    <row r="33" spans="1:11" x14ac:dyDescent="0.25">
      <c r="C33" s="4" t="s">
        <v>14</v>
      </c>
      <c r="E33" s="3">
        <f>-E28</f>
        <v>-42804</v>
      </c>
      <c r="H33" s="3">
        <f>-H28</f>
        <v>-44236</v>
      </c>
      <c r="K33" s="3">
        <f>+E33-H33</f>
        <v>1432</v>
      </c>
    </row>
    <row r="35" spans="1:11" x14ac:dyDescent="0.25">
      <c r="A35" s="4" t="s">
        <v>16</v>
      </c>
      <c r="E35" s="3">
        <f>+E31+E33</f>
        <v>9076.4585000000006</v>
      </c>
      <c r="H35" s="3">
        <f>+H31+H33</f>
        <v>7644.4585000000006</v>
      </c>
      <c r="K35" s="3">
        <f>+E35-H35</f>
        <v>1432</v>
      </c>
    </row>
    <row r="37" spans="1:11" x14ac:dyDescent="0.25">
      <c r="C37" s="4" t="s">
        <v>17</v>
      </c>
      <c r="E37" s="3">
        <f>+E35+E20</f>
        <v>14619.370999999977</v>
      </c>
      <c r="H37" s="3">
        <f>+H35+H20</f>
        <v>13186.370999999977</v>
      </c>
      <c r="K37" s="3">
        <f>+E37-H37</f>
        <v>1433</v>
      </c>
    </row>
    <row r="39" spans="1:11" x14ac:dyDescent="0.25">
      <c r="C39" s="4" t="s">
        <v>18</v>
      </c>
      <c r="E39" s="8">
        <v>4.9640000000000004</v>
      </c>
      <c r="H39" s="8">
        <f>+E39</f>
        <v>4.9640000000000004</v>
      </c>
      <c r="K39" s="8">
        <f>+H39</f>
        <v>4.9640000000000004</v>
      </c>
    </row>
    <row r="41" spans="1:11" x14ac:dyDescent="0.25">
      <c r="C41" s="4" t="s">
        <v>19</v>
      </c>
      <c r="E41" s="9">
        <f>+E37*E39</f>
        <v>72570.557643999899</v>
      </c>
      <c r="H41" s="9">
        <f>+H37*H39</f>
        <v>65457.145643999895</v>
      </c>
      <c r="K41" s="9">
        <f>+E41-H41</f>
        <v>7113.4120000000039</v>
      </c>
    </row>
    <row r="43" spans="1:11" x14ac:dyDescent="0.25">
      <c r="A43" s="4" t="s">
        <v>20</v>
      </c>
      <c r="C43" s="6">
        <v>101021</v>
      </c>
      <c r="D43" s="3">
        <f>+D9</f>
        <v>4269638</v>
      </c>
      <c r="E43" s="9">
        <f>64044.65-22069.49</f>
        <v>41975.16</v>
      </c>
      <c r="F43" s="8">
        <f>+E43/D43</f>
        <v>9.8310816982610707E-3</v>
      </c>
      <c r="H43" s="9"/>
      <c r="I43" s="10"/>
    </row>
    <row r="44" spans="1:11" x14ac:dyDescent="0.25">
      <c r="A44" s="4"/>
      <c r="C44" s="6">
        <v>101073</v>
      </c>
      <c r="D44" s="3">
        <f>+D25</f>
        <v>938753</v>
      </c>
      <c r="E44" s="9">
        <f>22312.34-3537.28-9720.29</f>
        <v>9054.77</v>
      </c>
      <c r="F44" s="8">
        <f>+E44/D44</f>
        <v>9.6455297612897117E-3</v>
      </c>
      <c r="H44" s="9"/>
      <c r="I44" s="10"/>
    </row>
    <row r="45" spans="1:11" ht="13.8" thickBot="1" x14ac:dyDescent="0.3">
      <c r="E45" s="13">
        <f>SUM(E43:E44)</f>
        <v>51029.930000000008</v>
      </c>
      <c r="H45" s="13">
        <v>65457.74</v>
      </c>
      <c r="K45" s="13">
        <f>+E45-H45</f>
        <v>-14427.80999999999</v>
      </c>
    </row>
    <row r="46" spans="1:11" ht="13.8" thickTop="1" x14ac:dyDescent="0.25">
      <c r="C46" s="4" t="s">
        <v>21</v>
      </c>
      <c r="E46" s="9">
        <f>+E41-E43-E44</f>
        <v>21540.627643999895</v>
      </c>
      <c r="H46" s="9">
        <f>+H41-H45</f>
        <v>-0.59435600010328926</v>
      </c>
      <c r="K46" s="3">
        <f>+E46-H46</f>
        <v>21541.221999999998</v>
      </c>
    </row>
    <row r="48" spans="1:11" x14ac:dyDescent="0.25">
      <c r="A48" s="4" t="s">
        <v>22</v>
      </c>
      <c r="E48" s="9"/>
    </row>
    <row r="50" spans="3:5" x14ac:dyDescent="0.25">
      <c r="C50" s="4" t="s">
        <v>21</v>
      </c>
      <c r="E50" s="9">
        <f>+E46-E48</f>
        <v>21540.627643999895</v>
      </c>
    </row>
    <row r="51" spans="3:5" x14ac:dyDescent="0.25">
      <c r="C51" s="4"/>
      <c r="E51" s="9"/>
    </row>
    <row r="52" spans="3:5" x14ac:dyDescent="0.25">
      <c r="C52" s="4"/>
      <c r="E52" s="9"/>
    </row>
    <row r="54" spans="3:5" x14ac:dyDescent="0.25">
      <c r="C54" s="4"/>
      <c r="E54" s="9"/>
    </row>
    <row r="55" spans="3:5" x14ac:dyDescent="0.25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79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topLeftCell="E26" workbookViewId="0">
      <selection activeCell="H46" sqref="H46"/>
    </sheetView>
  </sheetViews>
  <sheetFormatPr defaultColWidth="9.109375" defaultRowHeight="13.2" x14ac:dyDescent="0.25"/>
  <cols>
    <col min="1" max="1" width="9.109375" style="6"/>
    <col min="2" max="2" width="7.109375" style="3" customWidth="1"/>
    <col min="3" max="3" width="15.33203125" style="3" customWidth="1"/>
    <col min="4" max="4" width="11.33203125" style="3" bestFit="1" customWidth="1"/>
    <col min="5" max="5" width="13.44140625" style="3" customWidth="1"/>
    <col min="6" max="6" width="10.33203125" style="3" bestFit="1" customWidth="1"/>
    <col min="7" max="7" width="10.88671875" style="3" customWidth="1"/>
    <col min="8" max="8" width="13.88671875" style="3" customWidth="1"/>
    <col min="9" max="9" width="1.5546875" style="3" customWidth="1"/>
    <col min="10" max="10" width="9.109375" style="3"/>
    <col min="11" max="11" width="11.88671875" style="3" bestFit="1" customWidth="1"/>
    <col min="12" max="16384" width="9.109375" style="3"/>
  </cols>
  <sheetData>
    <row r="2" spans="1:11" x14ac:dyDescent="0.25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5">
      <c r="A3" s="5" t="s">
        <v>1</v>
      </c>
      <c r="C3" s="20" t="s">
        <v>3</v>
      </c>
      <c r="D3" s="20"/>
      <c r="E3" s="20"/>
    </row>
    <row r="4" spans="1:11" x14ac:dyDescent="0.25">
      <c r="C4" s="20" t="s">
        <v>4</v>
      </c>
      <c r="D4" s="20"/>
      <c r="E4" s="20"/>
    </row>
    <row r="5" spans="1:11" x14ac:dyDescent="0.25">
      <c r="A5" s="3"/>
      <c r="C5" s="22">
        <v>36831</v>
      </c>
      <c r="D5" s="21"/>
      <c r="E5" s="21"/>
      <c r="F5" s="11"/>
      <c r="G5" s="12"/>
      <c r="H5" s="12"/>
    </row>
    <row r="7" spans="1:11" ht="15" x14ac:dyDescent="0.4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5">
      <c r="B8" s="4" t="s">
        <v>7</v>
      </c>
      <c r="E8" s="3">
        <v>4798045</v>
      </c>
      <c r="H8" s="3">
        <v>4798046</v>
      </c>
      <c r="K8" s="3">
        <f>+E8-H8</f>
        <v>-1</v>
      </c>
    </row>
    <row r="9" spans="1:11" x14ac:dyDescent="0.25">
      <c r="C9" s="4" t="s">
        <v>8</v>
      </c>
      <c r="D9" s="3">
        <v>4589109</v>
      </c>
      <c r="G9" s="3">
        <v>4588981</v>
      </c>
      <c r="J9" s="3">
        <f>+D9-G9</f>
        <v>128</v>
      </c>
    </row>
    <row r="10" spans="1:11" x14ac:dyDescent="0.25">
      <c r="C10" s="4" t="s">
        <v>9</v>
      </c>
    </row>
    <row r="11" spans="1:11" x14ac:dyDescent="0.25">
      <c r="C11" s="4" t="s">
        <v>10</v>
      </c>
      <c r="E11" s="3">
        <f>SUM(D9:D10)</f>
        <v>4589109</v>
      </c>
      <c r="H11" s="3">
        <f>SUM(G9:G10)</f>
        <v>4588981</v>
      </c>
      <c r="K11" s="3">
        <f>+E11-H11</f>
        <v>128</v>
      </c>
    </row>
    <row r="12" spans="1:11" x14ac:dyDescent="0.25">
      <c r="C12" s="4"/>
    </row>
    <row r="13" spans="1:11" x14ac:dyDescent="0.25">
      <c r="C13" s="4" t="s">
        <v>11</v>
      </c>
      <c r="E13" s="3">
        <f>+E8-E11</f>
        <v>208936</v>
      </c>
      <c r="H13" s="3">
        <f>+H8-H11</f>
        <v>209065</v>
      </c>
      <c r="K13" s="3">
        <f>+E13-H13</f>
        <v>-129</v>
      </c>
    </row>
    <row r="14" spans="1:11" x14ac:dyDescent="0.25">
      <c r="C14" s="4"/>
    </row>
    <row r="15" spans="1:11" x14ac:dyDescent="0.25">
      <c r="B15" s="4" t="s">
        <v>12</v>
      </c>
      <c r="D15" s="3">
        <v>4797912</v>
      </c>
      <c r="G15" s="3">
        <v>4797912</v>
      </c>
    </row>
    <row r="16" spans="1:11" x14ac:dyDescent="0.25">
      <c r="C16" s="4" t="s">
        <v>13</v>
      </c>
      <c r="D16" s="7">
        <v>4.4499999999999998E-2</v>
      </c>
      <c r="E16" s="3">
        <f>+D15*D16</f>
        <v>213507.084</v>
      </c>
      <c r="G16" s="7">
        <v>4.4499999999999998E-2</v>
      </c>
      <c r="H16" s="3">
        <f>+G15*G16</f>
        <v>213507.084</v>
      </c>
      <c r="K16" s="3">
        <f>+E16-H16</f>
        <v>0</v>
      </c>
    </row>
    <row r="18" spans="1:11" x14ac:dyDescent="0.25">
      <c r="C18" s="4" t="s">
        <v>14</v>
      </c>
      <c r="E18" s="3">
        <f>-E13</f>
        <v>-208936</v>
      </c>
      <c r="H18" s="3">
        <f>-H13</f>
        <v>-209065</v>
      </c>
      <c r="K18" s="3">
        <f>+E18-H18</f>
        <v>129</v>
      </c>
    </row>
    <row r="20" spans="1:11" x14ac:dyDescent="0.25">
      <c r="A20" s="4" t="s">
        <v>16</v>
      </c>
      <c r="E20" s="3">
        <f>+E16+E18</f>
        <v>4571.0840000000026</v>
      </c>
      <c r="H20" s="3">
        <f>+H16+H18</f>
        <v>4442.0840000000026</v>
      </c>
      <c r="K20" s="3">
        <f>+E20-H20</f>
        <v>129</v>
      </c>
    </row>
    <row r="22" spans="1:11" x14ac:dyDescent="0.25">
      <c r="A22" s="2" t="s">
        <v>15</v>
      </c>
    </row>
    <row r="23" spans="1:11" x14ac:dyDescent="0.25">
      <c r="B23" s="4" t="s">
        <v>7</v>
      </c>
      <c r="E23" s="3">
        <v>1086652</v>
      </c>
      <c r="H23" s="3">
        <v>908854</v>
      </c>
      <c r="K23" s="3">
        <f>+E23-H23</f>
        <v>177798</v>
      </c>
    </row>
    <row r="24" spans="1:11" x14ac:dyDescent="0.25">
      <c r="C24" s="4" t="s">
        <v>8</v>
      </c>
      <c r="D24" s="3">
        <v>0</v>
      </c>
    </row>
    <row r="25" spans="1:11" x14ac:dyDescent="0.25">
      <c r="C25" s="4" t="s">
        <v>9</v>
      </c>
      <c r="D25" s="3">
        <v>1040521</v>
      </c>
      <c r="G25" s="3">
        <v>870718</v>
      </c>
    </row>
    <row r="26" spans="1:11" x14ac:dyDescent="0.25">
      <c r="C26" s="4" t="s">
        <v>10</v>
      </c>
      <c r="E26" s="3">
        <f>SUM(D24:D25)</f>
        <v>1040521</v>
      </c>
      <c r="H26" s="3">
        <f>SUM(G24:G25)</f>
        <v>870718</v>
      </c>
      <c r="K26" s="3">
        <f>+E26-H26</f>
        <v>169803</v>
      </c>
    </row>
    <row r="27" spans="1:11" x14ac:dyDescent="0.25">
      <c r="C27" s="4"/>
    </row>
    <row r="28" spans="1:11" x14ac:dyDescent="0.25">
      <c r="C28" s="4" t="s">
        <v>11</v>
      </c>
      <c r="E28" s="3">
        <f>+E23-E26</f>
        <v>46131</v>
      </c>
      <c r="H28" s="3">
        <f>+H23-H26</f>
        <v>38136</v>
      </c>
      <c r="K28" s="3">
        <f>+E28-H28</f>
        <v>7995</v>
      </c>
    </row>
    <row r="29" spans="1:11" x14ac:dyDescent="0.25">
      <c r="C29" s="4"/>
    </row>
    <row r="30" spans="1:11" x14ac:dyDescent="0.25">
      <c r="B30" s="4" t="s">
        <v>12</v>
      </c>
      <c r="D30" s="3">
        <v>1094019</v>
      </c>
      <c r="G30" s="3">
        <v>1094019</v>
      </c>
      <c r="J30" s="3">
        <f>+D30-G30</f>
        <v>0</v>
      </c>
    </row>
    <row r="31" spans="1:11" x14ac:dyDescent="0.25">
      <c r="C31" s="4" t="s">
        <v>13</v>
      </c>
      <c r="D31" s="7">
        <v>4.4499999999999998E-2</v>
      </c>
      <c r="E31" s="3">
        <f>+D30*D31</f>
        <v>48683.845499999996</v>
      </c>
      <c r="G31" s="7">
        <v>4.4499999999999998E-2</v>
      </c>
      <c r="H31" s="3">
        <f>+G30*G31</f>
        <v>48683.845499999996</v>
      </c>
      <c r="K31" s="3">
        <f>+E31-H31</f>
        <v>0</v>
      </c>
    </row>
    <row r="33" spans="1:11" x14ac:dyDescent="0.25">
      <c r="C33" s="4" t="s">
        <v>14</v>
      </c>
      <c r="E33" s="3">
        <f>-E28</f>
        <v>-46131</v>
      </c>
      <c r="H33" s="3">
        <f>-H28</f>
        <v>-38136</v>
      </c>
      <c r="K33" s="3">
        <f>+E33-H33</f>
        <v>-7995</v>
      </c>
    </row>
    <row r="35" spans="1:11" x14ac:dyDescent="0.25">
      <c r="A35" s="4" t="s">
        <v>16</v>
      </c>
      <c r="E35" s="3">
        <f>+E31+E33</f>
        <v>2552.8454999999958</v>
      </c>
      <c r="H35" s="3">
        <f>+H31+H33</f>
        <v>10547.845499999996</v>
      </c>
      <c r="K35" s="3">
        <f>+E35-H35</f>
        <v>-7995</v>
      </c>
    </row>
    <row r="37" spans="1:11" x14ac:dyDescent="0.25">
      <c r="C37" s="4" t="s">
        <v>17</v>
      </c>
      <c r="E37" s="3">
        <f>+E35+E20</f>
        <v>7123.9294999999984</v>
      </c>
      <c r="H37" s="3">
        <f>+H35+H20</f>
        <v>14989.929499999998</v>
      </c>
      <c r="K37" s="3">
        <f>+E37-H37</f>
        <v>-7866</v>
      </c>
    </row>
    <row r="39" spans="1:11" x14ac:dyDescent="0.25">
      <c r="C39" s="4" t="s">
        <v>18</v>
      </c>
      <c r="E39" s="8">
        <v>5.29</v>
      </c>
      <c r="H39" s="8">
        <f>+E39</f>
        <v>5.29</v>
      </c>
      <c r="K39" s="8">
        <f>+H39</f>
        <v>5.29</v>
      </c>
    </row>
    <row r="41" spans="1:11" x14ac:dyDescent="0.25">
      <c r="C41" s="4" t="s">
        <v>19</v>
      </c>
      <c r="E41" s="9">
        <f>+E37*E39</f>
        <v>37685.587054999989</v>
      </c>
      <c r="H41" s="9">
        <f>+H37*H39</f>
        <v>79296.727054999996</v>
      </c>
      <c r="K41" s="9">
        <f>+E41-H41</f>
        <v>-41611.140000000007</v>
      </c>
    </row>
    <row r="43" spans="1:11" x14ac:dyDescent="0.25">
      <c r="A43" s="4" t="s">
        <v>20</v>
      </c>
      <c r="C43" s="6">
        <v>101021</v>
      </c>
      <c r="D43" s="3">
        <f>+D9</f>
        <v>4589109</v>
      </c>
      <c r="E43" s="9">
        <f>68836.65-23813.81</f>
        <v>45022.84</v>
      </c>
      <c r="F43" s="8">
        <f>+E43/D43</f>
        <v>9.8108020532961839E-3</v>
      </c>
      <c r="H43" s="9"/>
      <c r="I43" s="10"/>
    </row>
    <row r="44" spans="1:11" x14ac:dyDescent="0.25">
      <c r="A44" s="4"/>
      <c r="C44" s="6">
        <v>101073</v>
      </c>
      <c r="D44" s="3">
        <f>+D25</f>
        <v>1040521</v>
      </c>
      <c r="E44" s="9">
        <f>20951.64-10706.09</f>
        <v>10245.549999999999</v>
      </c>
      <c r="F44" s="8">
        <f>+E44/D44</f>
        <v>9.8465576379525247E-3</v>
      </c>
      <c r="H44" s="9"/>
      <c r="I44" s="10"/>
    </row>
    <row r="45" spans="1:11" ht="13.8" thickBot="1" x14ac:dyDescent="0.3">
      <c r="E45" s="13">
        <f>SUM(E43:E44)</f>
        <v>55268.39</v>
      </c>
      <c r="H45" s="13">
        <v>79209.320000000007</v>
      </c>
      <c r="K45" s="13">
        <f>+E45-H45</f>
        <v>-23940.930000000008</v>
      </c>
    </row>
    <row r="46" spans="1:11" ht="13.8" thickTop="1" x14ac:dyDescent="0.25">
      <c r="C46" s="4" t="s">
        <v>21</v>
      </c>
      <c r="E46" s="9">
        <f>+E41-E43-E44</f>
        <v>-17582.802945000007</v>
      </c>
      <c r="H46" s="9">
        <f>+H41-H45</f>
        <v>87.407054999988759</v>
      </c>
      <c r="K46" s="3">
        <f>+E46-H46</f>
        <v>-17670.209999999995</v>
      </c>
    </row>
    <row r="48" spans="1:11" x14ac:dyDescent="0.25">
      <c r="A48" s="4" t="s">
        <v>22</v>
      </c>
      <c r="E48" s="9"/>
    </row>
    <row r="50" spans="3:5" x14ac:dyDescent="0.25">
      <c r="C50" s="4" t="s">
        <v>21</v>
      </c>
      <c r="E50" s="9">
        <f>+E46-E48</f>
        <v>-17582.802945000007</v>
      </c>
    </row>
    <row r="51" spans="3:5" x14ac:dyDescent="0.25">
      <c r="C51" s="4"/>
      <c r="E51" s="9"/>
    </row>
    <row r="52" spans="3:5" x14ac:dyDescent="0.25">
      <c r="C52" s="4"/>
      <c r="E52" s="9"/>
    </row>
    <row r="54" spans="3:5" x14ac:dyDescent="0.25">
      <c r="C54" s="4"/>
      <c r="E54" s="9"/>
    </row>
    <row r="55" spans="3:5" x14ac:dyDescent="0.25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79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topLeftCell="D22" workbookViewId="0">
      <selection activeCell="G7" sqref="G7:H7"/>
    </sheetView>
  </sheetViews>
  <sheetFormatPr defaultColWidth="9.109375" defaultRowHeight="13.2" x14ac:dyDescent="0.25"/>
  <cols>
    <col min="1" max="1" width="9.109375" style="6"/>
    <col min="2" max="2" width="7.109375" style="3" customWidth="1"/>
    <col min="3" max="3" width="15.33203125" style="3" customWidth="1"/>
    <col min="4" max="4" width="11.33203125" style="3" bestFit="1" customWidth="1"/>
    <col min="5" max="5" width="13.44140625" style="3" customWidth="1"/>
    <col min="6" max="6" width="10.33203125" style="3" bestFit="1" customWidth="1"/>
    <col min="7" max="7" width="10.88671875" style="3" customWidth="1"/>
    <col min="8" max="8" width="13.88671875" style="3" customWidth="1"/>
    <col min="9" max="9" width="1.5546875" style="3" customWidth="1"/>
    <col min="10" max="10" width="9.109375" style="3"/>
    <col min="11" max="11" width="11.88671875" style="3" bestFit="1" customWidth="1"/>
    <col min="12" max="16384" width="9.109375" style="3"/>
  </cols>
  <sheetData>
    <row r="2" spans="1:11" x14ac:dyDescent="0.25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5">
      <c r="A3" s="5" t="s">
        <v>1</v>
      </c>
      <c r="C3" s="20" t="s">
        <v>3</v>
      </c>
      <c r="D3" s="20"/>
      <c r="E3" s="20"/>
    </row>
    <row r="4" spans="1:11" x14ac:dyDescent="0.25">
      <c r="C4" s="20" t="s">
        <v>4</v>
      </c>
      <c r="D4" s="20"/>
      <c r="E4" s="20"/>
    </row>
    <row r="5" spans="1:11" x14ac:dyDescent="0.25">
      <c r="A5" s="3"/>
      <c r="C5" s="22">
        <v>36861</v>
      </c>
      <c r="D5" s="21"/>
      <c r="E5" s="21"/>
      <c r="F5" s="11"/>
      <c r="G5" s="12"/>
      <c r="H5" s="12"/>
    </row>
    <row r="7" spans="1:11" ht="15" x14ac:dyDescent="0.4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5">
      <c r="B8" s="4" t="s">
        <v>7</v>
      </c>
      <c r="E8" s="3">
        <v>4386235</v>
      </c>
      <c r="H8" s="3">
        <v>4386233</v>
      </c>
      <c r="K8" s="3">
        <f>+E8-H8</f>
        <v>2</v>
      </c>
    </row>
    <row r="9" spans="1:11" x14ac:dyDescent="0.25">
      <c r="C9" s="4" t="s">
        <v>8</v>
      </c>
      <c r="D9" s="3">
        <v>4196989</v>
      </c>
      <c r="G9" s="3">
        <v>4196989</v>
      </c>
      <c r="J9" s="3">
        <f>+D9-G9</f>
        <v>0</v>
      </c>
    </row>
    <row r="10" spans="1:11" x14ac:dyDescent="0.25">
      <c r="C10" s="4" t="s">
        <v>9</v>
      </c>
    </row>
    <row r="11" spans="1:11" x14ac:dyDescent="0.25">
      <c r="C11" s="4" t="s">
        <v>10</v>
      </c>
      <c r="E11" s="3">
        <f>SUM(D9:D10)</f>
        <v>4196989</v>
      </c>
      <c r="H11" s="3">
        <f>SUM(G9:G10)</f>
        <v>4196989</v>
      </c>
      <c r="K11" s="3">
        <f>+E11-H11</f>
        <v>0</v>
      </c>
    </row>
    <row r="12" spans="1:11" x14ac:dyDescent="0.25">
      <c r="C12" s="4"/>
    </row>
    <row r="13" spans="1:11" x14ac:dyDescent="0.25">
      <c r="C13" s="4" t="s">
        <v>11</v>
      </c>
      <c r="E13" s="3">
        <f>+E8-E11</f>
        <v>189246</v>
      </c>
      <c r="H13" s="3">
        <f>+H8-H11</f>
        <v>189244</v>
      </c>
      <c r="K13" s="3">
        <f>+E13-H13</f>
        <v>2</v>
      </c>
    </row>
    <row r="14" spans="1:11" x14ac:dyDescent="0.25">
      <c r="C14" s="4"/>
    </row>
    <row r="15" spans="1:11" x14ac:dyDescent="0.25">
      <c r="B15" s="4" t="s">
        <v>12</v>
      </c>
      <c r="D15" s="3">
        <v>4385614</v>
      </c>
      <c r="G15" s="3">
        <v>4386238</v>
      </c>
    </row>
    <row r="16" spans="1:11" x14ac:dyDescent="0.25">
      <c r="C16" s="4" t="s">
        <v>13</v>
      </c>
      <c r="D16" s="7">
        <v>4.4499999999999998E-2</v>
      </c>
      <c r="E16" s="3">
        <f>+D15*D16</f>
        <v>195159.823</v>
      </c>
      <c r="G16" s="7">
        <v>4.4499999999999998E-2</v>
      </c>
      <c r="H16" s="3">
        <f>+G15*G16</f>
        <v>195187.59099999999</v>
      </c>
      <c r="K16" s="3">
        <f>+E16-H16</f>
        <v>-27.767999999981839</v>
      </c>
    </row>
    <row r="18" spans="1:11" x14ac:dyDescent="0.25">
      <c r="C18" s="4" t="s">
        <v>14</v>
      </c>
      <c r="E18" s="3">
        <f>-E13</f>
        <v>-189246</v>
      </c>
      <c r="H18" s="3">
        <f>-H13</f>
        <v>-189244</v>
      </c>
      <c r="K18" s="3">
        <f>+E18-H18</f>
        <v>-2</v>
      </c>
    </row>
    <row r="20" spans="1:11" x14ac:dyDescent="0.25">
      <c r="A20" s="4" t="s">
        <v>16</v>
      </c>
      <c r="E20" s="3">
        <f>+E16+E18</f>
        <v>5913.823000000004</v>
      </c>
      <c r="H20" s="3">
        <f>+H16+H18</f>
        <v>5943.5909999999858</v>
      </c>
      <c r="K20" s="3">
        <f>+E20-H20</f>
        <v>-29.767999999981839</v>
      </c>
    </row>
    <row r="22" spans="1:11" x14ac:dyDescent="0.25">
      <c r="A22" s="2" t="s">
        <v>15</v>
      </c>
    </row>
    <row r="23" spans="1:11" x14ac:dyDescent="0.25">
      <c r="B23" s="4" t="s">
        <v>7</v>
      </c>
      <c r="E23" s="3">
        <v>1014006</v>
      </c>
      <c r="H23" s="3">
        <v>965076</v>
      </c>
      <c r="K23" s="3">
        <f>+E23-H23</f>
        <v>48930</v>
      </c>
    </row>
    <row r="24" spans="1:11" x14ac:dyDescent="0.25">
      <c r="C24" s="4" t="s">
        <v>8</v>
      </c>
      <c r="D24" s="3">
        <v>0</v>
      </c>
    </row>
    <row r="25" spans="1:11" x14ac:dyDescent="0.25">
      <c r="C25" s="4" t="s">
        <v>9</v>
      </c>
      <c r="D25" s="3">
        <v>969129</v>
      </c>
      <c r="G25" s="3">
        <v>928428</v>
      </c>
    </row>
    <row r="26" spans="1:11" x14ac:dyDescent="0.25">
      <c r="C26" s="4" t="s">
        <v>10</v>
      </c>
      <c r="E26" s="3">
        <f>SUM(D24:D25)</f>
        <v>969129</v>
      </c>
      <c r="H26" s="3">
        <f>SUM(G24:G25)</f>
        <v>928428</v>
      </c>
      <c r="K26" s="3">
        <f>+E26-H26</f>
        <v>40701</v>
      </c>
    </row>
    <row r="27" spans="1:11" x14ac:dyDescent="0.25">
      <c r="C27" s="4"/>
    </row>
    <row r="28" spans="1:11" x14ac:dyDescent="0.25">
      <c r="C28" s="4" t="s">
        <v>11</v>
      </c>
      <c r="E28" s="3">
        <f>+E23-E26</f>
        <v>44877</v>
      </c>
      <c r="H28" s="3">
        <f>+H23-H26</f>
        <v>36648</v>
      </c>
      <c r="K28" s="3">
        <f>+E28-H28</f>
        <v>8229</v>
      </c>
    </row>
    <row r="29" spans="1:11" x14ac:dyDescent="0.25">
      <c r="C29" s="4"/>
    </row>
    <row r="30" spans="1:11" x14ac:dyDescent="0.25">
      <c r="B30" s="4" t="s">
        <v>12</v>
      </c>
      <c r="D30" s="3">
        <v>971574</v>
      </c>
      <c r="G30" s="3">
        <v>971574</v>
      </c>
      <c r="J30" s="3">
        <f>+D30-G30</f>
        <v>0</v>
      </c>
    </row>
    <row r="31" spans="1:11" x14ac:dyDescent="0.25">
      <c r="C31" s="4" t="s">
        <v>13</v>
      </c>
      <c r="D31" s="7">
        <v>4.4499999999999998E-2</v>
      </c>
      <c r="E31" s="3">
        <f>+D30*D31</f>
        <v>43235.042999999998</v>
      </c>
      <c r="G31" s="7">
        <v>4.4499999999999998E-2</v>
      </c>
      <c r="H31" s="3">
        <f>+G30*G31</f>
        <v>43235.042999999998</v>
      </c>
      <c r="K31" s="3">
        <f>+E31-H31</f>
        <v>0</v>
      </c>
    </row>
    <row r="33" spans="1:11" x14ac:dyDescent="0.25">
      <c r="C33" s="4" t="s">
        <v>14</v>
      </c>
      <c r="E33" s="3">
        <f>-E28</f>
        <v>-44877</v>
      </c>
      <c r="H33" s="3">
        <f>-H28</f>
        <v>-36648</v>
      </c>
      <c r="K33" s="3">
        <f>+E33-H33</f>
        <v>-8229</v>
      </c>
    </row>
    <row r="35" spans="1:11" x14ac:dyDescent="0.25">
      <c r="A35" s="4" t="s">
        <v>16</v>
      </c>
      <c r="E35" s="3">
        <f>+E31+E33</f>
        <v>-1641.9570000000022</v>
      </c>
      <c r="H35" s="3">
        <f>+H31+H33</f>
        <v>6587.0429999999978</v>
      </c>
      <c r="K35" s="3">
        <f>+E35-H35</f>
        <v>-8229</v>
      </c>
    </row>
    <row r="37" spans="1:11" x14ac:dyDescent="0.25">
      <c r="C37" s="4" t="s">
        <v>17</v>
      </c>
      <c r="E37" s="3">
        <f>+E35+E20</f>
        <v>4271.8660000000018</v>
      </c>
      <c r="H37" s="3">
        <f>+H35+H20</f>
        <v>12530.633999999984</v>
      </c>
      <c r="K37" s="3">
        <f>+E37-H37</f>
        <v>-8258.7679999999818</v>
      </c>
    </row>
    <row r="39" spans="1:11" x14ac:dyDescent="0.25">
      <c r="C39" s="4" t="s">
        <v>18</v>
      </c>
      <c r="E39" s="8">
        <v>9.0429999999999993</v>
      </c>
      <c r="H39" s="8">
        <v>9.2004999999999999</v>
      </c>
      <c r="K39" s="8">
        <f>+H39</f>
        <v>9.2004999999999999</v>
      </c>
    </row>
    <row r="41" spans="1:11" x14ac:dyDescent="0.25">
      <c r="C41" s="4" t="s">
        <v>19</v>
      </c>
      <c r="E41" s="9">
        <f>+E37*E39</f>
        <v>38630.484238000012</v>
      </c>
      <c r="H41" s="9">
        <f>+H37*H39</f>
        <v>115288.09811699984</v>
      </c>
      <c r="K41" s="9">
        <f>+E41-H41</f>
        <v>-76657.613878999837</v>
      </c>
    </row>
    <row r="43" spans="1:11" x14ac:dyDescent="0.25">
      <c r="A43" s="4" t="s">
        <v>20</v>
      </c>
      <c r="C43" s="6">
        <v>101021</v>
      </c>
      <c r="D43" s="3">
        <f>+D9</f>
        <v>4196989</v>
      </c>
      <c r="E43" s="9">
        <v>45930.02</v>
      </c>
      <c r="F43" s="8">
        <f>+E43/D43</f>
        <v>1.0943564541150809E-2</v>
      </c>
      <c r="H43" s="9"/>
      <c r="I43" s="10"/>
    </row>
    <row r="44" spans="1:11" x14ac:dyDescent="0.25">
      <c r="A44" s="4"/>
      <c r="C44" s="6">
        <v>101073</v>
      </c>
      <c r="D44" s="3">
        <f>+D25</f>
        <v>969129</v>
      </c>
      <c r="E44" s="9">
        <f>9943.38+484.34</f>
        <v>10427.719999999999</v>
      </c>
      <c r="F44" s="8">
        <f>+E44/D44</f>
        <v>1.0759888518453166E-2</v>
      </c>
      <c r="H44" s="9"/>
      <c r="I44" s="10"/>
    </row>
    <row r="45" spans="1:11" ht="13.8" thickBot="1" x14ac:dyDescent="0.3">
      <c r="E45" s="13">
        <f>SUM(E43:E44)</f>
        <v>56357.74</v>
      </c>
      <c r="H45" s="13">
        <v>115291.13</v>
      </c>
      <c r="K45" s="13">
        <f>+E45-H45</f>
        <v>-58933.390000000007</v>
      </c>
    </row>
    <row r="46" spans="1:11" ht="13.8" thickTop="1" x14ac:dyDescent="0.25">
      <c r="C46" s="4" t="s">
        <v>21</v>
      </c>
      <c r="E46" s="9">
        <f>+E41-E43-E44</f>
        <v>-17727.255761999986</v>
      </c>
      <c r="H46" s="9">
        <f>+H41-H45</f>
        <v>-3.0318830001633614</v>
      </c>
      <c r="K46" s="3">
        <f>+E46-H46</f>
        <v>-17724.223878999823</v>
      </c>
    </row>
    <row r="48" spans="1:11" x14ac:dyDescent="0.25">
      <c r="A48" s="4" t="s">
        <v>22</v>
      </c>
      <c r="E48" s="9"/>
    </row>
    <row r="50" spans="3:5" x14ac:dyDescent="0.25">
      <c r="C50" s="4" t="s">
        <v>21</v>
      </c>
      <c r="E50" s="9">
        <f>+E46-E48</f>
        <v>-17727.255761999986</v>
      </c>
    </row>
    <row r="51" spans="3:5" x14ac:dyDescent="0.25">
      <c r="C51" s="4"/>
      <c r="E51" s="9"/>
    </row>
    <row r="52" spans="3:5" x14ac:dyDescent="0.25">
      <c r="C52" s="4"/>
      <c r="E52" s="9"/>
    </row>
    <row r="54" spans="3:5" x14ac:dyDescent="0.25">
      <c r="C54" s="4"/>
      <c r="E54" s="9"/>
    </row>
    <row r="55" spans="3:5" x14ac:dyDescent="0.25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79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topLeftCell="B1" workbookViewId="0">
      <selection activeCell="H41" sqref="H41"/>
    </sheetView>
  </sheetViews>
  <sheetFormatPr defaultColWidth="9.109375" defaultRowHeight="13.2" x14ac:dyDescent="0.25"/>
  <cols>
    <col min="1" max="1" width="9.109375" style="6"/>
    <col min="2" max="2" width="7.109375" style="3" customWidth="1"/>
    <col min="3" max="3" width="15.33203125" style="3" customWidth="1"/>
    <col min="4" max="4" width="11.33203125" style="3" bestFit="1" customWidth="1"/>
    <col min="5" max="5" width="13.44140625" style="3" customWidth="1"/>
    <col min="6" max="6" width="10.33203125" style="3" bestFit="1" customWidth="1"/>
    <col min="7" max="7" width="10.88671875" style="3" customWidth="1"/>
    <col min="8" max="8" width="13.88671875" style="3" customWidth="1"/>
    <col min="9" max="9" width="1.5546875" style="3" customWidth="1"/>
    <col min="10" max="10" width="9.109375" style="3"/>
    <col min="11" max="11" width="11.88671875" style="3" bestFit="1" customWidth="1"/>
    <col min="12" max="16384" width="9.109375" style="3"/>
  </cols>
  <sheetData>
    <row r="2" spans="1:11" x14ac:dyDescent="0.25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5">
      <c r="A3" s="5" t="s">
        <v>1</v>
      </c>
      <c r="C3" s="20" t="s">
        <v>3</v>
      </c>
      <c r="D3" s="20"/>
      <c r="E3" s="20"/>
    </row>
    <row r="4" spans="1:11" x14ac:dyDescent="0.25">
      <c r="C4" s="20" t="s">
        <v>4</v>
      </c>
      <c r="D4" s="20"/>
      <c r="E4" s="20"/>
    </row>
    <row r="5" spans="1:11" x14ac:dyDescent="0.25">
      <c r="A5" s="3"/>
      <c r="C5" s="22">
        <v>36892</v>
      </c>
      <c r="D5" s="21"/>
      <c r="E5" s="21"/>
      <c r="F5" s="11"/>
      <c r="G5" s="12"/>
      <c r="H5" s="12"/>
    </row>
    <row r="7" spans="1:11" ht="15" x14ac:dyDescent="0.4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5">
      <c r="B8" s="4" t="s">
        <v>7</v>
      </c>
      <c r="E8" s="3">
        <v>4492506</v>
      </c>
      <c r="H8" s="3">
        <v>4492506</v>
      </c>
      <c r="K8" s="3">
        <f>+E8-H8</f>
        <v>0</v>
      </c>
    </row>
    <row r="9" spans="1:11" x14ac:dyDescent="0.25">
      <c r="C9" s="4" t="s">
        <v>8</v>
      </c>
      <c r="D9" s="3">
        <v>4297694</v>
      </c>
      <c r="G9" s="3">
        <v>4297694</v>
      </c>
      <c r="J9" s="3">
        <f>+D9-G9</f>
        <v>0</v>
      </c>
    </row>
    <row r="10" spans="1:11" x14ac:dyDescent="0.25">
      <c r="C10" s="4" t="s">
        <v>9</v>
      </c>
    </row>
    <row r="11" spans="1:11" x14ac:dyDescent="0.25">
      <c r="C11" s="4" t="s">
        <v>10</v>
      </c>
      <c r="E11" s="3">
        <f>SUM(D9:D10)</f>
        <v>4297694</v>
      </c>
      <c r="H11" s="3">
        <f>SUM(G9:G10)</f>
        <v>4297694</v>
      </c>
      <c r="K11" s="3">
        <f>+E11-H11</f>
        <v>0</v>
      </c>
    </row>
    <row r="12" spans="1:11" x14ac:dyDescent="0.25">
      <c r="C12" s="4"/>
    </row>
    <row r="13" spans="1:11" x14ac:dyDescent="0.25">
      <c r="C13" s="4" t="s">
        <v>11</v>
      </c>
      <c r="E13" s="3">
        <f>+E8-E11</f>
        <v>194812</v>
      </c>
      <c r="H13" s="3">
        <f>+H8-H11</f>
        <v>194812</v>
      </c>
      <c r="K13" s="3">
        <f>+E13-H13</f>
        <v>0</v>
      </c>
    </row>
    <row r="14" spans="1:11" x14ac:dyDescent="0.25">
      <c r="C14" s="4"/>
    </row>
    <row r="15" spans="1:11" x14ac:dyDescent="0.25">
      <c r="B15" s="4" t="s">
        <v>12</v>
      </c>
      <c r="D15" s="3">
        <v>4488758</v>
      </c>
      <c r="G15" s="3">
        <v>4488758</v>
      </c>
    </row>
    <row r="16" spans="1:11" x14ac:dyDescent="0.25">
      <c r="C16" s="4" t="s">
        <v>13</v>
      </c>
      <c r="D16" s="7">
        <v>4.4499999999999998E-2</v>
      </c>
      <c r="E16" s="3">
        <f>+D15*D16</f>
        <v>199749.731</v>
      </c>
      <c r="G16" s="7">
        <v>4.4499999999999998E-2</v>
      </c>
      <c r="H16" s="3">
        <f>+G15*G16</f>
        <v>199749.731</v>
      </c>
      <c r="K16" s="3">
        <f>+E16-H16</f>
        <v>0</v>
      </c>
    </row>
    <row r="18" spans="1:11" x14ac:dyDescent="0.25">
      <c r="C18" s="4" t="s">
        <v>14</v>
      </c>
      <c r="E18" s="3">
        <f>-E13</f>
        <v>-194812</v>
      </c>
      <c r="H18" s="3">
        <f>-H13</f>
        <v>-194812</v>
      </c>
      <c r="K18" s="3">
        <f>+E18-H18</f>
        <v>0</v>
      </c>
    </row>
    <row r="20" spans="1:11" x14ac:dyDescent="0.25">
      <c r="A20" s="4" t="s">
        <v>16</v>
      </c>
      <c r="E20" s="3">
        <f>+E16+E18</f>
        <v>4937.7309999999998</v>
      </c>
      <c r="H20" s="3">
        <f>+H16+H18</f>
        <v>4937.7309999999998</v>
      </c>
      <c r="K20" s="3">
        <f>+E20-H20</f>
        <v>0</v>
      </c>
    </row>
    <row r="22" spans="1:11" x14ac:dyDescent="0.25">
      <c r="A22" s="2" t="s">
        <v>15</v>
      </c>
    </row>
    <row r="23" spans="1:11" x14ac:dyDescent="0.25">
      <c r="B23" s="4" t="s">
        <v>7</v>
      </c>
      <c r="E23" s="3">
        <f>1108822-4163</f>
        <v>1104659</v>
      </c>
      <c r="H23" s="3">
        <v>1001370</v>
      </c>
      <c r="K23" s="3">
        <f>+E23-H23</f>
        <v>103289</v>
      </c>
    </row>
    <row r="24" spans="1:11" x14ac:dyDescent="0.25">
      <c r="C24" s="4" t="s">
        <v>8</v>
      </c>
      <c r="D24" s="3">
        <v>0</v>
      </c>
    </row>
    <row r="25" spans="1:11" x14ac:dyDescent="0.25">
      <c r="C25" s="4" t="s">
        <v>9</v>
      </c>
      <c r="D25" s="3">
        <v>1056726</v>
      </c>
      <c r="G25" s="3">
        <v>957600</v>
      </c>
    </row>
    <row r="26" spans="1:11" x14ac:dyDescent="0.25">
      <c r="C26" s="4" t="s">
        <v>10</v>
      </c>
      <c r="E26" s="3">
        <f>SUM(D24:D25)</f>
        <v>1056726</v>
      </c>
      <c r="H26" s="3">
        <f>SUM(G24:G25)</f>
        <v>957600</v>
      </c>
      <c r="K26" s="3">
        <f>+E26-H26</f>
        <v>99126</v>
      </c>
    </row>
    <row r="27" spans="1:11" x14ac:dyDescent="0.25">
      <c r="C27" s="4"/>
    </row>
    <row r="28" spans="1:11" x14ac:dyDescent="0.25">
      <c r="C28" s="4" t="s">
        <v>11</v>
      </c>
      <c r="E28" s="3">
        <f>+E23-E26</f>
        <v>47933</v>
      </c>
      <c r="H28" s="3">
        <f>+H23-H26</f>
        <v>43770</v>
      </c>
      <c r="K28" s="3">
        <f>+E28-H28</f>
        <v>4163</v>
      </c>
    </row>
    <row r="29" spans="1:11" x14ac:dyDescent="0.25">
      <c r="C29" s="4"/>
    </row>
    <row r="30" spans="1:11" x14ac:dyDescent="0.25">
      <c r="B30" s="4" t="s">
        <v>12</v>
      </c>
      <c r="D30" s="3">
        <v>1001370</v>
      </c>
      <c r="G30" s="3">
        <v>1001370</v>
      </c>
      <c r="J30" s="3">
        <f>+D30-G30</f>
        <v>0</v>
      </c>
    </row>
    <row r="31" spans="1:11" x14ac:dyDescent="0.25">
      <c r="C31" s="4" t="s">
        <v>13</v>
      </c>
      <c r="D31" s="7">
        <v>4.4499999999999998E-2</v>
      </c>
      <c r="E31" s="3">
        <f>+D30*D31</f>
        <v>44560.964999999997</v>
      </c>
      <c r="G31" s="7">
        <v>4.4499999999999998E-2</v>
      </c>
      <c r="H31" s="3">
        <f>+G30*G31</f>
        <v>44560.964999999997</v>
      </c>
      <c r="K31" s="3">
        <f>+E31-H31</f>
        <v>0</v>
      </c>
    </row>
    <row r="33" spans="1:11" x14ac:dyDescent="0.25">
      <c r="C33" s="4" t="s">
        <v>14</v>
      </c>
      <c r="E33" s="3">
        <f>-E28</f>
        <v>-47933</v>
      </c>
      <c r="H33" s="3">
        <f>-H28</f>
        <v>-43770</v>
      </c>
      <c r="K33" s="3">
        <f>+E33-H33</f>
        <v>-4163</v>
      </c>
    </row>
    <row r="35" spans="1:11" x14ac:dyDescent="0.25">
      <c r="A35" s="4" t="s">
        <v>16</v>
      </c>
      <c r="E35" s="3">
        <f>+E31+E33</f>
        <v>-3372.0350000000035</v>
      </c>
      <c r="H35" s="3">
        <f>+H31+H33</f>
        <v>790.96499999999651</v>
      </c>
      <c r="K35" s="3">
        <f>+E35-H35</f>
        <v>-4163</v>
      </c>
    </row>
    <row r="37" spans="1:11" x14ac:dyDescent="0.25">
      <c r="C37" s="4" t="s">
        <v>17</v>
      </c>
      <c r="E37" s="3">
        <f>+E35+E20</f>
        <v>1565.6959999999963</v>
      </c>
      <c r="H37" s="3">
        <f>+H35+H20</f>
        <v>5728.6959999999963</v>
      </c>
      <c r="K37" s="3">
        <f>+E37-H37</f>
        <v>-4163</v>
      </c>
    </row>
    <row r="39" spans="1:11" x14ac:dyDescent="0.25">
      <c r="C39" s="4" t="s">
        <v>18</v>
      </c>
      <c r="E39" s="8">
        <v>8.1159999999999997</v>
      </c>
      <c r="H39" s="8">
        <f>+E39</f>
        <v>8.1159999999999997</v>
      </c>
      <c r="K39" s="8">
        <f>+H39</f>
        <v>8.1159999999999997</v>
      </c>
    </row>
    <row r="41" spans="1:11" x14ac:dyDescent="0.25">
      <c r="C41" s="4" t="s">
        <v>19</v>
      </c>
      <c r="E41" s="9">
        <f>+E37*E39</f>
        <v>12707.188735999969</v>
      </c>
      <c r="H41" s="9">
        <f>+H37*H39</f>
        <v>46494.09673599997</v>
      </c>
      <c r="K41" s="9">
        <f>+E41-H41</f>
        <v>-33786.908000000003</v>
      </c>
    </row>
    <row r="43" spans="1:11" x14ac:dyDescent="0.25">
      <c r="A43" s="4" t="s">
        <v>20</v>
      </c>
      <c r="C43" s="6">
        <v>101021</v>
      </c>
      <c r="D43" s="3">
        <f>+D9</f>
        <v>4297694</v>
      </c>
      <c r="E43" s="9">
        <v>43102.85</v>
      </c>
      <c r="F43" s="8">
        <f>+E43/D43</f>
        <v>1.0029297106774004E-2</v>
      </c>
      <c r="H43" s="9"/>
      <c r="I43" s="10"/>
    </row>
    <row r="44" spans="1:11" x14ac:dyDescent="0.25">
      <c r="A44" s="4"/>
      <c r="C44" s="6">
        <v>101073</v>
      </c>
      <c r="D44" s="3">
        <f>+D25</f>
        <v>1056726</v>
      </c>
      <c r="E44" s="9">
        <f>9542.82+1130.04</f>
        <v>10672.86</v>
      </c>
      <c r="F44" s="8">
        <f>+E44/D44</f>
        <v>1.0099931297233153E-2</v>
      </c>
      <c r="H44" s="9"/>
      <c r="I44" s="10"/>
    </row>
    <row r="45" spans="1:11" ht="13.8" thickBot="1" x14ac:dyDescent="0.3">
      <c r="E45" s="13">
        <f>SUM(E43:E44)</f>
        <v>53775.71</v>
      </c>
      <c r="H45" s="13">
        <v>46519.87</v>
      </c>
      <c r="K45" s="13">
        <f>+E45-H45</f>
        <v>7255.8399999999965</v>
      </c>
    </row>
    <row r="46" spans="1:11" ht="13.8" thickTop="1" x14ac:dyDescent="0.25">
      <c r="C46" s="4" t="s">
        <v>21</v>
      </c>
      <c r="E46" s="9">
        <f>+E41-E43-E44</f>
        <v>-41068.521264000032</v>
      </c>
      <c r="H46" s="9">
        <f>+H41-H45</f>
        <v>-25.773264000032214</v>
      </c>
      <c r="K46" s="3">
        <f>+E46-H46</f>
        <v>-41042.748</v>
      </c>
    </row>
    <row r="48" spans="1:11" x14ac:dyDescent="0.25">
      <c r="A48" s="4" t="s">
        <v>22</v>
      </c>
      <c r="E48" s="9"/>
    </row>
    <row r="50" spans="3:5" x14ac:dyDescent="0.25">
      <c r="C50" s="4" t="s">
        <v>21</v>
      </c>
      <c r="E50" s="9">
        <f>+E46-E48</f>
        <v>-41068.521264000032</v>
      </c>
    </row>
    <row r="51" spans="3:5" x14ac:dyDescent="0.25">
      <c r="C51" s="4"/>
      <c r="E51" s="9"/>
    </row>
    <row r="52" spans="3:5" x14ac:dyDescent="0.25">
      <c r="C52" s="4"/>
      <c r="E52" s="9"/>
    </row>
    <row r="54" spans="3:5" x14ac:dyDescent="0.25">
      <c r="C54" s="4"/>
      <c r="E54" s="9"/>
    </row>
    <row r="55" spans="3:5" x14ac:dyDescent="0.25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79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topLeftCell="D26" workbookViewId="0">
      <selection activeCell="M45" sqref="M45"/>
    </sheetView>
  </sheetViews>
  <sheetFormatPr defaultColWidth="9.109375" defaultRowHeight="13.2" x14ac:dyDescent="0.25"/>
  <cols>
    <col min="1" max="1" width="9.109375" style="6"/>
    <col min="2" max="2" width="7.109375" style="3" customWidth="1"/>
    <col min="3" max="3" width="15.33203125" style="3" customWidth="1"/>
    <col min="4" max="4" width="11.33203125" style="3" bestFit="1" customWidth="1"/>
    <col min="5" max="5" width="13.44140625" style="3" customWidth="1"/>
    <col min="6" max="6" width="10.33203125" style="3" bestFit="1" customWidth="1"/>
    <col min="7" max="7" width="10.88671875" style="3" customWidth="1"/>
    <col min="8" max="8" width="13.88671875" style="3" customWidth="1"/>
    <col min="9" max="9" width="1.5546875" style="3" customWidth="1"/>
    <col min="10" max="10" width="9.109375" style="3"/>
    <col min="11" max="11" width="11" style="3" customWidth="1"/>
    <col min="12" max="16384" width="9.109375" style="3"/>
  </cols>
  <sheetData>
    <row r="2" spans="1:11" x14ac:dyDescent="0.25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5">
      <c r="A3" s="5" t="s">
        <v>1</v>
      </c>
      <c r="C3" s="20" t="s">
        <v>3</v>
      </c>
      <c r="D3" s="20"/>
      <c r="E3" s="20"/>
    </row>
    <row r="4" spans="1:11" x14ac:dyDescent="0.25">
      <c r="C4" s="20" t="s">
        <v>4</v>
      </c>
      <c r="D4" s="20"/>
      <c r="E4" s="20"/>
    </row>
    <row r="5" spans="1:11" x14ac:dyDescent="0.25">
      <c r="A5" s="3"/>
      <c r="C5" s="22">
        <v>36923</v>
      </c>
      <c r="D5" s="21"/>
      <c r="E5" s="21"/>
      <c r="F5" s="11"/>
      <c r="G5" s="12"/>
      <c r="H5" s="12"/>
    </row>
    <row r="7" spans="1:11" ht="15" x14ac:dyDescent="0.4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5">
      <c r="B8" s="4" t="s">
        <v>7</v>
      </c>
      <c r="E8" s="3">
        <v>3901262</v>
      </c>
      <c r="H8" s="3">
        <v>3901262</v>
      </c>
      <c r="K8" s="3">
        <f>+E8-H8</f>
        <v>0</v>
      </c>
    </row>
    <row r="9" spans="1:11" x14ac:dyDescent="0.25">
      <c r="C9" s="4" t="s">
        <v>8</v>
      </c>
      <c r="D9" s="3">
        <v>3732395</v>
      </c>
      <c r="G9" s="3">
        <v>3732395</v>
      </c>
      <c r="J9" s="3">
        <f>+D9-G9</f>
        <v>0</v>
      </c>
    </row>
    <row r="10" spans="1:11" x14ac:dyDescent="0.25">
      <c r="C10" s="4" t="s">
        <v>9</v>
      </c>
    </row>
    <row r="11" spans="1:11" x14ac:dyDescent="0.25">
      <c r="C11" s="4" t="s">
        <v>10</v>
      </c>
      <c r="E11" s="3">
        <f>SUM(D9:D10)</f>
        <v>3732395</v>
      </c>
      <c r="H11" s="3">
        <f>SUM(G9:G10)</f>
        <v>3732395</v>
      </c>
      <c r="K11" s="3">
        <f>+E11-H11</f>
        <v>0</v>
      </c>
    </row>
    <row r="12" spans="1:11" x14ac:dyDescent="0.25">
      <c r="C12" s="4"/>
    </row>
    <row r="13" spans="1:11" x14ac:dyDescent="0.25">
      <c r="C13" s="4" t="s">
        <v>11</v>
      </c>
      <c r="E13" s="3">
        <f>+E8-E11</f>
        <v>168867</v>
      </c>
      <c r="H13" s="3">
        <f>+H8-H11</f>
        <v>168867</v>
      </c>
      <c r="K13" s="3">
        <f>+E13-H13</f>
        <v>0</v>
      </c>
    </row>
    <row r="14" spans="1:11" x14ac:dyDescent="0.25">
      <c r="C14" s="4"/>
    </row>
    <row r="15" spans="1:11" x14ac:dyDescent="0.25">
      <c r="B15" s="4" t="s">
        <v>12</v>
      </c>
      <c r="D15" s="3">
        <v>3897226</v>
      </c>
      <c r="G15" s="3">
        <v>3897226</v>
      </c>
    </row>
    <row r="16" spans="1:11" x14ac:dyDescent="0.25">
      <c r="C16" s="4" t="s">
        <v>13</v>
      </c>
      <c r="D16" s="7">
        <v>4.4499999999999998E-2</v>
      </c>
      <c r="E16" s="3">
        <f>+D15*D16</f>
        <v>173426.557</v>
      </c>
      <c r="G16" s="7">
        <v>4.4499999999999998E-2</v>
      </c>
      <c r="H16" s="3">
        <f>+G15*G16</f>
        <v>173426.557</v>
      </c>
      <c r="K16" s="3">
        <f>+E16-H16</f>
        <v>0</v>
      </c>
    </row>
    <row r="18" spans="1:11" x14ac:dyDescent="0.25">
      <c r="C18" s="4" t="s">
        <v>14</v>
      </c>
      <c r="E18" s="3">
        <f>-E13</f>
        <v>-168867</v>
      </c>
      <c r="H18" s="3">
        <f>-H13</f>
        <v>-168867</v>
      </c>
      <c r="K18" s="3">
        <f>+E18-H18</f>
        <v>0</v>
      </c>
    </row>
    <row r="20" spans="1:11" x14ac:dyDescent="0.25">
      <c r="A20" s="4" t="s">
        <v>16</v>
      </c>
      <c r="E20" s="3">
        <f>+E16+E18</f>
        <v>4559.5570000000007</v>
      </c>
      <c r="H20" s="3">
        <f>+H16+H18</f>
        <v>4559.5570000000007</v>
      </c>
      <c r="K20" s="3">
        <f>+E20-H20</f>
        <v>0</v>
      </c>
    </row>
    <row r="22" spans="1:11" x14ac:dyDescent="0.25">
      <c r="A22" s="2" t="s">
        <v>15</v>
      </c>
    </row>
    <row r="23" spans="1:11" x14ac:dyDescent="0.25">
      <c r="B23" s="4" t="s">
        <v>7</v>
      </c>
      <c r="E23" s="3">
        <v>878562</v>
      </c>
      <c r="H23" s="3">
        <v>850728</v>
      </c>
      <c r="K23" s="3">
        <f>+E23-H23</f>
        <v>27834</v>
      </c>
    </row>
    <row r="24" spans="1:11" x14ac:dyDescent="0.25">
      <c r="C24" s="4" t="s">
        <v>8</v>
      </c>
      <c r="D24" s="3">
        <v>0</v>
      </c>
    </row>
    <row r="25" spans="1:11" x14ac:dyDescent="0.25">
      <c r="C25" s="4" t="s">
        <v>9</v>
      </c>
      <c r="D25" s="3">
        <v>839676</v>
      </c>
      <c r="G25" s="3">
        <v>808968</v>
      </c>
    </row>
    <row r="26" spans="1:11" x14ac:dyDescent="0.25">
      <c r="C26" s="4" t="s">
        <v>10</v>
      </c>
      <c r="E26" s="3">
        <f>SUM(D24:D25)</f>
        <v>839676</v>
      </c>
      <c r="H26" s="3">
        <f>SUM(G24:G25)</f>
        <v>808968</v>
      </c>
      <c r="K26" s="3">
        <f>+E26-H26</f>
        <v>30708</v>
      </c>
    </row>
    <row r="27" spans="1:11" x14ac:dyDescent="0.25">
      <c r="C27" s="4"/>
    </row>
    <row r="28" spans="1:11" x14ac:dyDescent="0.25">
      <c r="C28" s="4" t="s">
        <v>11</v>
      </c>
      <c r="E28" s="3">
        <f>+E23-E26</f>
        <v>38886</v>
      </c>
      <c r="H28" s="3">
        <f>+H23-H26</f>
        <v>41760</v>
      </c>
      <c r="K28" s="3">
        <f>+E28-H28</f>
        <v>-2874</v>
      </c>
    </row>
    <row r="29" spans="1:11" x14ac:dyDescent="0.25">
      <c r="C29" s="4"/>
    </row>
    <row r="30" spans="1:11" x14ac:dyDescent="0.25">
      <c r="B30" s="4" t="s">
        <v>12</v>
      </c>
      <c r="D30" s="3">
        <v>846565</v>
      </c>
      <c r="G30" s="3">
        <v>846565</v>
      </c>
      <c r="J30" s="3">
        <f>+D30-G30</f>
        <v>0</v>
      </c>
    </row>
    <row r="31" spans="1:11" x14ac:dyDescent="0.25">
      <c r="C31" s="4" t="s">
        <v>13</v>
      </c>
      <c r="D31" s="7">
        <v>4.4499999999999998E-2</v>
      </c>
      <c r="E31" s="3">
        <f>+D30*D31</f>
        <v>37672.142500000002</v>
      </c>
      <c r="G31" s="7">
        <v>4.4499999999999998E-2</v>
      </c>
      <c r="H31" s="3">
        <f>+G30*G31</f>
        <v>37672.142500000002</v>
      </c>
      <c r="K31" s="3">
        <f>+E31-H31</f>
        <v>0</v>
      </c>
    </row>
    <row r="33" spans="1:11" x14ac:dyDescent="0.25">
      <c r="C33" s="4" t="s">
        <v>14</v>
      </c>
      <c r="E33" s="3">
        <f>-E28</f>
        <v>-38886</v>
      </c>
      <c r="H33" s="3">
        <f>-H28</f>
        <v>-41760</v>
      </c>
      <c r="K33" s="3">
        <f>+E33-H33</f>
        <v>2874</v>
      </c>
    </row>
    <row r="35" spans="1:11" x14ac:dyDescent="0.25">
      <c r="A35" s="4" t="s">
        <v>16</v>
      </c>
      <c r="E35" s="3">
        <f>+E31+E33</f>
        <v>-1213.8574999999983</v>
      </c>
      <c r="H35" s="3">
        <f>+H31+H33</f>
        <v>-4087.8574999999983</v>
      </c>
      <c r="K35" s="3">
        <f>+E35-H35</f>
        <v>2874</v>
      </c>
    </row>
    <row r="37" spans="1:11" x14ac:dyDescent="0.25">
      <c r="C37" s="4" t="s">
        <v>17</v>
      </c>
      <c r="E37" s="3">
        <f>+E35+E20</f>
        <v>3345.6995000000024</v>
      </c>
      <c r="H37" s="3">
        <f>+H35+H20</f>
        <v>471.69950000000244</v>
      </c>
      <c r="K37" s="3">
        <f>+E37-H37</f>
        <v>2874</v>
      </c>
    </row>
    <row r="39" spans="1:11" x14ac:dyDescent="0.25">
      <c r="C39" s="4" t="s">
        <v>18</v>
      </c>
      <c r="E39" s="8">
        <v>5.6639999999999997</v>
      </c>
      <c r="H39" s="8">
        <f>+E39</f>
        <v>5.6639999999999997</v>
      </c>
      <c r="K39" s="8">
        <f>+H39</f>
        <v>5.6639999999999997</v>
      </c>
    </row>
    <row r="41" spans="1:11" x14ac:dyDescent="0.25">
      <c r="C41" s="4" t="s">
        <v>19</v>
      </c>
      <c r="E41" s="9">
        <f>+E37*E39</f>
        <v>18950.041968000012</v>
      </c>
      <c r="H41" s="9">
        <f>+H37*H39</f>
        <v>2671.7059680000139</v>
      </c>
      <c r="K41" s="9">
        <f>+E41-H41</f>
        <v>16278.335999999999</v>
      </c>
    </row>
    <row r="43" spans="1:11" x14ac:dyDescent="0.25">
      <c r="A43" s="4" t="s">
        <v>20</v>
      </c>
      <c r="C43" s="6">
        <v>101021</v>
      </c>
      <c r="D43" s="3">
        <f>+D9</f>
        <v>3732395</v>
      </c>
      <c r="E43" s="9">
        <v>36718.660000000003</v>
      </c>
      <c r="F43" s="8">
        <f>+E43/D43</f>
        <v>9.8378279898027957E-3</v>
      </c>
      <c r="H43" s="9"/>
      <c r="I43" s="10"/>
    </row>
    <row r="44" spans="1:11" x14ac:dyDescent="0.25">
      <c r="A44" s="4"/>
      <c r="C44" s="6">
        <v>101073</v>
      </c>
      <c r="D44" s="3">
        <f>+D25</f>
        <v>839676</v>
      </c>
      <c r="E44" s="9">
        <f>7822.68+350.07</f>
        <v>8172.75</v>
      </c>
      <c r="F44" s="8">
        <f>+E44/D44</f>
        <v>9.7332185271461844E-3</v>
      </c>
      <c r="H44" s="9"/>
      <c r="I44" s="10"/>
    </row>
    <row r="45" spans="1:11" ht="13.8" thickBot="1" x14ac:dyDescent="0.3">
      <c r="E45" s="13">
        <f>SUM(E43:E44)</f>
        <v>44891.41</v>
      </c>
      <c r="H45" s="13">
        <v>2670.32</v>
      </c>
      <c r="K45" s="13">
        <f>+E45-H45</f>
        <v>42221.090000000004</v>
      </c>
    </row>
    <row r="46" spans="1:11" ht="13.8" thickTop="1" x14ac:dyDescent="0.25">
      <c r="C46" s="4" t="s">
        <v>21</v>
      </c>
      <c r="E46" s="9">
        <f>+E41-E43-E44</f>
        <v>-25941.368031999991</v>
      </c>
      <c r="H46" s="9">
        <f>+H41-H45</f>
        <v>1.3859680000136905</v>
      </c>
      <c r="K46" s="3">
        <f>+E46-H46</f>
        <v>-25942.754000000004</v>
      </c>
    </row>
    <row r="48" spans="1:11" x14ac:dyDescent="0.25">
      <c r="A48" s="4" t="s">
        <v>22</v>
      </c>
      <c r="E48" s="9"/>
    </row>
    <row r="50" spans="3:5" x14ac:dyDescent="0.25">
      <c r="C50" s="4" t="s">
        <v>21</v>
      </c>
      <c r="E50" s="9">
        <f>+E46-E48</f>
        <v>-25941.368031999991</v>
      </c>
    </row>
    <row r="51" spans="3:5" x14ac:dyDescent="0.25">
      <c r="C51" s="4"/>
      <c r="E51" s="9"/>
    </row>
    <row r="52" spans="3:5" x14ac:dyDescent="0.25">
      <c r="C52" s="4"/>
      <c r="E52" s="9"/>
    </row>
    <row r="54" spans="3:5" x14ac:dyDescent="0.25">
      <c r="C54" s="4"/>
      <c r="E54" s="9"/>
    </row>
    <row r="55" spans="3:5" x14ac:dyDescent="0.25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topLeftCell="A25" workbookViewId="0">
      <selection activeCell="H46" sqref="H46"/>
    </sheetView>
  </sheetViews>
  <sheetFormatPr defaultColWidth="9.109375" defaultRowHeight="13.2" x14ac:dyDescent="0.25"/>
  <cols>
    <col min="1" max="1" width="9.109375" style="6"/>
    <col min="2" max="2" width="7.109375" style="3" customWidth="1"/>
    <col min="3" max="3" width="15.33203125" style="3" customWidth="1"/>
    <col min="4" max="4" width="11.33203125" style="3" bestFit="1" customWidth="1"/>
    <col min="5" max="5" width="13.44140625" style="3" customWidth="1"/>
    <col min="6" max="6" width="10.33203125" style="3" bestFit="1" customWidth="1"/>
    <col min="7" max="7" width="10.88671875" style="3" customWidth="1"/>
    <col min="8" max="8" width="13.88671875" style="3" customWidth="1"/>
    <col min="9" max="9" width="1.5546875" style="3" customWidth="1"/>
    <col min="10" max="10" width="9.109375" style="3"/>
    <col min="11" max="11" width="11" style="3" customWidth="1"/>
    <col min="12" max="16384" width="9.109375" style="3"/>
  </cols>
  <sheetData>
    <row r="2" spans="1:11" x14ac:dyDescent="0.25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5">
      <c r="A3" s="5" t="s">
        <v>1</v>
      </c>
      <c r="C3" s="20" t="s">
        <v>3</v>
      </c>
      <c r="D3" s="20"/>
      <c r="E3" s="20"/>
    </row>
    <row r="4" spans="1:11" x14ac:dyDescent="0.25">
      <c r="C4" s="20" t="s">
        <v>4</v>
      </c>
      <c r="D4" s="20"/>
      <c r="E4" s="20"/>
    </row>
    <row r="5" spans="1:11" x14ac:dyDescent="0.25">
      <c r="A5" s="3"/>
      <c r="C5" s="22">
        <v>36951</v>
      </c>
      <c r="D5" s="21"/>
      <c r="E5" s="21"/>
      <c r="F5" s="11"/>
      <c r="G5" s="12"/>
      <c r="H5" s="12"/>
    </row>
    <row r="7" spans="1:11" ht="15" x14ac:dyDescent="0.4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5">
      <c r="B8" s="4" t="s">
        <v>7</v>
      </c>
      <c r="E8" s="3">
        <v>4432724</v>
      </c>
      <c r="H8" s="3">
        <v>4432724</v>
      </c>
      <c r="K8" s="3">
        <f>+E8-H8</f>
        <v>0</v>
      </c>
    </row>
    <row r="9" spans="1:11" x14ac:dyDescent="0.25">
      <c r="C9" s="4" t="s">
        <v>8</v>
      </c>
      <c r="D9" s="3">
        <v>4240963</v>
      </c>
      <c r="G9" s="3">
        <v>4240963</v>
      </c>
      <c r="J9" s="3">
        <f>+D9-G9</f>
        <v>0</v>
      </c>
    </row>
    <row r="10" spans="1:11" x14ac:dyDescent="0.25">
      <c r="C10" s="4" t="s">
        <v>9</v>
      </c>
    </row>
    <row r="11" spans="1:11" x14ac:dyDescent="0.25">
      <c r="C11" s="4" t="s">
        <v>10</v>
      </c>
      <c r="E11" s="3">
        <f>SUM(D9:D10)</f>
        <v>4240963</v>
      </c>
      <c r="H11" s="3">
        <f>SUM(G9:G10)</f>
        <v>4240963</v>
      </c>
      <c r="K11" s="3">
        <f>+E11-H11</f>
        <v>0</v>
      </c>
    </row>
    <row r="12" spans="1:11" x14ac:dyDescent="0.25">
      <c r="C12" s="4"/>
    </row>
    <row r="13" spans="1:11" x14ac:dyDescent="0.25">
      <c r="C13" s="4" t="s">
        <v>11</v>
      </c>
      <c r="E13" s="3">
        <f>+E8-E11</f>
        <v>191761</v>
      </c>
      <c r="H13" s="3">
        <f>+H8-H11</f>
        <v>191761</v>
      </c>
      <c r="K13" s="3">
        <f>+E13-H13</f>
        <v>0</v>
      </c>
    </row>
    <row r="14" spans="1:11" x14ac:dyDescent="0.25">
      <c r="C14" s="4"/>
    </row>
    <row r="15" spans="1:11" x14ac:dyDescent="0.25">
      <c r="B15" s="4" t="s">
        <v>12</v>
      </c>
      <c r="D15" s="3">
        <v>4421920</v>
      </c>
      <c r="G15" s="3">
        <v>4421920</v>
      </c>
    </row>
    <row r="16" spans="1:11" x14ac:dyDescent="0.25">
      <c r="C16" s="4" t="s">
        <v>13</v>
      </c>
      <c r="D16" s="7">
        <v>4.4499999999999998E-2</v>
      </c>
      <c r="E16" s="3">
        <f>+D15*D16</f>
        <v>196775.44</v>
      </c>
      <c r="G16" s="7">
        <v>4.4499999999999998E-2</v>
      </c>
      <c r="H16" s="3">
        <f>+G15*G16</f>
        <v>196775.44</v>
      </c>
      <c r="K16" s="3">
        <f>+E16-H16</f>
        <v>0</v>
      </c>
    </row>
    <row r="18" spans="1:11" x14ac:dyDescent="0.25">
      <c r="C18" s="4" t="s">
        <v>14</v>
      </c>
      <c r="E18" s="3">
        <f>-E13</f>
        <v>-191761</v>
      </c>
      <c r="H18" s="3">
        <f>-H13</f>
        <v>-191761</v>
      </c>
      <c r="K18" s="3">
        <f>+E18-H18</f>
        <v>0</v>
      </c>
    </row>
    <row r="20" spans="1:11" x14ac:dyDescent="0.25">
      <c r="A20" s="4" t="s">
        <v>16</v>
      </c>
      <c r="E20" s="3">
        <f>+E16+E18</f>
        <v>5014.4400000000023</v>
      </c>
      <c r="H20" s="3">
        <f>+H16+H18</f>
        <v>5014.4400000000023</v>
      </c>
      <c r="K20" s="3">
        <f>+E20-H20</f>
        <v>0</v>
      </c>
    </row>
    <row r="22" spans="1:11" x14ac:dyDescent="0.25">
      <c r="A22" s="2" t="s">
        <v>15</v>
      </c>
    </row>
    <row r="23" spans="1:11" x14ac:dyDescent="0.25">
      <c r="B23" s="4" t="s">
        <v>7</v>
      </c>
      <c r="E23" s="3">
        <v>973747</v>
      </c>
      <c r="H23" s="3">
        <v>1132322</v>
      </c>
      <c r="K23" s="3">
        <f>+E23-H23</f>
        <v>-158575</v>
      </c>
    </row>
    <row r="24" spans="1:11" x14ac:dyDescent="0.25">
      <c r="C24" s="4" t="s">
        <v>8</v>
      </c>
      <c r="D24" s="3">
        <v>0</v>
      </c>
    </row>
    <row r="25" spans="1:11" x14ac:dyDescent="0.25">
      <c r="C25" s="4" t="s">
        <v>9</v>
      </c>
      <c r="D25" s="3">
        <v>930564</v>
      </c>
      <c r="G25" s="3">
        <v>1083985</v>
      </c>
    </row>
    <row r="26" spans="1:11" x14ac:dyDescent="0.25">
      <c r="C26" s="4" t="s">
        <v>10</v>
      </c>
      <c r="E26" s="3">
        <f>SUM(D24:D25)</f>
        <v>930564</v>
      </c>
      <c r="H26" s="3">
        <f>SUM(G24:G25)</f>
        <v>1083985</v>
      </c>
      <c r="K26" s="3">
        <f>+E26-H26</f>
        <v>-153421</v>
      </c>
    </row>
    <row r="27" spans="1:11" x14ac:dyDescent="0.25">
      <c r="C27" s="4"/>
    </row>
    <row r="28" spans="1:11" x14ac:dyDescent="0.25">
      <c r="C28" s="4" t="s">
        <v>11</v>
      </c>
      <c r="E28" s="3">
        <f>+E23-E26</f>
        <v>43183</v>
      </c>
      <c r="H28" s="3">
        <f>+H23-H26</f>
        <v>48337</v>
      </c>
      <c r="K28" s="3">
        <f>+E28-H28</f>
        <v>-5154</v>
      </c>
    </row>
    <row r="29" spans="1:11" x14ac:dyDescent="0.25">
      <c r="C29" s="4"/>
    </row>
    <row r="30" spans="1:11" x14ac:dyDescent="0.25">
      <c r="B30" s="4" t="s">
        <v>12</v>
      </c>
      <c r="D30" s="3">
        <v>998325</v>
      </c>
      <c r="G30" s="3">
        <v>998325</v>
      </c>
      <c r="J30" s="3">
        <f>+D30-G30</f>
        <v>0</v>
      </c>
    </row>
    <row r="31" spans="1:11" x14ac:dyDescent="0.25">
      <c r="C31" s="4" t="s">
        <v>13</v>
      </c>
      <c r="D31" s="7">
        <v>4.4499999999999998E-2</v>
      </c>
      <c r="E31" s="3">
        <f>+D30*D31</f>
        <v>44425.462500000001</v>
      </c>
      <c r="G31" s="7">
        <v>4.4499999999999998E-2</v>
      </c>
      <c r="H31" s="3">
        <f>+G30*G31</f>
        <v>44425.462500000001</v>
      </c>
      <c r="K31" s="3">
        <f>+E31-H31</f>
        <v>0</v>
      </c>
    </row>
    <row r="33" spans="1:11" x14ac:dyDescent="0.25">
      <c r="C33" s="4" t="s">
        <v>14</v>
      </c>
      <c r="E33" s="3">
        <f>-E28</f>
        <v>-43183</v>
      </c>
      <c r="H33" s="3">
        <f>-H28</f>
        <v>-48337</v>
      </c>
      <c r="K33" s="3">
        <f>+E33-H33</f>
        <v>5154</v>
      </c>
    </row>
    <row r="35" spans="1:11" x14ac:dyDescent="0.25">
      <c r="A35" s="4" t="s">
        <v>16</v>
      </c>
      <c r="E35" s="3">
        <f>+E31+E33</f>
        <v>1242.4625000000015</v>
      </c>
      <c r="H35" s="3">
        <f>+H31+H33</f>
        <v>-3911.5374999999985</v>
      </c>
      <c r="K35" s="3">
        <f>+E35-H35</f>
        <v>5154</v>
      </c>
    </row>
    <row r="37" spans="1:11" x14ac:dyDescent="0.25">
      <c r="C37" s="4" t="s">
        <v>17</v>
      </c>
      <c r="E37" s="3">
        <f>+E35+E20</f>
        <v>6256.9025000000038</v>
      </c>
      <c r="H37" s="3">
        <f>+H35+H20</f>
        <v>1102.9025000000038</v>
      </c>
      <c r="K37" s="3">
        <f>+E37-H37</f>
        <v>5154</v>
      </c>
    </row>
    <row r="39" spans="1:11" x14ac:dyDescent="0.25">
      <c r="C39" s="4" t="s">
        <v>18</v>
      </c>
      <c r="E39" s="8">
        <v>5.0880000000000001</v>
      </c>
      <c r="H39" s="8">
        <f>+E39</f>
        <v>5.0880000000000001</v>
      </c>
      <c r="K39" s="8">
        <f>+H39</f>
        <v>5.0880000000000001</v>
      </c>
    </row>
    <row r="41" spans="1:11" x14ac:dyDescent="0.25">
      <c r="C41" s="4" t="s">
        <v>19</v>
      </c>
      <c r="E41" s="9">
        <f>+E37*E39</f>
        <v>31835.119920000019</v>
      </c>
      <c r="H41" s="9">
        <f>+H37*H39</f>
        <v>5611.5679200000195</v>
      </c>
      <c r="K41" s="9">
        <f>+E41-H41</f>
        <v>26223.552</v>
      </c>
    </row>
    <row r="43" spans="1:11" x14ac:dyDescent="0.25">
      <c r="A43" s="4" t="s">
        <v>20</v>
      </c>
      <c r="C43" s="6">
        <v>101021</v>
      </c>
      <c r="D43" s="3">
        <f>+D9</f>
        <v>4240963</v>
      </c>
      <c r="E43" s="9">
        <v>41741.61</v>
      </c>
      <c r="F43" s="8">
        <f>+E43/D43</f>
        <v>9.8424838886828295E-3</v>
      </c>
      <c r="H43" s="9"/>
      <c r="I43" s="10"/>
    </row>
    <row r="44" spans="1:11" x14ac:dyDescent="0.25">
      <c r="A44" s="4"/>
      <c r="C44" s="6">
        <v>101073</v>
      </c>
      <c r="D44" s="3">
        <f>+D25</f>
        <v>930564</v>
      </c>
      <c r="E44" s="9">
        <f>9296.35-268.89</f>
        <v>9027.4600000000009</v>
      </c>
      <c r="F44" s="8">
        <f>+E44/D44</f>
        <v>9.701063011249093E-3</v>
      </c>
      <c r="H44" s="9"/>
      <c r="I44" s="10"/>
    </row>
    <row r="45" spans="1:11" ht="13.8" thickBot="1" x14ac:dyDescent="0.3">
      <c r="E45" s="13">
        <f>SUM(E43:E44)</f>
        <v>50769.07</v>
      </c>
      <c r="H45" s="13">
        <v>5612.5</v>
      </c>
      <c r="K45" s="13">
        <f>+E45-H45</f>
        <v>45156.57</v>
      </c>
    </row>
    <row r="46" spans="1:11" ht="13.8" thickTop="1" x14ac:dyDescent="0.25">
      <c r="C46" s="4" t="s">
        <v>21</v>
      </c>
      <c r="E46" s="9">
        <f>+E41-E43-E44</f>
        <v>-18933.950079999981</v>
      </c>
      <c r="H46" s="9">
        <f>+H41-H45</f>
        <v>-0.93207999998048763</v>
      </c>
      <c r="K46" s="3">
        <f>+E46-H46</f>
        <v>-18933.018</v>
      </c>
    </row>
    <row r="48" spans="1:11" x14ac:dyDescent="0.25">
      <c r="A48" s="4" t="s">
        <v>22</v>
      </c>
      <c r="E48" s="9"/>
    </row>
    <row r="50" spans="3:5" x14ac:dyDescent="0.25">
      <c r="C50" s="4" t="s">
        <v>21</v>
      </c>
      <c r="E50" s="9">
        <f>+E46-E48</f>
        <v>-18933.950079999981</v>
      </c>
    </row>
    <row r="51" spans="3:5" x14ac:dyDescent="0.25">
      <c r="C51" s="4"/>
      <c r="E51" s="9"/>
    </row>
    <row r="52" spans="3:5" x14ac:dyDescent="0.25">
      <c r="C52" s="4"/>
      <c r="E52" s="9"/>
    </row>
    <row r="54" spans="3:5" x14ac:dyDescent="0.25">
      <c r="C54" s="4"/>
      <c r="E54" s="9"/>
    </row>
    <row r="55" spans="3:5" x14ac:dyDescent="0.25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topLeftCell="C30" workbookViewId="0">
      <selection activeCell="H46" sqref="H46"/>
    </sheetView>
  </sheetViews>
  <sheetFormatPr defaultColWidth="9.109375" defaultRowHeight="13.2" x14ac:dyDescent="0.25"/>
  <cols>
    <col min="1" max="1" width="9.109375" style="6"/>
    <col min="2" max="2" width="7.109375" style="3" customWidth="1"/>
    <col min="3" max="3" width="15.33203125" style="3" customWidth="1"/>
    <col min="4" max="4" width="11.33203125" style="3" bestFit="1" customWidth="1"/>
    <col min="5" max="5" width="13.44140625" style="3" customWidth="1"/>
    <col min="6" max="6" width="10.33203125" style="3" bestFit="1" customWidth="1"/>
    <col min="7" max="7" width="10.88671875" style="3" customWidth="1"/>
    <col min="8" max="8" width="13.88671875" style="3" customWidth="1"/>
    <col min="9" max="9" width="1.5546875" style="3" customWidth="1"/>
    <col min="10" max="10" width="9.109375" style="3"/>
    <col min="11" max="11" width="11.88671875" style="3" bestFit="1" customWidth="1"/>
    <col min="12" max="16384" width="9.109375" style="3"/>
  </cols>
  <sheetData>
    <row r="2" spans="1:11" x14ac:dyDescent="0.25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5">
      <c r="A3" s="5" t="s">
        <v>1</v>
      </c>
      <c r="C3" s="20" t="s">
        <v>3</v>
      </c>
      <c r="D3" s="20"/>
      <c r="E3" s="20"/>
    </row>
    <row r="4" spans="1:11" x14ac:dyDescent="0.25">
      <c r="C4" s="20" t="s">
        <v>4</v>
      </c>
      <c r="D4" s="20"/>
      <c r="E4" s="20"/>
    </row>
    <row r="5" spans="1:11" x14ac:dyDescent="0.25">
      <c r="A5" s="3"/>
      <c r="C5" s="22">
        <v>36982</v>
      </c>
      <c r="D5" s="21"/>
      <c r="E5" s="21"/>
      <c r="F5" s="11"/>
      <c r="G5" s="12"/>
      <c r="H5" s="12"/>
    </row>
    <row r="7" spans="1:11" ht="15" x14ac:dyDescent="0.4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5">
      <c r="B8" s="4" t="s">
        <v>7</v>
      </c>
      <c r="E8" s="3">
        <v>4474877</v>
      </c>
      <c r="H8" s="3">
        <v>4474819</v>
      </c>
      <c r="K8" s="3">
        <f>+E8-H8</f>
        <v>58</v>
      </c>
    </row>
    <row r="9" spans="1:11" x14ac:dyDescent="0.25">
      <c r="C9" s="4" t="s">
        <v>8</v>
      </c>
      <c r="D9" s="3">
        <v>4282570</v>
      </c>
      <c r="G9" s="3">
        <v>4282570</v>
      </c>
      <c r="J9" s="3">
        <f>+D9-G9</f>
        <v>0</v>
      </c>
    </row>
    <row r="10" spans="1:11" x14ac:dyDescent="0.25">
      <c r="C10" s="4" t="s">
        <v>9</v>
      </c>
    </row>
    <row r="11" spans="1:11" x14ac:dyDescent="0.25">
      <c r="C11" s="4" t="s">
        <v>10</v>
      </c>
      <c r="E11" s="3">
        <f>SUM(D9:D10)</f>
        <v>4282570</v>
      </c>
      <c r="H11" s="3">
        <f>SUM(G9:G10)</f>
        <v>4282570</v>
      </c>
      <c r="K11" s="3">
        <f>+E11-H11</f>
        <v>0</v>
      </c>
    </row>
    <row r="12" spans="1:11" x14ac:dyDescent="0.25">
      <c r="C12" s="4"/>
    </row>
    <row r="13" spans="1:11" x14ac:dyDescent="0.25">
      <c r="C13" s="4" t="s">
        <v>11</v>
      </c>
      <c r="E13" s="3">
        <f>+E8-E11</f>
        <v>192307</v>
      </c>
      <c r="H13" s="3">
        <f>+H8-H11</f>
        <v>192249</v>
      </c>
      <c r="K13" s="3">
        <f>+E13-H13</f>
        <v>58</v>
      </c>
    </row>
    <row r="14" spans="1:11" x14ac:dyDescent="0.25">
      <c r="C14" s="4"/>
    </row>
    <row r="15" spans="1:11" x14ac:dyDescent="0.25">
      <c r="B15" s="4" t="s">
        <v>12</v>
      </c>
      <c r="D15" s="3">
        <v>4468511</v>
      </c>
      <c r="G15" s="3">
        <v>4471941</v>
      </c>
    </row>
    <row r="16" spans="1:11" x14ac:dyDescent="0.25">
      <c r="C16" s="4" t="s">
        <v>13</v>
      </c>
      <c r="D16" s="7">
        <v>4.4499999999999998E-2</v>
      </c>
      <c r="E16" s="3">
        <f>+D15*D16</f>
        <v>198848.7395</v>
      </c>
      <c r="G16" s="7">
        <v>4.4499999999999998E-2</v>
      </c>
      <c r="H16" s="3">
        <f>+G15*G16</f>
        <v>199001.37449999998</v>
      </c>
      <c r="K16" s="3">
        <f>+E16-H16</f>
        <v>-152.63499999998021</v>
      </c>
    </row>
    <row r="18" spans="1:11" x14ac:dyDescent="0.25">
      <c r="C18" s="4" t="s">
        <v>14</v>
      </c>
      <c r="E18" s="3">
        <f>-E13</f>
        <v>-192307</v>
      </c>
      <c r="H18" s="3">
        <f>-H13</f>
        <v>-192249</v>
      </c>
      <c r="K18" s="3">
        <f>+E18-H18</f>
        <v>-58</v>
      </c>
    </row>
    <row r="20" spans="1:11" x14ac:dyDescent="0.25">
      <c r="A20" s="4" t="s">
        <v>16</v>
      </c>
      <c r="E20" s="3">
        <f>+E16+E18</f>
        <v>6541.739499999996</v>
      </c>
      <c r="H20" s="3">
        <f>+H16+H18</f>
        <v>6752.3744999999763</v>
      </c>
      <c r="K20" s="3">
        <f>+E20-H20</f>
        <v>-210.63499999998021</v>
      </c>
    </row>
    <row r="22" spans="1:11" x14ac:dyDescent="0.25">
      <c r="A22" s="2" t="s">
        <v>15</v>
      </c>
    </row>
    <row r="23" spans="1:11" x14ac:dyDescent="0.25">
      <c r="B23" s="4" t="s">
        <v>7</v>
      </c>
      <c r="E23" s="3">
        <v>1084903</v>
      </c>
      <c r="H23" s="3">
        <v>991583</v>
      </c>
      <c r="K23" s="3">
        <f>+E23-H23</f>
        <v>93320</v>
      </c>
    </row>
    <row r="24" spans="1:11" x14ac:dyDescent="0.25">
      <c r="C24" s="4" t="s">
        <v>8</v>
      </c>
      <c r="D24" s="3">
        <v>0</v>
      </c>
    </row>
    <row r="25" spans="1:11" x14ac:dyDescent="0.25">
      <c r="C25" s="4" t="s">
        <v>9</v>
      </c>
      <c r="D25" s="3">
        <v>1037549</v>
      </c>
      <c r="G25" s="3">
        <v>946753</v>
      </c>
    </row>
    <row r="26" spans="1:11" x14ac:dyDescent="0.25">
      <c r="C26" s="4" t="s">
        <v>10</v>
      </c>
      <c r="E26" s="3">
        <f>SUM(D24:D25)</f>
        <v>1037549</v>
      </c>
      <c r="H26" s="3">
        <f>SUM(G24:G25)</f>
        <v>946753</v>
      </c>
      <c r="K26" s="3">
        <f>+E26-H26</f>
        <v>90796</v>
      </c>
    </row>
    <row r="27" spans="1:11" x14ac:dyDescent="0.25">
      <c r="C27" s="4"/>
    </row>
    <row r="28" spans="1:11" x14ac:dyDescent="0.25">
      <c r="C28" s="4" t="s">
        <v>11</v>
      </c>
      <c r="E28" s="3">
        <f>+E23-E26</f>
        <v>47354</v>
      </c>
      <c r="H28" s="3">
        <f>+H23-H26</f>
        <v>44830</v>
      </c>
      <c r="K28" s="3">
        <f>+E28-H28</f>
        <v>2524</v>
      </c>
    </row>
    <row r="29" spans="1:11" x14ac:dyDescent="0.25">
      <c r="C29" s="4"/>
    </row>
    <row r="30" spans="1:11" x14ac:dyDescent="0.25">
      <c r="B30" s="4" t="s">
        <v>12</v>
      </c>
      <c r="D30" s="3">
        <v>1014872</v>
      </c>
      <c r="G30" s="3">
        <v>1014872</v>
      </c>
      <c r="J30" s="3">
        <f>+D30-G30</f>
        <v>0</v>
      </c>
    </row>
    <row r="31" spans="1:11" x14ac:dyDescent="0.25">
      <c r="C31" s="4" t="s">
        <v>13</v>
      </c>
      <c r="D31" s="7">
        <v>4.4499999999999998E-2</v>
      </c>
      <c r="E31" s="3">
        <f>+D30*D31</f>
        <v>45161.803999999996</v>
      </c>
      <c r="G31" s="7">
        <v>4.4499999999999998E-2</v>
      </c>
      <c r="H31" s="3">
        <f>+G30*G31</f>
        <v>45161.803999999996</v>
      </c>
      <c r="K31" s="3">
        <f>+E31-H31</f>
        <v>0</v>
      </c>
    </row>
    <row r="33" spans="1:11" x14ac:dyDescent="0.25">
      <c r="C33" s="4" t="s">
        <v>14</v>
      </c>
      <c r="E33" s="3">
        <f>-E28</f>
        <v>-47354</v>
      </c>
      <c r="H33" s="3">
        <f>-H28</f>
        <v>-44830</v>
      </c>
      <c r="K33" s="3">
        <f>+E33-H33</f>
        <v>-2524</v>
      </c>
    </row>
    <row r="35" spans="1:11" x14ac:dyDescent="0.25">
      <c r="A35" s="4" t="s">
        <v>16</v>
      </c>
      <c r="E35" s="3">
        <f>+E31+E33</f>
        <v>-2192.1960000000036</v>
      </c>
      <c r="H35" s="3">
        <f>+H31+H33</f>
        <v>331.80399999999645</v>
      </c>
      <c r="K35" s="3">
        <f>+E35-H35</f>
        <v>-2524</v>
      </c>
    </row>
    <row r="37" spans="1:11" x14ac:dyDescent="0.25">
      <c r="C37" s="4" t="s">
        <v>17</v>
      </c>
      <c r="E37" s="3">
        <f>+E35+E20</f>
        <v>4349.5434999999925</v>
      </c>
      <c r="H37" s="3">
        <f>+H35+H20</f>
        <v>7084.1784999999727</v>
      </c>
      <c r="K37" s="3">
        <f>+E37-H37</f>
        <v>-2734.6349999999802</v>
      </c>
    </row>
    <row r="39" spans="1:11" x14ac:dyDescent="0.25">
      <c r="C39" s="4" t="s">
        <v>18</v>
      </c>
      <c r="E39" s="8">
        <v>5.0170000000000003</v>
      </c>
      <c r="H39" s="8">
        <f>+E39</f>
        <v>5.0170000000000003</v>
      </c>
      <c r="K39" s="8">
        <f>+H39</f>
        <v>5.0170000000000003</v>
      </c>
    </row>
    <row r="41" spans="1:11" x14ac:dyDescent="0.25">
      <c r="C41" s="4" t="s">
        <v>19</v>
      </c>
      <c r="E41" s="9">
        <f>+E37*E39</f>
        <v>21821.659739499963</v>
      </c>
      <c r="H41" s="9">
        <f>+H37*H39</f>
        <v>35541.323534499868</v>
      </c>
      <c r="K41" s="9">
        <f>+E41-H41</f>
        <v>-13719.663794999906</v>
      </c>
    </row>
    <row r="43" spans="1:11" x14ac:dyDescent="0.25">
      <c r="A43" s="4" t="s">
        <v>20</v>
      </c>
      <c r="C43" s="6">
        <v>101021</v>
      </c>
      <c r="D43" s="3">
        <f>+D9</f>
        <v>4282570</v>
      </c>
      <c r="E43" s="9">
        <f>42567.02-0.01</f>
        <v>42567.009999999995</v>
      </c>
      <c r="F43" s="8">
        <f>+E43/D43</f>
        <v>9.9395946826321569E-3</v>
      </c>
      <c r="H43" s="9"/>
      <c r="I43" s="10"/>
    </row>
    <row r="44" spans="1:11" x14ac:dyDescent="0.25">
      <c r="A44" s="4"/>
      <c r="C44" s="6">
        <v>101073</v>
      </c>
      <c r="D44" s="3">
        <f>+D25</f>
        <v>1037549</v>
      </c>
      <c r="E44" s="9">
        <f>9587.93+766.18</f>
        <v>10354.11</v>
      </c>
      <c r="F44" s="8">
        <f>+E44/D44</f>
        <v>9.9793937442954513E-3</v>
      </c>
      <c r="H44" s="9"/>
      <c r="I44" s="10"/>
    </row>
    <row r="45" spans="1:11" ht="13.8" thickBot="1" x14ac:dyDescent="0.3">
      <c r="E45" s="13">
        <f>SUM(E43:E44)</f>
        <v>52921.119999999995</v>
      </c>
      <c r="H45" s="13">
        <v>35496.65</v>
      </c>
      <c r="K45" s="13">
        <f>+E45-H45</f>
        <v>17424.469999999994</v>
      </c>
    </row>
    <row r="46" spans="1:11" ht="13.8" thickTop="1" x14ac:dyDescent="0.25">
      <c r="C46" s="4" t="s">
        <v>21</v>
      </c>
      <c r="E46" s="9">
        <f>+E41-E43-E44</f>
        <v>-31099.460260500033</v>
      </c>
      <c r="H46" s="9">
        <f>+H41-H45</f>
        <v>44.673534499866946</v>
      </c>
      <c r="K46" s="3">
        <f>+E46-H46</f>
        <v>-31144.1337949999</v>
      </c>
    </row>
    <row r="48" spans="1:11" x14ac:dyDescent="0.25">
      <c r="A48" s="4" t="s">
        <v>22</v>
      </c>
      <c r="E48" s="9"/>
    </row>
    <row r="50" spans="3:5" x14ac:dyDescent="0.25">
      <c r="C50" s="4" t="s">
        <v>21</v>
      </c>
      <c r="E50" s="9">
        <f>+E46-E48</f>
        <v>-31099.460260500033</v>
      </c>
    </row>
    <row r="51" spans="3:5" x14ac:dyDescent="0.25">
      <c r="C51" s="4"/>
      <c r="E51" s="9"/>
    </row>
    <row r="52" spans="3:5" x14ac:dyDescent="0.25">
      <c r="C52" s="4"/>
      <c r="E52" s="9"/>
    </row>
    <row r="54" spans="3:5" x14ac:dyDescent="0.25">
      <c r="C54" s="4"/>
      <c r="E54" s="9"/>
    </row>
    <row r="55" spans="3:5" x14ac:dyDescent="0.25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79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topLeftCell="C26" workbookViewId="0">
      <selection activeCell="H46" sqref="H46"/>
    </sheetView>
  </sheetViews>
  <sheetFormatPr defaultColWidth="9.109375" defaultRowHeight="13.2" x14ac:dyDescent="0.25"/>
  <cols>
    <col min="1" max="1" width="9.109375" style="6"/>
    <col min="2" max="2" width="7.109375" style="3" customWidth="1"/>
    <col min="3" max="3" width="15.33203125" style="3" customWidth="1"/>
    <col min="4" max="4" width="11.33203125" style="3" bestFit="1" customWidth="1"/>
    <col min="5" max="5" width="13.44140625" style="3" customWidth="1"/>
    <col min="6" max="6" width="10.33203125" style="3" bestFit="1" customWidth="1"/>
    <col min="7" max="7" width="10.88671875" style="3" customWidth="1"/>
    <col min="8" max="8" width="13.88671875" style="3" customWidth="1"/>
    <col min="9" max="9" width="1.5546875" style="3" customWidth="1"/>
    <col min="10" max="10" width="9.109375" style="3"/>
    <col min="11" max="11" width="11" style="3" customWidth="1"/>
    <col min="12" max="16384" width="9.109375" style="3"/>
  </cols>
  <sheetData>
    <row r="2" spans="1:11" x14ac:dyDescent="0.25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5">
      <c r="A3" s="5" t="s">
        <v>1</v>
      </c>
      <c r="C3" s="20" t="s">
        <v>3</v>
      </c>
      <c r="D3" s="20"/>
      <c r="E3" s="20"/>
    </row>
    <row r="4" spans="1:11" x14ac:dyDescent="0.25">
      <c r="C4" s="20" t="s">
        <v>4</v>
      </c>
      <c r="D4" s="20"/>
      <c r="E4" s="20"/>
    </row>
    <row r="5" spans="1:11" x14ac:dyDescent="0.25">
      <c r="A5" s="3"/>
      <c r="C5" s="22">
        <v>37012</v>
      </c>
      <c r="D5" s="21"/>
      <c r="E5" s="21"/>
      <c r="F5" s="11"/>
      <c r="G5" s="12"/>
      <c r="H5" s="12"/>
    </row>
    <row r="7" spans="1:11" ht="15" x14ac:dyDescent="0.4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5">
      <c r="B8" s="4" t="s">
        <v>7</v>
      </c>
      <c r="E8" s="3">
        <v>4423170</v>
      </c>
      <c r="H8" s="3">
        <v>4423044</v>
      </c>
      <c r="K8" s="3">
        <f>+E8-H8</f>
        <v>126</v>
      </c>
    </row>
    <row r="9" spans="1:11" x14ac:dyDescent="0.25">
      <c r="C9" s="4" t="s">
        <v>8</v>
      </c>
      <c r="D9" s="3">
        <v>4231300</v>
      </c>
      <c r="G9" s="3">
        <v>4231300</v>
      </c>
      <c r="J9" s="3">
        <f>+D9-G9</f>
        <v>0</v>
      </c>
    </row>
    <row r="10" spans="1:11" x14ac:dyDescent="0.25">
      <c r="C10" s="4" t="s">
        <v>9</v>
      </c>
    </row>
    <row r="11" spans="1:11" x14ac:dyDescent="0.25">
      <c r="C11" s="4" t="s">
        <v>10</v>
      </c>
      <c r="E11" s="3">
        <f>SUM(D9:D10)</f>
        <v>4231300</v>
      </c>
      <c r="H11" s="3">
        <f>SUM(G9:G10)</f>
        <v>4231300</v>
      </c>
      <c r="K11" s="3">
        <f>+E11-H11</f>
        <v>0</v>
      </c>
    </row>
    <row r="12" spans="1:11" x14ac:dyDescent="0.25">
      <c r="C12" s="4"/>
    </row>
    <row r="13" spans="1:11" x14ac:dyDescent="0.25">
      <c r="C13" s="4" t="s">
        <v>11</v>
      </c>
      <c r="E13" s="3">
        <f>+E8-E11</f>
        <v>191870</v>
      </c>
      <c r="H13" s="3">
        <f>+H8-H11</f>
        <v>191744</v>
      </c>
      <c r="K13" s="3">
        <f>+E13-H13</f>
        <v>126</v>
      </c>
    </row>
    <row r="14" spans="1:11" x14ac:dyDescent="0.25">
      <c r="C14" s="4"/>
    </row>
    <row r="15" spans="1:11" x14ac:dyDescent="0.25">
      <c r="B15" s="4" t="s">
        <v>12</v>
      </c>
      <c r="D15" s="3">
        <v>4403745</v>
      </c>
      <c r="G15" s="3">
        <v>4410700</v>
      </c>
    </row>
    <row r="16" spans="1:11" x14ac:dyDescent="0.25">
      <c r="C16" s="4" t="s">
        <v>13</v>
      </c>
      <c r="D16" s="7">
        <v>4.4499999999999998E-2</v>
      </c>
      <c r="E16" s="3">
        <f>+D15*D16</f>
        <v>195966.6525</v>
      </c>
      <c r="G16" s="7">
        <v>4.4499999999999998E-2</v>
      </c>
      <c r="H16" s="3">
        <f>+G15*G16</f>
        <v>196276.15</v>
      </c>
      <c r="K16" s="3">
        <f>+E16-H16</f>
        <v>-309.49749999999767</v>
      </c>
    </row>
    <row r="18" spans="1:11" x14ac:dyDescent="0.25">
      <c r="C18" s="4" t="s">
        <v>14</v>
      </c>
      <c r="E18" s="3">
        <f>-E13</f>
        <v>-191870</v>
      </c>
      <c r="H18" s="3">
        <f>-H13</f>
        <v>-191744</v>
      </c>
      <c r="K18" s="3">
        <f>+E18-H18</f>
        <v>-126</v>
      </c>
    </row>
    <row r="20" spans="1:11" x14ac:dyDescent="0.25">
      <c r="A20" s="4" t="s">
        <v>16</v>
      </c>
      <c r="E20" s="3">
        <f>+E16+E18</f>
        <v>4096.6524999999965</v>
      </c>
      <c r="H20" s="3">
        <f>+H16+H18</f>
        <v>4532.1499999999942</v>
      </c>
      <c r="K20" s="3">
        <f>+E20-H20</f>
        <v>-435.49749999999767</v>
      </c>
    </row>
    <row r="22" spans="1:11" x14ac:dyDescent="0.25">
      <c r="A22" s="2" t="s">
        <v>15</v>
      </c>
    </row>
    <row r="23" spans="1:11" x14ac:dyDescent="0.25">
      <c r="B23" s="4" t="s">
        <v>7</v>
      </c>
      <c r="E23" s="3">
        <v>939580</v>
      </c>
      <c r="H23" s="3">
        <v>1081127</v>
      </c>
      <c r="K23" s="3">
        <f>+E23-H23</f>
        <v>-141547</v>
      </c>
    </row>
    <row r="24" spans="1:11" x14ac:dyDescent="0.25">
      <c r="C24" s="4" t="s">
        <v>8</v>
      </c>
      <c r="D24" s="3">
        <v>0</v>
      </c>
    </row>
    <row r="25" spans="1:11" x14ac:dyDescent="0.25">
      <c r="C25" s="4" t="s">
        <v>9</v>
      </c>
      <c r="D25" s="3">
        <v>898781</v>
      </c>
      <c r="G25" s="3">
        <v>1034603</v>
      </c>
    </row>
    <row r="26" spans="1:11" x14ac:dyDescent="0.25">
      <c r="C26" s="4" t="s">
        <v>10</v>
      </c>
      <c r="E26" s="3">
        <f>SUM(D24:D25)</f>
        <v>898781</v>
      </c>
      <c r="H26" s="3">
        <f>SUM(G24:G25)</f>
        <v>1034603</v>
      </c>
      <c r="K26" s="3">
        <f>+E26-H26</f>
        <v>-135822</v>
      </c>
    </row>
    <row r="27" spans="1:11" x14ac:dyDescent="0.25">
      <c r="C27" s="4"/>
    </row>
    <row r="28" spans="1:11" x14ac:dyDescent="0.25">
      <c r="C28" s="4" t="s">
        <v>11</v>
      </c>
      <c r="E28" s="3">
        <f>+E23-E26</f>
        <v>40799</v>
      </c>
      <c r="H28" s="3">
        <f>+H23-H26</f>
        <v>46524</v>
      </c>
      <c r="K28" s="3">
        <f>+E28-H28</f>
        <v>-5725</v>
      </c>
    </row>
    <row r="29" spans="1:11" x14ac:dyDescent="0.25">
      <c r="C29" s="4"/>
    </row>
    <row r="30" spans="1:11" x14ac:dyDescent="0.25">
      <c r="B30" s="4" t="s">
        <v>12</v>
      </c>
      <c r="D30" s="3">
        <v>1011096</v>
      </c>
      <c r="G30" s="3">
        <v>1011096</v>
      </c>
      <c r="J30" s="3">
        <f>+D30-G30</f>
        <v>0</v>
      </c>
    </row>
    <row r="31" spans="1:11" x14ac:dyDescent="0.25">
      <c r="C31" s="4" t="s">
        <v>13</v>
      </c>
      <c r="D31" s="7">
        <v>4.4499999999999998E-2</v>
      </c>
      <c r="E31" s="3">
        <f>+D30*D31</f>
        <v>44993.771999999997</v>
      </c>
      <c r="G31" s="7">
        <v>4.4499999999999998E-2</v>
      </c>
      <c r="H31" s="3">
        <f>+G30*G31</f>
        <v>44993.771999999997</v>
      </c>
      <c r="K31" s="3">
        <f>+E31-H31</f>
        <v>0</v>
      </c>
    </row>
    <row r="33" spans="1:11" x14ac:dyDescent="0.25">
      <c r="C33" s="4" t="s">
        <v>14</v>
      </c>
      <c r="E33" s="3">
        <f>-E28</f>
        <v>-40799</v>
      </c>
      <c r="H33" s="3">
        <f>-H28</f>
        <v>-46524</v>
      </c>
      <c r="K33" s="3">
        <f>+E33-H33</f>
        <v>5725</v>
      </c>
    </row>
    <row r="35" spans="1:11" x14ac:dyDescent="0.25">
      <c r="A35" s="4" t="s">
        <v>16</v>
      </c>
      <c r="E35" s="3">
        <f>+E31+E33</f>
        <v>4194.7719999999972</v>
      </c>
      <c r="H35" s="3">
        <f>+H31+H33</f>
        <v>-1530.2280000000028</v>
      </c>
      <c r="K35" s="3">
        <f>+E35-H35</f>
        <v>5725</v>
      </c>
    </row>
    <row r="37" spans="1:11" x14ac:dyDescent="0.25">
      <c r="C37" s="4" t="s">
        <v>17</v>
      </c>
      <c r="E37" s="3">
        <f>+E35+E20</f>
        <v>8291.4244999999937</v>
      </c>
      <c r="H37" s="3">
        <f>+H35+H20</f>
        <v>3001.9219999999914</v>
      </c>
      <c r="K37" s="3">
        <f>+E37-H37</f>
        <v>5289.5025000000023</v>
      </c>
    </row>
    <row r="39" spans="1:11" x14ac:dyDescent="0.25">
      <c r="C39" s="4" t="s">
        <v>18</v>
      </c>
      <c r="E39" s="8">
        <v>4.0179999999999998</v>
      </c>
      <c r="H39" s="8">
        <f>+E39</f>
        <v>4.0179999999999998</v>
      </c>
      <c r="K39" s="8">
        <f>+H39</f>
        <v>4.0179999999999998</v>
      </c>
    </row>
    <row r="41" spans="1:11" x14ac:dyDescent="0.25">
      <c r="C41" s="4" t="s">
        <v>19</v>
      </c>
      <c r="E41" s="9">
        <f>+E37*E39</f>
        <v>33314.943640999976</v>
      </c>
      <c r="H41" s="9">
        <f>+H37*H39</f>
        <v>12061.722595999965</v>
      </c>
      <c r="K41" s="9">
        <f>+E41-H41</f>
        <v>21253.221045000013</v>
      </c>
    </row>
    <row r="43" spans="1:11" x14ac:dyDescent="0.25">
      <c r="A43" s="4" t="s">
        <v>20</v>
      </c>
      <c r="C43" s="6">
        <v>101021</v>
      </c>
      <c r="D43" s="3">
        <f>+D9</f>
        <v>4231300</v>
      </c>
      <c r="E43" s="9">
        <v>41675.18</v>
      </c>
      <c r="F43" s="8">
        <f>+E43/D43</f>
        <v>9.8492614562900298E-3</v>
      </c>
      <c r="H43" s="9"/>
      <c r="I43" s="10"/>
    </row>
    <row r="44" spans="1:11" x14ac:dyDescent="0.25">
      <c r="A44" s="4"/>
      <c r="C44" s="6">
        <v>101073</v>
      </c>
      <c r="D44" s="3">
        <f>+D25</f>
        <v>898781</v>
      </c>
      <c r="E44" s="9">
        <f>9846.13-780.86</f>
        <v>9065.2699999999986</v>
      </c>
      <c r="F44" s="8">
        <f>+E44/D44</f>
        <v>1.0086183397290328E-2</v>
      </c>
      <c r="H44" s="9"/>
      <c r="I44" s="10"/>
    </row>
    <row r="45" spans="1:11" ht="13.8" thickBot="1" x14ac:dyDescent="0.3">
      <c r="E45" s="13">
        <f>SUM(E43:E44)</f>
        <v>50740.45</v>
      </c>
      <c r="H45" s="13">
        <v>12064.19</v>
      </c>
      <c r="K45" s="13">
        <f>+E45-H45</f>
        <v>38676.259999999995</v>
      </c>
    </row>
    <row r="46" spans="1:11" ht="13.8" thickTop="1" x14ac:dyDescent="0.25">
      <c r="C46" s="4" t="s">
        <v>21</v>
      </c>
      <c r="E46" s="9">
        <f>+E41-E43-E44</f>
        <v>-17425.506359000021</v>
      </c>
      <c r="H46" s="9">
        <f>+H41-H45</f>
        <v>-2.467404000035458</v>
      </c>
      <c r="K46" s="3">
        <f>+E46-H46</f>
        <v>-17423.038954999985</v>
      </c>
    </row>
    <row r="48" spans="1:11" x14ac:dyDescent="0.25">
      <c r="A48" s="4" t="s">
        <v>22</v>
      </c>
      <c r="E48" s="9"/>
    </row>
    <row r="50" spans="3:5" x14ac:dyDescent="0.25">
      <c r="C50" s="4" t="s">
        <v>21</v>
      </c>
      <c r="E50" s="9">
        <f>+E46-E48</f>
        <v>-17425.506359000021</v>
      </c>
    </row>
    <row r="51" spans="3:5" x14ac:dyDescent="0.25">
      <c r="C51" s="4"/>
      <c r="E51" s="9"/>
    </row>
    <row r="52" spans="3:5" x14ac:dyDescent="0.25">
      <c r="C52" s="4"/>
      <c r="E52" s="9"/>
    </row>
    <row r="54" spans="3:5" x14ac:dyDescent="0.25">
      <c r="C54" s="4"/>
      <c r="E54" s="9"/>
    </row>
    <row r="55" spans="3:5" x14ac:dyDescent="0.25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topLeftCell="D26" workbookViewId="0">
      <selection activeCell="H46" sqref="H46"/>
    </sheetView>
  </sheetViews>
  <sheetFormatPr defaultColWidth="9.109375" defaultRowHeight="13.2" x14ac:dyDescent="0.25"/>
  <cols>
    <col min="1" max="1" width="9.109375" style="6"/>
    <col min="2" max="2" width="7.109375" style="3" customWidth="1"/>
    <col min="3" max="3" width="15.33203125" style="3" customWidth="1"/>
    <col min="4" max="4" width="11.33203125" style="3" bestFit="1" customWidth="1"/>
    <col min="5" max="5" width="13.44140625" style="3" customWidth="1"/>
    <col min="6" max="6" width="10.33203125" style="3" bestFit="1" customWidth="1"/>
    <col min="7" max="7" width="10.88671875" style="3" customWidth="1"/>
    <col min="8" max="8" width="13.88671875" style="3" customWidth="1"/>
    <col min="9" max="9" width="1.5546875" style="3" customWidth="1"/>
    <col min="10" max="10" width="10.33203125" style="3" bestFit="1" customWidth="1"/>
    <col min="11" max="11" width="11.88671875" style="3" bestFit="1" customWidth="1"/>
    <col min="12" max="16384" width="9.109375" style="3"/>
  </cols>
  <sheetData>
    <row r="2" spans="1:11" x14ac:dyDescent="0.25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5">
      <c r="A3" s="5" t="s">
        <v>1</v>
      </c>
      <c r="C3" s="20" t="s">
        <v>3</v>
      </c>
      <c r="D3" s="20"/>
      <c r="E3" s="20"/>
    </row>
    <row r="4" spans="1:11" x14ac:dyDescent="0.25">
      <c r="C4" s="20" t="s">
        <v>4</v>
      </c>
      <c r="D4" s="20"/>
      <c r="E4" s="20"/>
    </row>
    <row r="5" spans="1:11" x14ac:dyDescent="0.25">
      <c r="A5" s="3"/>
      <c r="C5" s="22">
        <v>37043</v>
      </c>
      <c r="D5" s="21"/>
      <c r="E5" s="21"/>
      <c r="F5" s="11"/>
      <c r="G5" s="12"/>
      <c r="H5" s="12"/>
    </row>
    <row r="7" spans="1:11" ht="15" x14ac:dyDescent="0.4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5">
      <c r="B8" s="4" t="s">
        <v>7</v>
      </c>
      <c r="E8" s="3">
        <v>4675460</v>
      </c>
      <c r="H8" s="3">
        <v>4675467</v>
      </c>
      <c r="K8" s="3">
        <f>+E8-H8</f>
        <v>-7</v>
      </c>
    </row>
    <row r="9" spans="1:11" x14ac:dyDescent="0.25">
      <c r="C9" s="4" t="s">
        <v>8</v>
      </c>
      <c r="D9" s="3">
        <v>4473250</v>
      </c>
      <c r="G9" s="3">
        <v>4473250</v>
      </c>
      <c r="J9" s="3">
        <f>+D9-G9</f>
        <v>0</v>
      </c>
    </row>
    <row r="10" spans="1:11" x14ac:dyDescent="0.25">
      <c r="C10" s="4" t="s">
        <v>9</v>
      </c>
    </row>
    <row r="11" spans="1:11" x14ac:dyDescent="0.25">
      <c r="C11" s="4" t="s">
        <v>10</v>
      </c>
      <c r="E11" s="3">
        <f>SUM(D9:D10)</f>
        <v>4473250</v>
      </c>
      <c r="H11" s="3">
        <f>SUM(G9:G10)</f>
        <v>4473250</v>
      </c>
      <c r="K11" s="3">
        <f>+E11-H11</f>
        <v>0</v>
      </c>
    </row>
    <row r="12" spans="1:11" x14ac:dyDescent="0.25">
      <c r="C12" s="4"/>
    </row>
    <row r="13" spans="1:11" x14ac:dyDescent="0.25">
      <c r="C13" s="4" t="s">
        <v>11</v>
      </c>
      <c r="E13" s="3">
        <f>+E8-E11</f>
        <v>202210</v>
      </c>
      <c r="H13" s="3">
        <f>+H8-H11</f>
        <v>202217</v>
      </c>
      <c r="K13" s="3">
        <f>+E13-H13</f>
        <v>-7</v>
      </c>
    </row>
    <row r="14" spans="1:11" x14ac:dyDescent="0.25">
      <c r="C14" s="4"/>
    </row>
    <row r="15" spans="1:11" x14ac:dyDescent="0.25">
      <c r="B15" s="4" t="s">
        <v>12</v>
      </c>
      <c r="D15" s="3">
        <v>4656944</v>
      </c>
      <c r="G15" s="3">
        <v>4656593</v>
      </c>
    </row>
    <row r="16" spans="1:11" x14ac:dyDescent="0.25">
      <c r="C16" s="4" t="s">
        <v>13</v>
      </c>
      <c r="D16" s="7">
        <v>4.4499999999999998E-2</v>
      </c>
      <c r="E16" s="3">
        <f>+D15*D16</f>
        <v>207234.008</v>
      </c>
      <c r="G16" s="7">
        <v>4.4499999999999998E-2</v>
      </c>
      <c r="H16" s="3">
        <f>+G15*G16</f>
        <v>207218.3885</v>
      </c>
      <c r="K16" s="3">
        <f>+E16-H16</f>
        <v>15.619500000000698</v>
      </c>
    </row>
    <row r="18" spans="1:11" x14ac:dyDescent="0.25">
      <c r="C18" s="4" t="s">
        <v>14</v>
      </c>
      <c r="E18" s="3">
        <f>-E13</f>
        <v>-202210</v>
      </c>
      <c r="H18" s="3">
        <f>-H13</f>
        <v>-202217</v>
      </c>
      <c r="K18" s="3">
        <f>+E18-H18</f>
        <v>7</v>
      </c>
    </row>
    <row r="20" spans="1:11" x14ac:dyDescent="0.25">
      <c r="A20" s="4" t="s">
        <v>16</v>
      </c>
      <c r="E20" s="3">
        <f>+E16+E18</f>
        <v>5024.0080000000016</v>
      </c>
      <c r="H20" s="3">
        <f>+H16+H18</f>
        <v>5001.3885000000009</v>
      </c>
      <c r="K20" s="3">
        <f>+E20-H20</f>
        <v>22.619500000000698</v>
      </c>
    </row>
    <row r="22" spans="1:11" x14ac:dyDescent="0.25">
      <c r="A22" s="2" t="s">
        <v>15</v>
      </c>
    </row>
    <row r="23" spans="1:11" x14ac:dyDescent="0.25">
      <c r="B23" s="4" t="s">
        <v>7</v>
      </c>
      <c r="E23" s="3">
        <v>1171979</v>
      </c>
      <c r="H23" s="3">
        <v>1014289</v>
      </c>
      <c r="K23" s="3">
        <f>+E23-H23</f>
        <v>157690</v>
      </c>
    </row>
    <row r="24" spans="1:11" x14ac:dyDescent="0.25">
      <c r="C24" s="4" t="s">
        <v>8</v>
      </c>
      <c r="D24" s="3">
        <v>0</v>
      </c>
    </row>
    <row r="25" spans="1:11" x14ac:dyDescent="0.25">
      <c r="C25" s="4" t="s">
        <v>9</v>
      </c>
      <c r="D25" s="3">
        <v>1121301</v>
      </c>
      <c r="G25" s="3">
        <v>969987</v>
      </c>
    </row>
    <row r="26" spans="1:11" x14ac:dyDescent="0.25">
      <c r="C26" s="4" t="s">
        <v>10</v>
      </c>
      <c r="E26" s="3">
        <f>SUM(D24:D25)</f>
        <v>1121301</v>
      </c>
      <c r="H26" s="3">
        <f>SUM(G24:G25)</f>
        <v>969987</v>
      </c>
      <c r="K26" s="3">
        <f>+E26-H26</f>
        <v>151314</v>
      </c>
    </row>
    <row r="27" spans="1:11" x14ac:dyDescent="0.25">
      <c r="C27" s="4"/>
    </row>
    <row r="28" spans="1:11" x14ac:dyDescent="0.25">
      <c r="C28" s="4" t="s">
        <v>11</v>
      </c>
      <c r="E28" s="3">
        <f>+E23-E26</f>
        <v>50678</v>
      </c>
      <c r="H28" s="3">
        <f>+H23-H26</f>
        <v>44302</v>
      </c>
      <c r="K28" s="3">
        <f>+E28-H28</f>
        <v>6376</v>
      </c>
    </row>
    <row r="29" spans="1:11" x14ac:dyDescent="0.25">
      <c r="C29" s="4"/>
    </row>
    <row r="30" spans="1:11" x14ac:dyDescent="0.25">
      <c r="B30" s="4" t="s">
        <v>12</v>
      </c>
      <c r="D30" s="3">
        <v>1085805</v>
      </c>
      <c r="G30" s="3">
        <v>1085805</v>
      </c>
      <c r="J30" s="3">
        <f>+D30-G30</f>
        <v>0</v>
      </c>
    </row>
    <row r="31" spans="1:11" x14ac:dyDescent="0.25">
      <c r="C31" s="4" t="s">
        <v>13</v>
      </c>
      <c r="D31" s="7">
        <v>4.4499999999999998E-2</v>
      </c>
      <c r="E31" s="3">
        <f>+D30*D31</f>
        <v>48318.322499999995</v>
      </c>
      <c r="G31" s="7">
        <v>4.4499999999999998E-2</v>
      </c>
      <c r="H31" s="3">
        <f>+G30*G31</f>
        <v>48318.322499999995</v>
      </c>
      <c r="K31" s="3">
        <f>+E31-H31</f>
        <v>0</v>
      </c>
    </row>
    <row r="33" spans="1:11" x14ac:dyDescent="0.25">
      <c r="C33" s="4" t="s">
        <v>14</v>
      </c>
      <c r="E33" s="3">
        <f>-E28</f>
        <v>-50678</v>
      </c>
      <c r="H33" s="3">
        <f>-H28</f>
        <v>-44302</v>
      </c>
      <c r="K33" s="3">
        <f>+E33-H33</f>
        <v>-6376</v>
      </c>
    </row>
    <row r="35" spans="1:11" x14ac:dyDescent="0.25">
      <c r="A35" s="4" t="s">
        <v>16</v>
      </c>
      <c r="E35" s="3">
        <f>+E31+E33</f>
        <v>-2359.6775000000052</v>
      </c>
      <c r="H35" s="3">
        <f>+H31+H33</f>
        <v>4016.3224999999948</v>
      </c>
      <c r="K35" s="3">
        <f>+E35-H35</f>
        <v>-6376</v>
      </c>
    </row>
    <row r="37" spans="1:11" x14ac:dyDescent="0.25">
      <c r="C37" s="4" t="s">
        <v>17</v>
      </c>
      <c r="E37" s="3">
        <f>+E35+E20</f>
        <v>2664.3304999999964</v>
      </c>
      <c r="H37" s="3">
        <f>+H35+H20</f>
        <v>9017.7109999999957</v>
      </c>
      <c r="K37" s="3">
        <f>+E37-H37</f>
        <v>-6353.3804999999993</v>
      </c>
    </row>
    <row r="39" spans="1:11" x14ac:dyDescent="0.25">
      <c r="C39" s="4" t="s">
        <v>18</v>
      </c>
      <c r="E39" s="8">
        <v>3.4510000000000001</v>
      </c>
      <c r="H39" s="8">
        <f>+E39</f>
        <v>3.4510000000000001</v>
      </c>
      <c r="K39" s="8">
        <f>+H39</f>
        <v>3.4510000000000001</v>
      </c>
    </row>
    <row r="41" spans="1:11" x14ac:dyDescent="0.25">
      <c r="C41" s="4" t="s">
        <v>19</v>
      </c>
      <c r="E41" s="9">
        <f>+E37*E39</f>
        <v>9194.6045554999873</v>
      </c>
      <c r="H41" s="9">
        <f>+H37*H39</f>
        <v>31120.120660999986</v>
      </c>
      <c r="K41" s="9">
        <f>+E41-H41</f>
        <v>-21925.516105499999</v>
      </c>
    </row>
    <row r="43" spans="1:11" x14ac:dyDescent="0.25">
      <c r="A43" s="4" t="s">
        <v>20</v>
      </c>
      <c r="C43" s="6">
        <v>101021</v>
      </c>
      <c r="D43" s="3">
        <f>+D9</f>
        <v>4473250</v>
      </c>
      <c r="E43" s="9">
        <v>44113.22</v>
      </c>
      <c r="F43" s="8">
        <f>+E43/D43</f>
        <v>9.8615592689878726E-3</v>
      </c>
      <c r="H43" s="9"/>
      <c r="I43" s="10"/>
    </row>
    <row r="44" spans="1:11" x14ac:dyDescent="0.25">
      <c r="A44" s="4"/>
      <c r="C44" s="6">
        <v>101073</v>
      </c>
      <c r="D44" s="3">
        <f>+D25</f>
        <v>1121301</v>
      </c>
      <c r="E44" s="9">
        <f>10465.37+942.79</f>
        <v>11408.16</v>
      </c>
      <c r="F44" s="8">
        <f>+E44/D44</f>
        <v>1.017403890659154E-2</v>
      </c>
      <c r="H44" s="9"/>
      <c r="I44" s="10"/>
    </row>
    <row r="45" spans="1:11" ht="13.8" thickBot="1" x14ac:dyDescent="0.3">
      <c r="E45" s="13">
        <f>SUM(E43:E44)</f>
        <v>55521.380000000005</v>
      </c>
      <c r="H45" s="13">
        <v>31021.01</v>
      </c>
      <c r="K45" s="13">
        <f>+E45-H45</f>
        <v>24500.370000000006</v>
      </c>
    </row>
    <row r="46" spans="1:11" ht="13.8" thickTop="1" x14ac:dyDescent="0.25">
      <c r="C46" s="4" t="s">
        <v>21</v>
      </c>
      <c r="E46" s="9">
        <f>+E41-E43-E44</f>
        <v>-46326.775444500017</v>
      </c>
      <c r="H46" s="9">
        <f>+H41-H45</f>
        <v>99.110660999987886</v>
      </c>
      <c r="K46" s="3">
        <f>+E46-H46</f>
        <v>-46425.886105500002</v>
      </c>
    </row>
    <row r="48" spans="1:11" x14ac:dyDescent="0.25">
      <c r="A48" s="4" t="s">
        <v>22</v>
      </c>
      <c r="E48" s="9"/>
    </row>
    <row r="50" spans="3:5" x14ac:dyDescent="0.25">
      <c r="C50" s="4" t="s">
        <v>21</v>
      </c>
      <c r="E50" s="9">
        <f>+E46-E48</f>
        <v>-46326.775444500017</v>
      </c>
    </row>
    <row r="51" spans="3:5" x14ac:dyDescent="0.25">
      <c r="C51" s="4"/>
      <c r="E51" s="9"/>
    </row>
    <row r="52" spans="3:5" x14ac:dyDescent="0.25">
      <c r="C52" s="4"/>
      <c r="E52" s="9"/>
    </row>
    <row r="54" spans="3:5" x14ac:dyDescent="0.25">
      <c r="C54" s="4"/>
      <c r="E54" s="9"/>
    </row>
    <row r="55" spans="3:5" x14ac:dyDescent="0.25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7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workbookViewId="0">
      <selection activeCell="A8" sqref="A8"/>
    </sheetView>
  </sheetViews>
  <sheetFormatPr defaultColWidth="9.109375" defaultRowHeight="13.2" x14ac:dyDescent="0.25"/>
  <cols>
    <col min="1" max="1" width="9.109375" style="6"/>
    <col min="2" max="2" width="7.109375" style="3" customWidth="1"/>
    <col min="3" max="3" width="15.33203125" style="3" customWidth="1"/>
    <col min="4" max="4" width="11.33203125" style="3" bestFit="1" customWidth="1"/>
    <col min="5" max="5" width="13.44140625" style="3" customWidth="1"/>
    <col min="6" max="6" width="10.33203125" style="3" bestFit="1" customWidth="1"/>
    <col min="7" max="7" width="10.88671875" style="3" customWidth="1"/>
    <col min="8" max="8" width="13.88671875" style="3" customWidth="1"/>
    <col min="9" max="9" width="1.5546875" style="3" customWidth="1"/>
    <col min="10" max="10" width="9.109375" style="3"/>
    <col min="11" max="11" width="11" style="3" customWidth="1"/>
    <col min="12" max="16384" width="9.109375" style="3"/>
  </cols>
  <sheetData>
    <row r="2" spans="1:11" x14ac:dyDescent="0.25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5">
      <c r="A3" s="5" t="s">
        <v>1</v>
      </c>
      <c r="C3" s="20" t="s">
        <v>3</v>
      </c>
      <c r="D3" s="20"/>
      <c r="E3" s="20"/>
    </row>
    <row r="4" spans="1:11" x14ac:dyDescent="0.25">
      <c r="C4" s="20" t="s">
        <v>4</v>
      </c>
      <c r="D4" s="20"/>
      <c r="E4" s="20"/>
    </row>
    <row r="5" spans="1:11" x14ac:dyDescent="0.25">
      <c r="A5" s="3"/>
      <c r="C5" s="21">
        <v>36526</v>
      </c>
      <c r="D5" s="21"/>
      <c r="E5" s="21"/>
      <c r="F5" s="11"/>
      <c r="G5" s="12"/>
      <c r="H5" s="12"/>
    </row>
    <row r="7" spans="1:11" ht="15" x14ac:dyDescent="0.4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5">
      <c r="B8" s="4" t="s">
        <v>7</v>
      </c>
      <c r="E8" s="3">
        <v>3527521</v>
      </c>
      <c r="H8" s="3">
        <v>3535230</v>
      </c>
      <c r="K8" s="3">
        <f>+E8-H8</f>
        <v>-7709</v>
      </c>
    </row>
    <row r="9" spans="1:11" x14ac:dyDescent="0.25">
      <c r="C9" s="4" t="s">
        <v>8</v>
      </c>
      <c r="D9" s="3">
        <v>3389025</v>
      </c>
      <c r="G9" s="3">
        <v>3389025</v>
      </c>
      <c r="J9" s="3">
        <f>+D9-G9</f>
        <v>0</v>
      </c>
    </row>
    <row r="10" spans="1:11" x14ac:dyDescent="0.25">
      <c r="C10" s="4" t="s">
        <v>9</v>
      </c>
    </row>
    <row r="11" spans="1:11" x14ac:dyDescent="0.25">
      <c r="C11" s="4" t="s">
        <v>10</v>
      </c>
      <c r="E11" s="3">
        <f>SUM(D9:D10)</f>
        <v>3389025</v>
      </c>
      <c r="H11" s="3">
        <f>SUM(G9:G10)</f>
        <v>3389025</v>
      </c>
      <c r="K11" s="3">
        <f>+E11-H11</f>
        <v>0</v>
      </c>
    </row>
    <row r="12" spans="1:11" x14ac:dyDescent="0.25">
      <c r="C12" s="4"/>
    </row>
    <row r="13" spans="1:11" x14ac:dyDescent="0.25">
      <c r="C13" s="4" t="s">
        <v>11</v>
      </c>
      <c r="E13" s="3">
        <f>+E8-E11</f>
        <v>138496</v>
      </c>
      <c r="H13" s="3">
        <f>+H8-H11</f>
        <v>146205</v>
      </c>
      <c r="K13" s="3">
        <f>+E13-H13</f>
        <v>-7709</v>
      </c>
    </row>
    <row r="14" spans="1:11" x14ac:dyDescent="0.25">
      <c r="C14" s="4"/>
    </row>
    <row r="15" spans="1:11" x14ac:dyDescent="0.25">
      <c r="B15" s="4" t="s">
        <v>12</v>
      </c>
      <c r="D15" s="3">
        <v>3534474</v>
      </c>
      <c r="G15" s="3">
        <v>3534387</v>
      </c>
    </row>
    <row r="16" spans="1:11" x14ac:dyDescent="0.25">
      <c r="C16" s="4" t="s">
        <v>13</v>
      </c>
      <c r="D16" s="7">
        <v>4.4499999999999998E-2</v>
      </c>
      <c r="E16" s="3">
        <f>+D15*D16</f>
        <v>157284.09299999999</v>
      </c>
      <c r="G16" s="7">
        <v>4.4499999999999998E-2</v>
      </c>
      <c r="H16" s="3">
        <f>+G15*G16</f>
        <v>157280.22149999999</v>
      </c>
      <c r="K16" s="3">
        <f>+E16-H16</f>
        <v>3.8715000000083819</v>
      </c>
    </row>
    <row r="18" spans="1:11" x14ac:dyDescent="0.25">
      <c r="C18" s="4" t="s">
        <v>14</v>
      </c>
      <c r="E18" s="3">
        <f>-E13</f>
        <v>-138496</v>
      </c>
      <c r="H18" s="3">
        <f>-H13</f>
        <v>-146205</v>
      </c>
      <c r="K18" s="3">
        <f>+E18-H18</f>
        <v>7709</v>
      </c>
    </row>
    <row r="20" spans="1:11" x14ac:dyDescent="0.25">
      <c r="A20" s="4" t="s">
        <v>16</v>
      </c>
      <c r="E20" s="3">
        <f>+E16+E18</f>
        <v>18788.092999999993</v>
      </c>
      <c r="H20" s="3">
        <f>+H16+H18</f>
        <v>11075.221499999985</v>
      </c>
      <c r="K20" s="3">
        <f>+E20-H20</f>
        <v>7712.8715000000084</v>
      </c>
    </row>
    <row r="22" spans="1:11" x14ac:dyDescent="0.25">
      <c r="A22" s="2" t="s">
        <v>15</v>
      </c>
    </row>
    <row r="23" spans="1:11" x14ac:dyDescent="0.25">
      <c r="B23" s="4" t="s">
        <v>7</v>
      </c>
      <c r="E23" s="3">
        <v>1304727</v>
      </c>
      <c r="H23" s="3">
        <v>1287034</v>
      </c>
      <c r="K23" s="3">
        <f>+E23-H23</f>
        <v>17693</v>
      </c>
    </row>
    <row r="24" spans="1:11" x14ac:dyDescent="0.25">
      <c r="C24" s="4" t="s">
        <v>8</v>
      </c>
      <c r="D24" s="3">
        <v>0</v>
      </c>
    </row>
    <row r="25" spans="1:11" x14ac:dyDescent="0.25">
      <c r="C25" s="4" t="s">
        <v>9</v>
      </c>
      <c r="D25" s="3">
        <v>1250521</v>
      </c>
      <c r="G25" s="3">
        <v>1233543</v>
      </c>
    </row>
    <row r="26" spans="1:11" x14ac:dyDescent="0.25">
      <c r="C26" s="4" t="s">
        <v>10</v>
      </c>
      <c r="E26" s="3">
        <f>SUM(D24:D25)</f>
        <v>1250521</v>
      </c>
      <c r="H26" s="3">
        <f>SUM(G24:G25)</f>
        <v>1233543</v>
      </c>
      <c r="K26" s="3">
        <f>+E26-H26</f>
        <v>16978</v>
      </c>
    </row>
    <row r="27" spans="1:11" x14ac:dyDescent="0.25">
      <c r="C27" s="4"/>
    </row>
    <row r="28" spans="1:11" x14ac:dyDescent="0.25">
      <c r="C28" s="4" t="s">
        <v>11</v>
      </c>
      <c r="E28" s="3">
        <f>+E23-E26</f>
        <v>54206</v>
      </c>
      <c r="H28" s="3">
        <f>+H23-H26</f>
        <v>53491</v>
      </c>
      <c r="K28" s="3">
        <f>+E28-H28</f>
        <v>715</v>
      </c>
    </row>
    <row r="29" spans="1:11" x14ac:dyDescent="0.25">
      <c r="C29" s="4"/>
    </row>
    <row r="30" spans="1:11" x14ac:dyDescent="0.25">
      <c r="B30" s="4" t="s">
        <v>12</v>
      </c>
      <c r="D30" s="3">
        <f>1241420+96210</f>
        <v>1337630</v>
      </c>
      <c r="G30" s="3">
        <v>1337630</v>
      </c>
      <c r="J30" s="3">
        <f>+D30-G30</f>
        <v>0</v>
      </c>
    </row>
    <row r="31" spans="1:11" x14ac:dyDescent="0.25">
      <c r="C31" s="4" t="s">
        <v>13</v>
      </c>
      <c r="D31" s="7">
        <v>4.4499999999999998E-2</v>
      </c>
      <c r="E31" s="3">
        <f>+D30*D31</f>
        <v>59524.534999999996</v>
      </c>
      <c r="G31" s="7">
        <v>4.4499999999999998E-2</v>
      </c>
      <c r="H31" s="3">
        <f>+G30*G31</f>
        <v>59524.534999999996</v>
      </c>
      <c r="K31" s="3">
        <f>+E31-H31</f>
        <v>0</v>
      </c>
    </row>
    <row r="33" spans="1:11" x14ac:dyDescent="0.25">
      <c r="C33" s="4" t="s">
        <v>14</v>
      </c>
      <c r="E33" s="3">
        <f>-E28</f>
        <v>-54206</v>
      </c>
      <c r="H33" s="3">
        <f>-H28</f>
        <v>-53491</v>
      </c>
      <c r="K33" s="3">
        <f>+E33-H33</f>
        <v>-715</v>
      </c>
    </row>
    <row r="35" spans="1:11" x14ac:dyDescent="0.25">
      <c r="A35" s="4" t="s">
        <v>16</v>
      </c>
      <c r="E35" s="3">
        <f>+E31+E33</f>
        <v>5318.5349999999962</v>
      </c>
      <c r="H35" s="3">
        <f>+H31+H33</f>
        <v>6033.5349999999962</v>
      </c>
      <c r="K35" s="3">
        <f>+E35-H35</f>
        <v>-715</v>
      </c>
    </row>
    <row r="37" spans="1:11" x14ac:dyDescent="0.25">
      <c r="C37" s="4" t="s">
        <v>17</v>
      </c>
      <c r="E37" s="3">
        <f>+E35+E20</f>
        <v>24106.62799999999</v>
      </c>
      <c r="H37" s="3">
        <f>+H35+H20</f>
        <v>17108.756499999981</v>
      </c>
      <c r="K37" s="3">
        <f>+E37-H37</f>
        <v>6997.8715000000084</v>
      </c>
    </row>
    <row r="39" spans="1:11" x14ac:dyDescent="0.25">
      <c r="C39" s="4" t="s">
        <v>18</v>
      </c>
      <c r="E39" s="8">
        <v>2.3079999999999998</v>
      </c>
      <c r="H39" s="8">
        <v>2.3134999999999999</v>
      </c>
      <c r="K39" s="8">
        <f>+H39</f>
        <v>2.3134999999999999</v>
      </c>
    </row>
    <row r="41" spans="1:11" x14ac:dyDescent="0.25">
      <c r="C41" s="4" t="s">
        <v>19</v>
      </c>
      <c r="E41" s="9">
        <f>+E37*E39</f>
        <v>55638.09742399997</v>
      </c>
      <c r="H41" s="9">
        <f>+H37*H39</f>
        <v>39581.108162749952</v>
      </c>
      <c r="K41" s="9">
        <f>+E41-H41</f>
        <v>16056.989261250019</v>
      </c>
    </row>
    <row r="43" spans="1:11" x14ac:dyDescent="0.25">
      <c r="A43" s="4" t="s">
        <v>20</v>
      </c>
      <c r="C43" s="6">
        <v>101021</v>
      </c>
      <c r="D43" s="3">
        <f>+D9</f>
        <v>3389025</v>
      </c>
      <c r="E43" s="9">
        <f>33598.11-0.14-4.17</f>
        <v>33593.800000000003</v>
      </c>
      <c r="F43" s="8">
        <f>+E43/D43</f>
        <v>9.9125264641010333E-3</v>
      </c>
      <c r="H43" s="9"/>
      <c r="I43" s="10"/>
    </row>
    <row r="44" spans="1:11" x14ac:dyDescent="0.25">
      <c r="A44" s="4"/>
      <c r="C44" s="6">
        <v>101073</v>
      </c>
      <c r="D44" s="3">
        <f>+D25</f>
        <v>1250521</v>
      </c>
      <c r="E44" s="9">
        <f>12685.98-375.34</f>
        <v>12310.64</v>
      </c>
      <c r="F44" s="8">
        <f>+E44/D44</f>
        <v>9.8444088503911557E-3</v>
      </c>
      <c r="H44" s="9"/>
      <c r="I44" s="10"/>
    </row>
    <row r="45" spans="1:11" ht="13.8" thickBot="1" x14ac:dyDescent="0.3">
      <c r="E45" s="13">
        <f>SUM(E43:E44)</f>
        <v>45904.44</v>
      </c>
      <c r="H45" s="13">
        <v>39583.050000000003</v>
      </c>
      <c r="K45" s="13">
        <f>+E45-H45</f>
        <v>6321.3899999999994</v>
      </c>
    </row>
    <row r="46" spans="1:11" ht="13.8" thickTop="1" x14ac:dyDescent="0.25">
      <c r="C46" s="4" t="s">
        <v>21</v>
      </c>
      <c r="E46" s="9">
        <f>+E41-E43-E44</f>
        <v>9733.6574239999682</v>
      </c>
      <c r="H46" s="9">
        <f>+H41-H45</f>
        <v>-1.9418372500513215</v>
      </c>
      <c r="K46" s="3">
        <f>+E46-H46</f>
        <v>9735.5992612500195</v>
      </c>
    </row>
    <row r="48" spans="1:11" x14ac:dyDescent="0.25">
      <c r="A48" s="4" t="s">
        <v>22</v>
      </c>
      <c r="E48" s="9"/>
    </row>
    <row r="50" spans="3:5" x14ac:dyDescent="0.25">
      <c r="C50" s="4" t="s">
        <v>21</v>
      </c>
      <c r="E50" s="9">
        <f>+E46-E48</f>
        <v>9733.6574239999682</v>
      </c>
    </row>
    <row r="51" spans="3:5" x14ac:dyDescent="0.25">
      <c r="C51" s="4"/>
      <c r="E51" s="9"/>
    </row>
    <row r="52" spans="3:5" x14ac:dyDescent="0.25">
      <c r="C52" s="4"/>
      <c r="E52" s="9"/>
    </row>
    <row r="54" spans="3:5" x14ac:dyDescent="0.25">
      <c r="C54" s="4"/>
      <c r="E54" s="9"/>
    </row>
    <row r="55" spans="3:5" x14ac:dyDescent="0.25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tabSelected="1" topLeftCell="C31" workbookViewId="0">
      <selection activeCell="L46" sqref="L46"/>
    </sheetView>
  </sheetViews>
  <sheetFormatPr defaultColWidth="9.109375" defaultRowHeight="13.2" x14ac:dyDescent="0.25"/>
  <cols>
    <col min="1" max="1" width="9.109375" style="6"/>
    <col min="2" max="2" width="7.109375" style="3" customWidth="1"/>
    <col min="3" max="3" width="15.33203125" style="3" customWidth="1"/>
    <col min="4" max="4" width="11.33203125" style="3" bestFit="1" customWidth="1"/>
    <col min="5" max="5" width="13.44140625" style="3" customWidth="1"/>
    <col min="6" max="6" width="10.33203125" style="3" bestFit="1" customWidth="1"/>
    <col min="7" max="7" width="10.88671875" style="3" customWidth="1"/>
    <col min="8" max="8" width="13.88671875" style="3" customWidth="1"/>
    <col min="9" max="9" width="1.5546875" style="3" customWidth="1"/>
    <col min="10" max="10" width="10.88671875" style="3" customWidth="1"/>
    <col min="11" max="11" width="11" style="3" customWidth="1"/>
    <col min="12" max="16384" width="9.109375" style="3"/>
  </cols>
  <sheetData>
    <row r="2" spans="1:11" x14ac:dyDescent="0.25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5">
      <c r="A3" s="5" t="s">
        <v>1</v>
      </c>
      <c r="C3" s="20" t="s">
        <v>3</v>
      </c>
      <c r="D3" s="20"/>
      <c r="E3" s="20"/>
    </row>
    <row r="4" spans="1:11" x14ac:dyDescent="0.25">
      <c r="C4" s="20" t="s">
        <v>4</v>
      </c>
      <c r="D4" s="20"/>
      <c r="E4" s="20"/>
    </row>
    <row r="5" spans="1:11" x14ac:dyDescent="0.25">
      <c r="A5" s="3"/>
      <c r="C5" s="22">
        <v>37073</v>
      </c>
      <c r="D5" s="21"/>
      <c r="E5" s="21"/>
      <c r="F5" s="11"/>
      <c r="G5" s="12"/>
      <c r="H5" s="12"/>
    </row>
    <row r="7" spans="1:11" ht="15" x14ac:dyDescent="0.4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5">
      <c r="B8" s="4" t="s">
        <v>7</v>
      </c>
      <c r="E8" s="3">
        <v>4640565</v>
      </c>
      <c r="H8" s="3">
        <v>4640586</v>
      </c>
      <c r="K8" s="3">
        <f>+E8-H8</f>
        <v>-21</v>
      </c>
    </row>
    <row r="9" spans="1:11" x14ac:dyDescent="0.25">
      <c r="C9" s="4" t="s">
        <v>8</v>
      </c>
      <c r="D9" s="3">
        <v>4440454</v>
      </c>
      <c r="G9" s="3">
        <v>4440454</v>
      </c>
      <c r="J9" s="3">
        <f>+D9-G9</f>
        <v>0</v>
      </c>
    </row>
    <row r="10" spans="1:11" x14ac:dyDescent="0.25">
      <c r="C10" s="4" t="s">
        <v>9</v>
      </c>
    </row>
    <row r="11" spans="1:11" x14ac:dyDescent="0.25">
      <c r="C11" s="4" t="s">
        <v>10</v>
      </c>
      <c r="E11" s="3">
        <f>SUM(D9:D10)</f>
        <v>4440454</v>
      </c>
      <c r="H11" s="3">
        <f>SUM(G9:G10)</f>
        <v>4440454</v>
      </c>
      <c r="K11" s="3">
        <f>+E11-H11</f>
        <v>0</v>
      </c>
    </row>
    <row r="12" spans="1:11" x14ac:dyDescent="0.25">
      <c r="C12" s="4"/>
    </row>
    <row r="13" spans="1:11" x14ac:dyDescent="0.25">
      <c r="C13" s="4" t="s">
        <v>11</v>
      </c>
      <c r="E13" s="3">
        <f>+E8-E11</f>
        <v>200111</v>
      </c>
      <c r="H13" s="3">
        <f>+H8-H11</f>
        <v>200132</v>
      </c>
      <c r="K13" s="3">
        <f>+E13-H13</f>
        <v>-21</v>
      </c>
    </row>
    <row r="14" spans="1:11" x14ac:dyDescent="0.25">
      <c r="C14" s="4"/>
    </row>
    <row r="15" spans="1:11" x14ac:dyDescent="0.25">
      <c r="B15" s="4" t="s">
        <v>12</v>
      </c>
      <c r="D15" s="3">
        <v>4625468</v>
      </c>
      <c r="G15" s="3">
        <v>4623594</v>
      </c>
    </row>
    <row r="16" spans="1:11" x14ac:dyDescent="0.25">
      <c r="C16" s="4" t="s">
        <v>13</v>
      </c>
      <c r="D16" s="7">
        <v>4.4499999999999998E-2</v>
      </c>
      <c r="E16" s="3">
        <f>+D15*D16</f>
        <v>205833.326</v>
      </c>
      <c r="G16" s="7">
        <v>4.4499999999999998E-2</v>
      </c>
      <c r="H16" s="3">
        <f>+G15*G16</f>
        <v>205749.93299999999</v>
      </c>
      <c r="K16" s="3">
        <f>+E16-H16</f>
        <v>83.393000000010943</v>
      </c>
    </row>
    <row r="18" spans="1:11" x14ac:dyDescent="0.25">
      <c r="C18" s="4" t="s">
        <v>14</v>
      </c>
      <c r="E18" s="3">
        <f>-E13</f>
        <v>-200111</v>
      </c>
      <c r="H18" s="3">
        <f>-H13</f>
        <v>-200132</v>
      </c>
      <c r="K18" s="3">
        <f>+E18-H18</f>
        <v>21</v>
      </c>
    </row>
    <row r="20" spans="1:11" x14ac:dyDescent="0.25">
      <c r="A20" s="4" t="s">
        <v>16</v>
      </c>
      <c r="E20" s="3">
        <f>+E16+E18</f>
        <v>5722.3260000000009</v>
      </c>
      <c r="H20" s="3">
        <f>+H16+H18</f>
        <v>5617.93299999999</v>
      </c>
      <c r="K20" s="3">
        <f>+E20-H20</f>
        <v>104.39300000001094</v>
      </c>
    </row>
    <row r="22" spans="1:11" x14ac:dyDescent="0.25">
      <c r="A22" s="2" t="s">
        <v>15</v>
      </c>
    </row>
    <row r="23" spans="1:11" x14ac:dyDescent="0.25">
      <c r="B23" s="4" t="s">
        <v>7</v>
      </c>
      <c r="E23" s="3">
        <v>1232050</v>
      </c>
      <c r="H23" s="3">
        <v>1267836</v>
      </c>
      <c r="K23" s="3">
        <f>+E23-H23</f>
        <v>-35786</v>
      </c>
    </row>
    <row r="24" spans="1:11" x14ac:dyDescent="0.25">
      <c r="C24" s="4" t="s">
        <v>8</v>
      </c>
      <c r="D24" s="3">
        <v>0</v>
      </c>
    </row>
    <row r="25" spans="1:11" x14ac:dyDescent="0.25">
      <c r="C25" s="4" t="s">
        <v>9</v>
      </c>
      <c r="D25" s="3">
        <v>1178325</v>
      </c>
      <c r="G25" s="3">
        <v>1212669</v>
      </c>
    </row>
    <row r="26" spans="1:11" x14ac:dyDescent="0.25">
      <c r="C26" s="4" t="s">
        <v>10</v>
      </c>
      <c r="E26" s="3">
        <f>SUM(D24:D25)</f>
        <v>1178325</v>
      </c>
      <c r="H26" s="3">
        <f>SUM(G24:G25)</f>
        <v>1212669</v>
      </c>
      <c r="K26" s="3">
        <f>+E26-H26</f>
        <v>-34344</v>
      </c>
    </row>
    <row r="27" spans="1:11" x14ac:dyDescent="0.25">
      <c r="C27" s="4"/>
    </row>
    <row r="28" spans="1:11" x14ac:dyDescent="0.25">
      <c r="C28" s="4" t="s">
        <v>11</v>
      </c>
      <c r="E28" s="3">
        <f>+E23-E26</f>
        <v>53725</v>
      </c>
      <c r="H28" s="3">
        <f>+H23-H26</f>
        <v>55167</v>
      </c>
      <c r="K28" s="3">
        <f>+E28-H28</f>
        <v>-1442</v>
      </c>
    </row>
    <row r="29" spans="1:11" x14ac:dyDescent="0.25">
      <c r="C29" s="4"/>
    </row>
    <row r="30" spans="1:11" x14ac:dyDescent="0.25">
      <c r="B30" s="4" t="s">
        <v>12</v>
      </c>
      <c r="D30" s="3">
        <v>1181662</v>
      </c>
      <c r="G30" s="3">
        <v>1181662</v>
      </c>
      <c r="J30" s="3">
        <f>+D30-G30</f>
        <v>0</v>
      </c>
    </row>
    <row r="31" spans="1:11" x14ac:dyDescent="0.25">
      <c r="C31" s="4" t="s">
        <v>13</v>
      </c>
      <c r="D31" s="7">
        <v>4.4499999999999998E-2</v>
      </c>
      <c r="E31" s="3">
        <f>+D30*D31</f>
        <v>52583.958999999995</v>
      </c>
      <c r="G31" s="7">
        <v>4.4499999999999998E-2</v>
      </c>
      <c r="H31" s="3">
        <f>+G30*G31</f>
        <v>52583.958999999995</v>
      </c>
      <c r="K31" s="3">
        <f>+E31-H31</f>
        <v>0</v>
      </c>
    </row>
    <row r="33" spans="1:11" x14ac:dyDescent="0.25">
      <c r="C33" s="4" t="s">
        <v>14</v>
      </c>
      <c r="E33" s="3">
        <f>-E28</f>
        <v>-53725</v>
      </c>
      <c r="H33" s="3">
        <f>-H28</f>
        <v>-55167</v>
      </c>
      <c r="K33" s="3">
        <f>+E33-H33</f>
        <v>1442</v>
      </c>
    </row>
    <row r="35" spans="1:11" x14ac:dyDescent="0.25">
      <c r="A35" s="4" t="s">
        <v>16</v>
      </c>
      <c r="E35" s="3">
        <f>+E31+E33</f>
        <v>-1141.0410000000047</v>
      </c>
      <c r="H35" s="3">
        <f>+H31+H33</f>
        <v>-2583.0410000000047</v>
      </c>
      <c r="K35" s="3">
        <f>+E35-H35</f>
        <v>1442</v>
      </c>
    </row>
    <row r="37" spans="1:11" x14ac:dyDescent="0.25">
      <c r="C37" s="4" t="s">
        <v>17</v>
      </c>
      <c r="E37" s="3">
        <f>+E35+E20</f>
        <v>4581.2849999999962</v>
      </c>
      <c r="H37" s="3">
        <f>+H35+H20</f>
        <v>3034.8919999999853</v>
      </c>
      <c r="K37" s="3">
        <f>+E37-H37</f>
        <v>1546.3930000000109</v>
      </c>
    </row>
    <row r="39" spans="1:11" x14ac:dyDescent="0.25">
      <c r="C39" s="4" t="s">
        <v>18</v>
      </c>
      <c r="E39" s="8">
        <v>2.899</v>
      </c>
      <c r="H39" s="8">
        <f>+E39</f>
        <v>2.899</v>
      </c>
      <c r="K39" s="8">
        <f>+H39</f>
        <v>2.899</v>
      </c>
    </row>
    <row r="41" spans="1:11" x14ac:dyDescent="0.25">
      <c r="C41" s="4" t="s">
        <v>19</v>
      </c>
      <c r="E41" s="9">
        <f>+E37*E39</f>
        <v>13281.14521499999</v>
      </c>
      <c r="H41" s="9">
        <f>+H37*H39</f>
        <v>8798.151907999958</v>
      </c>
      <c r="K41" s="9">
        <f>+E41-H41</f>
        <v>4482.9933070000316</v>
      </c>
    </row>
    <row r="43" spans="1:11" x14ac:dyDescent="0.25">
      <c r="A43" s="4" t="s">
        <v>20</v>
      </c>
      <c r="C43" s="6">
        <v>101021</v>
      </c>
      <c r="D43" s="3">
        <f>+D9</f>
        <v>4440454</v>
      </c>
      <c r="E43" s="9">
        <v>44166.76</v>
      </c>
      <c r="F43" s="8">
        <f>+E43/D43</f>
        <v>9.946451421408712E-3</v>
      </c>
      <c r="H43" s="9"/>
      <c r="I43" s="10"/>
    </row>
    <row r="44" spans="1:11" x14ac:dyDescent="0.25">
      <c r="A44" s="4"/>
      <c r="C44" s="6">
        <v>101073</v>
      </c>
      <c r="D44" s="3">
        <f>+D25</f>
        <v>1178325</v>
      </c>
      <c r="E44" s="9">
        <v>11248.2</v>
      </c>
      <c r="F44" s="8">
        <f>+E44/D44</f>
        <v>9.545923238495322E-3</v>
      </c>
      <c r="H44" s="9"/>
      <c r="I44" s="10"/>
    </row>
    <row r="45" spans="1:11" ht="13.8" thickBot="1" x14ac:dyDescent="0.3">
      <c r="E45" s="13">
        <f>SUM(E43:E44)</f>
        <v>55414.960000000006</v>
      </c>
      <c r="H45" s="13">
        <v>8818.8700000000008</v>
      </c>
      <c r="K45" s="13">
        <f>+E45-H45</f>
        <v>46596.090000000004</v>
      </c>
    </row>
    <row r="46" spans="1:11" ht="13.8" thickTop="1" x14ac:dyDescent="0.25">
      <c r="C46" s="4" t="s">
        <v>21</v>
      </c>
      <c r="E46" s="9">
        <f>+E41-E43-E44</f>
        <v>-42133.81478500001</v>
      </c>
      <c r="H46" s="9">
        <f>+H41-H45</f>
        <v>-20.718092000042816</v>
      </c>
      <c r="K46" s="3">
        <f>+E46-H46</f>
        <v>-42113.09669299997</v>
      </c>
    </row>
    <row r="48" spans="1:11" x14ac:dyDescent="0.25">
      <c r="A48" s="4" t="s">
        <v>22</v>
      </c>
      <c r="E48" s="9"/>
    </row>
    <row r="50" spans="3:5" x14ac:dyDescent="0.25">
      <c r="C50" s="4" t="s">
        <v>21</v>
      </c>
      <c r="E50" s="9">
        <f>+E46-E48</f>
        <v>-42133.81478500001</v>
      </c>
    </row>
    <row r="51" spans="3:5" x14ac:dyDescent="0.25">
      <c r="C51" s="4"/>
      <c r="E51" s="9"/>
    </row>
    <row r="52" spans="3:5" x14ac:dyDescent="0.25">
      <c r="C52" s="4"/>
      <c r="E52" s="9"/>
    </row>
    <row r="54" spans="3:5" x14ac:dyDescent="0.25">
      <c r="C54" s="4"/>
      <c r="E54" s="9"/>
    </row>
    <row r="55" spans="3:5" x14ac:dyDescent="0.25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79"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topLeftCell="D28" workbookViewId="0">
      <selection activeCell="G7" sqref="G7:H7"/>
    </sheetView>
  </sheetViews>
  <sheetFormatPr defaultColWidth="9.109375" defaultRowHeight="13.2" x14ac:dyDescent="0.25"/>
  <cols>
    <col min="1" max="1" width="9.109375" style="6"/>
    <col min="2" max="2" width="7.109375" style="3" customWidth="1"/>
    <col min="3" max="3" width="15.33203125" style="3" customWidth="1"/>
    <col min="4" max="4" width="11.33203125" style="3" bestFit="1" customWidth="1"/>
    <col min="5" max="5" width="13.44140625" style="3" customWidth="1"/>
    <col min="6" max="6" width="10.33203125" style="3" bestFit="1" customWidth="1"/>
    <col min="7" max="7" width="10.88671875" style="3" customWidth="1"/>
    <col min="8" max="8" width="13.88671875" style="3" customWidth="1"/>
    <col min="9" max="9" width="1.5546875" style="3" customWidth="1"/>
    <col min="10" max="10" width="9.109375" style="3"/>
    <col min="11" max="11" width="11.88671875" style="3" bestFit="1" customWidth="1"/>
    <col min="12" max="16384" width="9.109375" style="3"/>
  </cols>
  <sheetData>
    <row r="2" spans="1:11" x14ac:dyDescent="0.25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5">
      <c r="A3" s="5" t="s">
        <v>1</v>
      </c>
      <c r="C3" s="20" t="s">
        <v>3</v>
      </c>
      <c r="D3" s="20"/>
      <c r="E3" s="20"/>
    </row>
    <row r="4" spans="1:11" x14ac:dyDescent="0.25">
      <c r="C4" s="20" t="s">
        <v>4</v>
      </c>
      <c r="D4" s="20"/>
      <c r="E4" s="20"/>
    </row>
    <row r="5" spans="1:11" x14ac:dyDescent="0.25">
      <c r="A5" s="3"/>
      <c r="C5" s="21">
        <v>36557</v>
      </c>
      <c r="D5" s="21"/>
      <c r="E5" s="21"/>
      <c r="F5" s="11"/>
      <c r="G5" s="12"/>
      <c r="H5" s="12"/>
    </row>
    <row r="7" spans="1:11" ht="15" x14ac:dyDescent="0.4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5">
      <c r="B8" s="4" t="s">
        <v>7</v>
      </c>
      <c r="E8" s="3">
        <v>2840423</v>
      </c>
      <c r="H8" s="3">
        <v>2840416</v>
      </c>
      <c r="K8" s="3">
        <f>+E8-H8</f>
        <v>7</v>
      </c>
    </row>
    <row r="9" spans="1:11" x14ac:dyDescent="0.25">
      <c r="C9" s="4" t="s">
        <v>8</v>
      </c>
      <c r="D9" s="3">
        <v>2723244</v>
      </c>
      <c r="G9" s="3">
        <v>2723244</v>
      </c>
      <c r="J9" s="3">
        <f>+D9-G9</f>
        <v>0</v>
      </c>
    </row>
    <row r="10" spans="1:11" x14ac:dyDescent="0.25">
      <c r="C10" s="4" t="s">
        <v>9</v>
      </c>
    </row>
    <row r="11" spans="1:11" x14ac:dyDescent="0.25">
      <c r="C11" s="4" t="s">
        <v>10</v>
      </c>
      <c r="E11" s="3">
        <f>SUM(D9:D10)</f>
        <v>2723244</v>
      </c>
      <c r="H11" s="3">
        <f>SUM(G9:G10)</f>
        <v>2723244</v>
      </c>
      <c r="K11" s="3">
        <f>+E11-H11</f>
        <v>0</v>
      </c>
    </row>
    <row r="12" spans="1:11" x14ac:dyDescent="0.25">
      <c r="C12" s="4"/>
    </row>
    <row r="13" spans="1:11" x14ac:dyDescent="0.25">
      <c r="C13" s="4" t="s">
        <v>11</v>
      </c>
      <c r="E13" s="3">
        <f>+E8-E11</f>
        <v>117179</v>
      </c>
      <c r="H13" s="3">
        <f>+H8-H11</f>
        <v>117172</v>
      </c>
      <c r="K13" s="3">
        <f>+E13-H13</f>
        <v>7</v>
      </c>
    </row>
    <row r="14" spans="1:11" x14ac:dyDescent="0.25">
      <c r="C14" s="4"/>
    </row>
    <row r="15" spans="1:11" x14ac:dyDescent="0.25">
      <c r="B15" s="4" t="s">
        <v>12</v>
      </c>
      <c r="D15" s="3">
        <v>2840018</v>
      </c>
      <c r="G15" s="3">
        <v>2840105</v>
      </c>
    </row>
    <row r="16" spans="1:11" x14ac:dyDescent="0.25">
      <c r="C16" s="4" t="s">
        <v>13</v>
      </c>
      <c r="D16" s="7">
        <v>4.4499999999999998E-2</v>
      </c>
      <c r="E16" s="3">
        <f>+D15*D16</f>
        <v>126380.80099999999</v>
      </c>
      <c r="G16" s="7">
        <v>4.4499999999999998E-2</v>
      </c>
      <c r="H16" s="3">
        <f>+G15*G16</f>
        <v>126384.6725</v>
      </c>
      <c r="K16" s="3">
        <f>+E16-H16</f>
        <v>-3.8715000000083819</v>
      </c>
    </row>
    <row r="18" spans="1:11" x14ac:dyDescent="0.25">
      <c r="C18" s="4" t="s">
        <v>14</v>
      </c>
      <c r="E18" s="3">
        <f>-E13</f>
        <v>-117179</v>
      </c>
      <c r="H18" s="3">
        <f>-H13</f>
        <v>-117172</v>
      </c>
      <c r="K18" s="3">
        <f>+E18-H18</f>
        <v>-7</v>
      </c>
    </row>
    <row r="20" spans="1:11" x14ac:dyDescent="0.25">
      <c r="A20" s="4" t="s">
        <v>16</v>
      </c>
      <c r="E20" s="3">
        <f>+E16+E18</f>
        <v>9201.8009999999922</v>
      </c>
      <c r="H20" s="3">
        <f>+H16+H18</f>
        <v>9212.6725000000006</v>
      </c>
      <c r="K20" s="3">
        <f>+E20-H20</f>
        <v>-10.871500000008382</v>
      </c>
    </row>
    <row r="22" spans="1:11" x14ac:dyDescent="0.25">
      <c r="A22" s="2" t="s">
        <v>15</v>
      </c>
    </row>
    <row r="23" spans="1:11" x14ac:dyDescent="0.25">
      <c r="B23" s="4" t="s">
        <v>7</v>
      </c>
      <c r="E23" s="3">
        <v>1450632</v>
      </c>
      <c r="H23" s="3">
        <v>1347691</v>
      </c>
      <c r="K23" s="3">
        <f>+E23-H23</f>
        <v>102941</v>
      </c>
    </row>
    <row r="24" spans="1:11" x14ac:dyDescent="0.25">
      <c r="C24" s="4" t="s">
        <v>8</v>
      </c>
      <c r="D24" s="3">
        <v>0</v>
      </c>
    </row>
    <row r="25" spans="1:11" x14ac:dyDescent="0.25">
      <c r="C25" s="4" t="s">
        <v>9</v>
      </c>
      <c r="D25" s="3">
        <v>1391117</v>
      </c>
      <c r="G25" s="3">
        <v>1292403</v>
      </c>
    </row>
    <row r="26" spans="1:11" x14ac:dyDescent="0.25">
      <c r="C26" s="4" t="s">
        <v>10</v>
      </c>
      <c r="E26" s="3">
        <f>SUM(D24:D25)</f>
        <v>1391117</v>
      </c>
      <c r="H26" s="3">
        <f>SUM(G24:G25)</f>
        <v>1292403</v>
      </c>
      <c r="K26" s="3">
        <f>+E26-H26</f>
        <v>98714</v>
      </c>
    </row>
    <row r="27" spans="1:11" x14ac:dyDescent="0.25">
      <c r="C27" s="4"/>
    </row>
    <row r="28" spans="1:11" x14ac:dyDescent="0.25">
      <c r="C28" s="4" t="s">
        <v>11</v>
      </c>
      <c r="E28" s="3">
        <f>+E23-E26</f>
        <v>59515</v>
      </c>
      <c r="H28" s="3">
        <f>+H23-H26</f>
        <v>55288</v>
      </c>
      <c r="K28" s="3">
        <f>+E28-H28</f>
        <v>4227</v>
      </c>
    </row>
    <row r="29" spans="1:11" x14ac:dyDescent="0.25">
      <c r="C29" s="4"/>
    </row>
    <row r="30" spans="1:11" x14ac:dyDescent="0.25">
      <c r="B30" s="4" t="s">
        <v>12</v>
      </c>
      <c r="D30" s="3">
        <v>1380594</v>
      </c>
      <c r="G30" s="3">
        <v>1380594</v>
      </c>
      <c r="J30" s="3">
        <f>+D30-G30</f>
        <v>0</v>
      </c>
    </row>
    <row r="31" spans="1:11" x14ac:dyDescent="0.25">
      <c r="C31" s="4" t="s">
        <v>13</v>
      </c>
      <c r="D31" s="7">
        <v>4.4499999999999998E-2</v>
      </c>
      <c r="E31" s="3">
        <f>+D30*D31</f>
        <v>61436.432999999997</v>
      </c>
      <c r="G31" s="7">
        <v>4.4499999999999998E-2</v>
      </c>
      <c r="H31" s="3">
        <f>+G30*G31</f>
        <v>61436.432999999997</v>
      </c>
      <c r="K31" s="3">
        <f>+E31-H31</f>
        <v>0</v>
      </c>
    </row>
    <row r="33" spans="1:11" x14ac:dyDescent="0.25">
      <c r="C33" s="4" t="s">
        <v>14</v>
      </c>
      <c r="E33" s="3">
        <f>-E28</f>
        <v>-59515</v>
      </c>
      <c r="H33" s="3">
        <f>-H28</f>
        <v>-55288</v>
      </c>
      <c r="K33" s="3">
        <f>+E33-H33</f>
        <v>-4227</v>
      </c>
    </row>
    <row r="35" spans="1:11" x14ac:dyDescent="0.25">
      <c r="A35" s="4" t="s">
        <v>16</v>
      </c>
      <c r="E35" s="3">
        <f>+E31+E33</f>
        <v>1921.4329999999973</v>
      </c>
      <c r="H35" s="3">
        <f>+H31+H33</f>
        <v>6148.4329999999973</v>
      </c>
      <c r="K35" s="3">
        <f>+E35-H35</f>
        <v>-4227</v>
      </c>
    </row>
    <row r="37" spans="1:11" x14ac:dyDescent="0.25">
      <c r="C37" s="4" t="s">
        <v>17</v>
      </c>
      <c r="E37" s="3">
        <f>+E35+E20</f>
        <v>11123.233999999989</v>
      </c>
      <c r="H37" s="3">
        <f>+H35+H20</f>
        <v>15361.105499999998</v>
      </c>
      <c r="K37" s="3">
        <f>+E37-H37</f>
        <v>-4237.8715000000084</v>
      </c>
    </row>
    <row r="39" spans="1:11" x14ac:dyDescent="0.25">
      <c r="C39" s="4" t="s">
        <v>18</v>
      </c>
      <c r="E39" s="8">
        <v>2.4980000000000002</v>
      </c>
      <c r="H39" s="8">
        <v>2.4977499999999999</v>
      </c>
      <c r="K39" s="8">
        <f>+H39</f>
        <v>2.4977499999999999</v>
      </c>
    </row>
    <row r="41" spans="1:11" x14ac:dyDescent="0.25">
      <c r="C41" s="4" t="s">
        <v>19</v>
      </c>
      <c r="E41" s="9">
        <f>+E37*E39</f>
        <v>27785.838531999976</v>
      </c>
      <c r="H41" s="9">
        <f>+H37*H39</f>
        <v>38368.201262624993</v>
      </c>
      <c r="K41" s="9">
        <f>+E41-H41</f>
        <v>-10582.362730625016</v>
      </c>
    </row>
    <row r="43" spans="1:11" x14ac:dyDescent="0.25">
      <c r="A43" s="4" t="s">
        <v>20</v>
      </c>
      <c r="C43" s="6">
        <v>101021</v>
      </c>
      <c r="D43" s="3">
        <f>+D9</f>
        <v>2723244</v>
      </c>
      <c r="E43" s="9">
        <v>27242.639999999999</v>
      </c>
      <c r="F43" s="8">
        <f>+E43/D43</f>
        <v>1.0003745532901202E-2</v>
      </c>
      <c r="H43" s="9"/>
      <c r="I43" s="10"/>
    </row>
    <row r="44" spans="1:11" x14ac:dyDescent="0.25">
      <c r="A44" s="4"/>
      <c r="C44" s="6">
        <v>101073</v>
      </c>
      <c r="D44" s="3">
        <f>+D25</f>
        <v>1391117</v>
      </c>
      <c r="E44" s="9">
        <f>13298.57+799.36</f>
        <v>14097.93</v>
      </c>
      <c r="F44" s="8">
        <f>+E44/D44</f>
        <v>1.0134251827847694E-2</v>
      </c>
      <c r="H44" s="9"/>
      <c r="I44" s="10"/>
    </row>
    <row r="45" spans="1:11" ht="13.8" thickBot="1" x14ac:dyDescent="0.3">
      <c r="E45" s="13">
        <f>SUM(E43:E44)</f>
        <v>41340.57</v>
      </c>
      <c r="H45" s="13">
        <v>38369.51</v>
      </c>
      <c r="K45" s="13">
        <f>+E45-H45</f>
        <v>2971.0599999999977</v>
      </c>
    </row>
    <row r="46" spans="1:11" ht="13.8" thickTop="1" x14ac:dyDescent="0.25">
      <c r="C46" s="4" t="s">
        <v>21</v>
      </c>
      <c r="E46" s="9">
        <f>+E41-E43-E44</f>
        <v>-13554.731468000024</v>
      </c>
      <c r="H46" s="9">
        <f>+H41-H45</f>
        <v>-1.3087373750095139</v>
      </c>
      <c r="K46" s="3">
        <f>+E46-H46</f>
        <v>-13553.422730625014</v>
      </c>
    </row>
    <row r="48" spans="1:11" x14ac:dyDescent="0.25">
      <c r="A48" s="4" t="s">
        <v>22</v>
      </c>
      <c r="E48" s="9"/>
    </row>
    <row r="50" spans="3:5" x14ac:dyDescent="0.25">
      <c r="C50" s="4" t="s">
        <v>21</v>
      </c>
      <c r="E50" s="9">
        <f>+E46-E48</f>
        <v>-13554.731468000024</v>
      </c>
    </row>
    <row r="51" spans="3:5" x14ac:dyDescent="0.25">
      <c r="C51" s="4"/>
      <c r="E51" s="9"/>
    </row>
    <row r="52" spans="3:5" x14ac:dyDescent="0.25">
      <c r="C52" s="4"/>
      <c r="E52" s="9"/>
    </row>
    <row r="54" spans="3:5" x14ac:dyDescent="0.25">
      <c r="C54" s="4"/>
      <c r="E54" s="9"/>
    </row>
    <row r="55" spans="3:5" x14ac:dyDescent="0.25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7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topLeftCell="E27" workbookViewId="0">
      <selection activeCell="F46" sqref="F46"/>
    </sheetView>
  </sheetViews>
  <sheetFormatPr defaultColWidth="9.109375" defaultRowHeight="13.2" x14ac:dyDescent="0.25"/>
  <cols>
    <col min="1" max="1" width="9.109375" style="6"/>
    <col min="2" max="2" width="7.109375" style="3" customWidth="1"/>
    <col min="3" max="3" width="15.33203125" style="3" customWidth="1"/>
    <col min="4" max="4" width="11.33203125" style="3" bestFit="1" customWidth="1"/>
    <col min="5" max="5" width="13.44140625" style="3" customWidth="1"/>
    <col min="6" max="6" width="10.33203125" style="3" bestFit="1" customWidth="1"/>
    <col min="7" max="7" width="10.88671875" style="3" customWidth="1"/>
    <col min="8" max="8" width="13.88671875" style="3" customWidth="1"/>
    <col min="9" max="9" width="1.5546875" style="3" customWidth="1"/>
    <col min="10" max="10" width="9.109375" style="3"/>
    <col min="11" max="11" width="11.88671875" style="3" bestFit="1" customWidth="1"/>
    <col min="12" max="16384" width="9.109375" style="3"/>
  </cols>
  <sheetData>
    <row r="2" spans="1:11" x14ac:dyDescent="0.25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5">
      <c r="A3" s="5" t="s">
        <v>1</v>
      </c>
      <c r="C3" s="20" t="s">
        <v>3</v>
      </c>
      <c r="D3" s="20"/>
      <c r="E3" s="20"/>
    </row>
    <row r="4" spans="1:11" x14ac:dyDescent="0.25">
      <c r="C4" s="20" t="s">
        <v>4</v>
      </c>
      <c r="D4" s="20"/>
      <c r="E4" s="20"/>
    </row>
    <row r="5" spans="1:11" x14ac:dyDescent="0.25">
      <c r="A5" s="3"/>
      <c r="C5" s="22">
        <v>36586</v>
      </c>
      <c r="D5" s="21"/>
      <c r="E5" s="21"/>
      <c r="F5" s="11"/>
      <c r="G5" s="12"/>
      <c r="H5" s="12"/>
    </row>
    <row r="7" spans="1:11" ht="15" x14ac:dyDescent="0.4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5">
      <c r="B8" s="4" t="s">
        <v>7</v>
      </c>
      <c r="E8" s="3">
        <v>3107162</v>
      </c>
      <c r="H8" s="3">
        <v>3095020</v>
      </c>
      <c r="K8" s="3">
        <f>+E8-H8</f>
        <v>12142</v>
      </c>
    </row>
    <row r="9" spans="1:11" x14ac:dyDescent="0.25">
      <c r="C9" s="4" t="s">
        <v>8</v>
      </c>
      <c r="D9" s="3">
        <v>2980309</v>
      </c>
      <c r="G9" s="3">
        <v>2980309</v>
      </c>
      <c r="J9" s="3">
        <f>+D9-G9</f>
        <v>0</v>
      </c>
    </row>
    <row r="10" spans="1:11" x14ac:dyDescent="0.25">
      <c r="C10" s="4" t="s">
        <v>9</v>
      </c>
    </row>
    <row r="11" spans="1:11" x14ac:dyDescent="0.25">
      <c r="C11" s="4" t="s">
        <v>10</v>
      </c>
      <c r="E11" s="3">
        <f>SUM(D9:D10)</f>
        <v>2980309</v>
      </c>
      <c r="H11" s="3">
        <f>SUM(G9:G10)</f>
        <v>2980309</v>
      </c>
      <c r="K11" s="3">
        <f>+E11-H11</f>
        <v>0</v>
      </c>
    </row>
    <row r="12" spans="1:11" x14ac:dyDescent="0.25">
      <c r="C12" s="4"/>
    </row>
    <row r="13" spans="1:11" x14ac:dyDescent="0.25">
      <c r="C13" s="4" t="s">
        <v>11</v>
      </c>
      <c r="E13" s="3">
        <f>+E8-E11</f>
        <v>126853</v>
      </c>
      <c r="H13" s="3">
        <f>+H8-H11</f>
        <v>114711</v>
      </c>
      <c r="K13" s="3">
        <f>+E13-H13</f>
        <v>12142</v>
      </c>
    </row>
    <row r="14" spans="1:11" x14ac:dyDescent="0.25">
      <c r="C14" s="4"/>
    </row>
    <row r="15" spans="1:11" x14ac:dyDescent="0.25">
      <c r="B15" s="4" t="s">
        <v>12</v>
      </c>
      <c r="D15" s="3">
        <v>3107317</v>
      </c>
      <c r="G15" s="3">
        <v>3107317</v>
      </c>
    </row>
    <row r="16" spans="1:11" x14ac:dyDescent="0.25">
      <c r="C16" s="4" t="s">
        <v>13</v>
      </c>
      <c r="D16" s="7">
        <v>4.4499999999999998E-2</v>
      </c>
      <c r="E16" s="3">
        <f>+D15*D16</f>
        <v>138275.60649999999</v>
      </c>
      <c r="G16" s="7">
        <v>4.4499999999999998E-2</v>
      </c>
      <c r="H16" s="3">
        <f>+G15*G16</f>
        <v>138275.60649999999</v>
      </c>
      <c r="K16" s="3">
        <f>+E16-H16</f>
        <v>0</v>
      </c>
    </row>
    <row r="18" spans="1:11" x14ac:dyDescent="0.25">
      <c r="C18" s="4" t="s">
        <v>14</v>
      </c>
      <c r="E18" s="3">
        <f>-E13</f>
        <v>-126853</v>
      </c>
      <c r="H18" s="3">
        <f>-H13</f>
        <v>-114711</v>
      </c>
      <c r="K18" s="3">
        <f>+E18-H18</f>
        <v>-12142</v>
      </c>
    </row>
    <row r="20" spans="1:11" x14ac:dyDescent="0.25">
      <c r="A20" s="4" t="s">
        <v>16</v>
      </c>
      <c r="E20" s="3">
        <f>+E16+E18</f>
        <v>11422.606499999994</v>
      </c>
      <c r="H20" s="3">
        <f>+H16+H18</f>
        <v>23564.606499999994</v>
      </c>
      <c r="K20" s="3">
        <f>+E20-H20</f>
        <v>-12142</v>
      </c>
    </row>
    <row r="22" spans="1:11" x14ac:dyDescent="0.25">
      <c r="A22" s="2" t="s">
        <v>15</v>
      </c>
    </row>
    <row r="23" spans="1:11" x14ac:dyDescent="0.25">
      <c r="B23" s="4" t="s">
        <v>7</v>
      </c>
      <c r="E23" s="3">
        <v>1422875</v>
      </c>
      <c r="H23" s="3">
        <v>1666550</v>
      </c>
      <c r="K23" s="3">
        <f>+E23-H23</f>
        <v>-243675</v>
      </c>
    </row>
    <row r="24" spans="1:11" x14ac:dyDescent="0.25">
      <c r="C24" s="4" t="s">
        <v>8</v>
      </c>
      <c r="D24" s="3">
        <v>0</v>
      </c>
    </row>
    <row r="25" spans="1:11" x14ac:dyDescent="0.25">
      <c r="C25" s="4" t="s">
        <v>9</v>
      </c>
      <c r="D25" s="3">
        <v>1362518</v>
      </c>
      <c r="G25" s="3">
        <v>1597215</v>
      </c>
    </row>
    <row r="26" spans="1:11" x14ac:dyDescent="0.25">
      <c r="C26" s="4" t="s">
        <v>10</v>
      </c>
      <c r="E26" s="3">
        <f>SUM(D24:D25)</f>
        <v>1362518</v>
      </c>
      <c r="H26" s="3">
        <f>SUM(G24:G25)</f>
        <v>1597215</v>
      </c>
      <c r="K26" s="3">
        <f>+E26-H26</f>
        <v>-234697</v>
      </c>
    </row>
    <row r="27" spans="1:11" x14ac:dyDescent="0.25">
      <c r="C27" s="4"/>
    </row>
    <row r="28" spans="1:11" x14ac:dyDescent="0.25">
      <c r="C28" s="4" t="s">
        <v>11</v>
      </c>
      <c r="E28" s="3">
        <f>+E23-E26</f>
        <v>60357</v>
      </c>
      <c r="H28" s="3">
        <f>+H23-H26</f>
        <v>69335</v>
      </c>
      <c r="K28" s="3">
        <f>+E28-H28</f>
        <v>-8978</v>
      </c>
    </row>
    <row r="29" spans="1:11" x14ac:dyDescent="0.25">
      <c r="C29" s="4"/>
    </row>
    <row r="30" spans="1:11" x14ac:dyDescent="0.25">
      <c r="B30" s="4" t="s">
        <v>12</v>
      </c>
      <c r="D30" s="3">
        <v>1596512</v>
      </c>
      <c r="G30" s="3">
        <v>1596512</v>
      </c>
      <c r="J30" s="3">
        <f>+D30-G30</f>
        <v>0</v>
      </c>
    </row>
    <row r="31" spans="1:11" x14ac:dyDescent="0.25">
      <c r="C31" s="4" t="s">
        <v>13</v>
      </c>
      <c r="D31" s="7">
        <v>4.4499999999999998E-2</v>
      </c>
      <c r="E31" s="3">
        <f>+D30*D31</f>
        <v>71044.784</v>
      </c>
      <c r="G31" s="7">
        <v>4.4499999999999998E-2</v>
      </c>
      <c r="H31" s="3">
        <f>+G30*G31</f>
        <v>71044.784</v>
      </c>
      <c r="K31" s="3">
        <f>+E31-H31</f>
        <v>0</v>
      </c>
    </row>
    <row r="33" spans="1:11" x14ac:dyDescent="0.25">
      <c r="C33" s="4" t="s">
        <v>14</v>
      </c>
      <c r="E33" s="3">
        <f>-E28</f>
        <v>-60357</v>
      </c>
      <c r="H33" s="3">
        <f>-H28</f>
        <v>-69335</v>
      </c>
      <c r="K33" s="3">
        <f>+E33-H33</f>
        <v>8978</v>
      </c>
    </row>
    <row r="35" spans="1:11" x14ac:dyDescent="0.25">
      <c r="A35" s="4" t="s">
        <v>16</v>
      </c>
      <c r="E35" s="3">
        <f>+E31+E33</f>
        <v>10687.784</v>
      </c>
      <c r="H35" s="3">
        <f>+H31+H33</f>
        <v>1709.7839999999997</v>
      </c>
      <c r="K35" s="3">
        <f>+E35-H35</f>
        <v>8978</v>
      </c>
    </row>
    <row r="37" spans="1:11" x14ac:dyDescent="0.25">
      <c r="C37" s="4" t="s">
        <v>17</v>
      </c>
      <c r="E37" s="3">
        <f>+E35+E20</f>
        <v>22110.390499999994</v>
      </c>
      <c r="H37" s="3">
        <f>+H35+H20</f>
        <v>25274.390499999994</v>
      </c>
      <c r="K37" s="3">
        <f>+E37-H37</f>
        <v>-3164</v>
      </c>
    </row>
    <row r="39" spans="1:11" x14ac:dyDescent="0.25">
      <c r="C39" s="4" t="s">
        <v>18</v>
      </c>
      <c r="E39" s="8">
        <v>2.6364999999999998</v>
      </c>
      <c r="H39" s="8">
        <v>2.6524999999999999</v>
      </c>
      <c r="K39" s="8">
        <f>+H39</f>
        <v>2.6524999999999999</v>
      </c>
    </row>
    <row r="41" spans="1:11" x14ac:dyDescent="0.25">
      <c r="C41" s="4" t="s">
        <v>19</v>
      </c>
      <c r="E41" s="9">
        <f>+E37*E39</f>
        <v>58294.04455324998</v>
      </c>
      <c r="H41" s="9">
        <f>+H37*H39</f>
        <v>67040.320801249982</v>
      </c>
      <c r="K41" s="9">
        <f>+E41-H41</f>
        <v>-8746.2762480000019</v>
      </c>
    </row>
    <row r="43" spans="1:11" x14ac:dyDescent="0.25">
      <c r="A43" s="4" t="s">
        <v>20</v>
      </c>
      <c r="C43" s="6">
        <v>101021</v>
      </c>
      <c r="D43" s="3">
        <f>+D9</f>
        <v>2980309</v>
      </c>
      <c r="E43" s="9">
        <v>30364.63</v>
      </c>
      <c r="F43" s="8">
        <f>+E43/D43</f>
        <v>1.0188416704442392E-2</v>
      </c>
      <c r="H43" s="9"/>
      <c r="I43" s="10"/>
    </row>
    <row r="44" spans="1:11" x14ac:dyDescent="0.25">
      <c r="A44" s="4"/>
      <c r="C44" s="6">
        <v>101073</v>
      </c>
      <c r="D44" s="3">
        <f>+D25</f>
        <v>1362518</v>
      </c>
      <c r="E44" s="9">
        <f>15426.3-1946.83</f>
        <v>13479.47</v>
      </c>
      <c r="F44" s="8">
        <f>+E44/D44</f>
        <v>9.8930582935418104E-3</v>
      </c>
      <c r="H44" s="9"/>
      <c r="I44" s="10"/>
    </row>
    <row r="45" spans="1:11" ht="13.8" thickBot="1" x14ac:dyDescent="0.3">
      <c r="E45" s="13">
        <f>SUM(E43:E44)</f>
        <v>43844.1</v>
      </c>
      <c r="H45" s="13">
        <v>67042.42</v>
      </c>
      <c r="K45" s="13">
        <f>+E45-H45</f>
        <v>-23198.32</v>
      </c>
    </row>
    <row r="46" spans="1:11" ht="13.8" thickTop="1" x14ac:dyDescent="0.25">
      <c r="C46" s="4" t="s">
        <v>21</v>
      </c>
      <c r="E46" s="9">
        <f>+E41-E43-E44</f>
        <v>14449.944553249979</v>
      </c>
      <c r="H46" s="9">
        <f>+H41-H45</f>
        <v>-2.0991987500165123</v>
      </c>
      <c r="K46" s="3">
        <f>+E46-H46</f>
        <v>14452.043751999996</v>
      </c>
    </row>
    <row r="48" spans="1:11" x14ac:dyDescent="0.25">
      <c r="A48" s="4" t="s">
        <v>22</v>
      </c>
      <c r="E48" s="9"/>
    </row>
    <row r="50" spans="3:5" x14ac:dyDescent="0.25">
      <c r="C50" s="4" t="s">
        <v>21</v>
      </c>
      <c r="E50" s="9">
        <f>+E46-E48</f>
        <v>14449.944553249979</v>
      </c>
    </row>
    <row r="51" spans="3:5" x14ac:dyDescent="0.25">
      <c r="C51" s="4"/>
      <c r="E51" s="9"/>
    </row>
    <row r="52" spans="3:5" x14ac:dyDescent="0.25">
      <c r="C52" s="4"/>
      <c r="E52" s="9"/>
    </row>
    <row r="54" spans="3:5" x14ac:dyDescent="0.25">
      <c r="C54" s="4"/>
      <c r="E54" s="9"/>
    </row>
    <row r="55" spans="3:5" x14ac:dyDescent="0.25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7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topLeftCell="C16" workbookViewId="0">
      <selection activeCell="G8" sqref="G8"/>
    </sheetView>
  </sheetViews>
  <sheetFormatPr defaultColWidth="9.109375" defaultRowHeight="13.2" x14ac:dyDescent="0.25"/>
  <cols>
    <col min="1" max="1" width="9.109375" style="6"/>
    <col min="2" max="2" width="7.109375" style="3" customWidth="1"/>
    <col min="3" max="3" width="15.33203125" style="3" customWidth="1"/>
    <col min="4" max="4" width="11.33203125" style="3" bestFit="1" customWidth="1"/>
    <col min="5" max="5" width="13.44140625" style="3" customWidth="1"/>
    <col min="6" max="6" width="10.33203125" style="3" bestFit="1" customWidth="1"/>
    <col min="7" max="7" width="10.88671875" style="3" customWidth="1"/>
    <col min="8" max="8" width="13.88671875" style="3" customWidth="1"/>
    <col min="9" max="9" width="1.5546875" style="3" customWidth="1"/>
    <col min="10" max="10" width="9.109375" style="3"/>
    <col min="11" max="11" width="11" style="3" customWidth="1"/>
    <col min="12" max="16384" width="9.109375" style="3"/>
  </cols>
  <sheetData>
    <row r="2" spans="1:11" x14ac:dyDescent="0.25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5">
      <c r="A3" s="5" t="s">
        <v>1</v>
      </c>
      <c r="C3" s="20" t="s">
        <v>3</v>
      </c>
      <c r="D3" s="20"/>
      <c r="E3" s="20"/>
    </row>
    <row r="4" spans="1:11" x14ac:dyDescent="0.25">
      <c r="C4" s="20" t="s">
        <v>4</v>
      </c>
      <c r="D4" s="20"/>
      <c r="E4" s="20"/>
    </row>
    <row r="5" spans="1:11" x14ac:dyDescent="0.25">
      <c r="A5" s="3"/>
      <c r="C5" s="22">
        <v>36617</v>
      </c>
      <c r="D5" s="21"/>
      <c r="E5" s="21"/>
      <c r="F5" s="11"/>
      <c r="G5" s="12"/>
      <c r="H5" s="12"/>
    </row>
    <row r="7" spans="1:11" ht="15" x14ac:dyDescent="0.4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5">
      <c r="B8" s="4" t="s">
        <v>7</v>
      </c>
      <c r="E8" s="3">
        <v>3015339</v>
      </c>
      <c r="H8" s="3">
        <v>3015339</v>
      </c>
      <c r="K8" s="3">
        <f>+E8-H8</f>
        <v>0</v>
      </c>
    </row>
    <row r="9" spans="1:11" x14ac:dyDescent="0.25">
      <c r="C9" s="4" t="s">
        <v>8</v>
      </c>
      <c r="D9" s="3">
        <v>2891820</v>
      </c>
      <c r="G9" s="3">
        <v>2891820</v>
      </c>
      <c r="J9" s="3">
        <f>+D9-G9</f>
        <v>0</v>
      </c>
    </row>
    <row r="10" spans="1:11" x14ac:dyDescent="0.25">
      <c r="C10" s="4" t="s">
        <v>9</v>
      </c>
    </row>
    <row r="11" spans="1:11" x14ac:dyDescent="0.25">
      <c r="C11" s="4" t="s">
        <v>10</v>
      </c>
      <c r="E11" s="3">
        <f>SUM(D9:D10)</f>
        <v>2891820</v>
      </c>
      <c r="H11" s="3">
        <f>SUM(G9:G10)</f>
        <v>2891820</v>
      </c>
      <c r="K11" s="3">
        <f>+E11-H11</f>
        <v>0</v>
      </c>
    </row>
    <row r="12" spans="1:11" x14ac:dyDescent="0.25">
      <c r="C12" s="4"/>
    </row>
    <row r="13" spans="1:11" x14ac:dyDescent="0.25">
      <c r="C13" s="4" t="s">
        <v>11</v>
      </c>
      <c r="E13" s="3">
        <f>+E8-E11</f>
        <v>123519</v>
      </c>
      <c r="H13" s="3">
        <f>+H8-H11</f>
        <v>123519</v>
      </c>
      <c r="K13" s="3">
        <f>+E13-H13</f>
        <v>0</v>
      </c>
    </row>
    <row r="14" spans="1:11" x14ac:dyDescent="0.25">
      <c r="C14" s="4"/>
    </row>
    <row r="15" spans="1:11" x14ac:dyDescent="0.25">
      <c r="B15" s="4" t="s">
        <v>12</v>
      </c>
      <c r="D15" s="3">
        <v>3016689</v>
      </c>
      <c r="G15" s="3">
        <v>3016689</v>
      </c>
    </row>
    <row r="16" spans="1:11" x14ac:dyDescent="0.25">
      <c r="C16" s="4" t="s">
        <v>13</v>
      </c>
      <c r="D16" s="7">
        <v>4.4499999999999998E-2</v>
      </c>
      <c r="E16" s="3">
        <f>+D15*D16</f>
        <v>134242.6605</v>
      </c>
      <c r="G16" s="7">
        <v>4.4499999999999998E-2</v>
      </c>
      <c r="H16" s="3">
        <f>+G15*G16</f>
        <v>134242.6605</v>
      </c>
      <c r="K16" s="3">
        <f>+E16-H16</f>
        <v>0</v>
      </c>
    </row>
    <row r="18" spans="1:11" x14ac:dyDescent="0.25">
      <c r="C18" s="4" t="s">
        <v>14</v>
      </c>
      <c r="E18" s="3">
        <f>-E13</f>
        <v>-123519</v>
      </c>
      <c r="H18" s="3">
        <f>-H13</f>
        <v>-123519</v>
      </c>
      <c r="K18" s="3">
        <f>+E18-H18</f>
        <v>0</v>
      </c>
    </row>
    <row r="20" spans="1:11" x14ac:dyDescent="0.25">
      <c r="A20" s="4" t="s">
        <v>16</v>
      </c>
      <c r="E20" s="3">
        <f>+E16+E18</f>
        <v>10723.660499999998</v>
      </c>
      <c r="H20" s="3">
        <f>+H16+H18</f>
        <v>10723.660499999998</v>
      </c>
      <c r="K20" s="3">
        <f>+E20-H20</f>
        <v>0</v>
      </c>
    </row>
    <row r="22" spans="1:11" x14ac:dyDescent="0.25">
      <c r="A22" s="2" t="s">
        <v>15</v>
      </c>
    </row>
    <row r="23" spans="1:11" x14ac:dyDescent="0.25">
      <c r="B23" s="4" t="s">
        <v>7</v>
      </c>
      <c r="E23" s="3">
        <v>1375708</v>
      </c>
      <c r="H23" s="3">
        <v>1357069</v>
      </c>
      <c r="K23" s="3">
        <f>+E23-H23</f>
        <v>18639</v>
      </c>
    </row>
    <row r="24" spans="1:11" x14ac:dyDescent="0.25">
      <c r="C24" s="4" t="s">
        <v>8</v>
      </c>
      <c r="D24" s="3">
        <v>0</v>
      </c>
    </row>
    <row r="25" spans="1:11" x14ac:dyDescent="0.25">
      <c r="C25" s="4" t="s">
        <v>9</v>
      </c>
      <c r="D25" s="3">
        <v>1316614</v>
      </c>
      <c r="G25" s="3">
        <v>1298524</v>
      </c>
    </row>
    <row r="26" spans="1:11" x14ac:dyDescent="0.25">
      <c r="C26" s="4" t="s">
        <v>10</v>
      </c>
      <c r="E26" s="3">
        <f>SUM(D24:D25)</f>
        <v>1316614</v>
      </c>
      <c r="H26" s="3">
        <f>SUM(G24:G25)</f>
        <v>1298524</v>
      </c>
      <c r="K26" s="3">
        <f>+E26-H26</f>
        <v>18090</v>
      </c>
    </row>
    <row r="27" spans="1:11" x14ac:dyDescent="0.25">
      <c r="C27" s="4"/>
    </row>
    <row r="28" spans="1:11" x14ac:dyDescent="0.25">
      <c r="C28" s="4" t="s">
        <v>11</v>
      </c>
      <c r="E28" s="3">
        <f>+E23-E26</f>
        <v>59094</v>
      </c>
      <c r="H28" s="3">
        <f>+H23-H26</f>
        <v>58545</v>
      </c>
      <c r="K28" s="3">
        <f>+E28-H28</f>
        <v>549</v>
      </c>
    </row>
    <row r="29" spans="1:11" x14ac:dyDescent="0.25">
      <c r="C29" s="4"/>
    </row>
    <row r="30" spans="1:11" x14ac:dyDescent="0.25">
      <c r="B30" s="4" t="s">
        <v>12</v>
      </c>
      <c r="D30" s="3">
        <v>1530706</v>
      </c>
      <c r="G30" s="3">
        <v>1357069</v>
      </c>
      <c r="J30" s="3">
        <f>+D30-G30</f>
        <v>173637</v>
      </c>
    </row>
    <row r="31" spans="1:11" x14ac:dyDescent="0.25">
      <c r="C31" s="4" t="s">
        <v>13</v>
      </c>
      <c r="D31" s="7">
        <v>4.4499999999999998E-2</v>
      </c>
      <c r="E31" s="3">
        <f>+D30*D31</f>
        <v>68116.417000000001</v>
      </c>
      <c r="G31" s="7">
        <v>4.4499999999999998E-2</v>
      </c>
      <c r="H31" s="3">
        <f>+G30*G31</f>
        <v>60389.570499999994</v>
      </c>
      <c r="K31" s="3">
        <f>+E31-H31</f>
        <v>7726.8465000000069</v>
      </c>
    </row>
    <row r="33" spans="1:11" x14ac:dyDescent="0.25">
      <c r="C33" s="4" t="s">
        <v>14</v>
      </c>
      <c r="E33" s="3">
        <f>-E28</f>
        <v>-59094</v>
      </c>
      <c r="H33" s="3">
        <f>-H28</f>
        <v>-58545</v>
      </c>
      <c r="K33" s="3">
        <f>+E33-H33</f>
        <v>-549</v>
      </c>
    </row>
    <row r="35" spans="1:11" x14ac:dyDescent="0.25">
      <c r="A35" s="4" t="s">
        <v>16</v>
      </c>
      <c r="E35" s="3">
        <f>+E31+E33</f>
        <v>9022.4170000000013</v>
      </c>
      <c r="H35" s="3">
        <f>+H31+H33</f>
        <v>1844.5704999999944</v>
      </c>
      <c r="K35" s="3">
        <f>+E35-H35</f>
        <v>7177.8465000000069</v>
      </c>
    </row>
    <row r="37" spans="1:11" x14ac:dyDescent="0.25">
      <c r="C37" s="4" t="s">
        <v>17</v>
      </c>
      <c r="E37" s="3">
        <f>+E35+E20</f>
        <v>19746.077499999999</v>
      </c>
      <c r="H37" s="3">
        <f>+H35+H20</f>
        <v>12568.230999999992</v>
      </c>
      <c r="K37" s="3">
        <f>+E37-H37</f>
        <v>7177.8465000000069</v>
      </c>
    </row>
    <row r="39" spans="1:11" x14ac:dyDescent="0.25">
      <c r="C39" s="4" t="s">
        <v>18</v>
      </c>
      <c r="E39" s="8">
        <v>2.8980000000000001</v>
      </c>
      <c r="H39" s="8">
        <v>2.9009999999999998</v>
      </c>
      <c r="K39" s="8">
        <f>+H39</f>
        <v>2.9009999999999998</v>
      </c>
    </row>
    <row r="41" spans="1:11" x14ac:dyDescent="0.25">
      <c r="C41" s="4" t="s">
        <v>19</v>
      </c>
      <c r="E41" s="9">
        <f>+E37*E39</f>
        <v>57224.132595000003</v>
      </c>
      <c r="H41" s="9">
        <f>+H37*H39</f>
        <v>36460.438130999974</v>
      </c>
      <c r="K41" s="9">
        <f>+E41-H41</f>
        <v>20763.694464000029</v>
      </c>
    </row>
    <row r="43" spans="1:11" x14ac:dyDescent="0.25">
      <c r="A43" s="4" t="s">
        <v>20</v>
      </c>
      <c r="C43" s="6">
        <v>101021</v>
      </c>
      <c r="D43" s="3">
        <f>+D9</f>
        <v>2891820</v>
      </c>
      <c r="E43" s="9">
        <v>29410.01</v>
      </c>
      <c r="F43" s="8">
        <f>+E43/D43</f>
        <v>1.0170069368079617E-2</v>
      </c>
      <c r="H43" s="9"/>
      <c r="I43" s="10"/>
    </row>
    <row r="44" spans="1:11" x14ac:dyDescent="0.25">
      <c r="A44" s="4"/>
      <c r="C44" s="6">
        <v>101073</v>
      </c>
      <c r="D44" s="3">
        <f>+D25</f>
        <v>1316614</v>
      </c>
      <c r="E44" s="9">
        <f>14687.97-1742.64</f>
        <v>12945.33</v>
      </c>
      <c r="F44" s="8">
        <f>+E44/D44</f>
        <v>9.8322894941114108E-3</v>
      </c>
      <c r="H44" s="9"/>
      <c r="I44" s="10"/>
    </row>
    <row r="45" spans="1:11" ht="13.8" thickBot="1" x14ac:dyDescent="0.3">
      <c r="E45" s="13">
        <f>SUM(E43:E44)</f>
        <v>42355.34</v>
      </c>
      <c r="H45" s="13">
        <v>36464.379999999997</v>
      </c>
      <c r="K45" s="13">
        <f>+E45-H45</f>
        <v>5890.9599999999991</v>
      </c>
    </row>
    <row r="46" spans="1:11" ht="13.8" thickTop="1" x14ac:dyDescent="0.25">
      <c r="C46" s="4" t="s">
        <v>21</v>
      </c>
      <c r="E46" s="9">
        <f>+E41-E43-E44</f>
        <v>14868.792595000004</v>
      </c>
      <c r="H46" s="9">
        <f>+H41-H45</f>
        <v>-3.9418690000238712</v>
      </c>
      <c r="K46" s="3">
        <f>+E46-H46</f>
        <v>14872.734464000028</v>
      </c>
    </row>
    <row r="48" spans="1:11" x14ac:dyDescent="0.25">
      <c r="A48" s="4" t="s">
        <v>22</v>
      </c>
      <c r="E48" s="9"/>
    </row>
    <row r="50" spans="3:5" x14ac:dyDescent="0.25">
      <c r="C50" s="4" t="s">
        <v>21</v>
      </c>
      <c r="E50" s="9">
        <f>+E46-E48</f>
        <v>14868.792595000004</v>
      </c>
    </row>
    <row r="51" spans="3:5" x14ac:dyDescent="0.25">
      <c r="C51" s="4"/>
      <c r="E51" s="9"/>
    </row>
    <row r="52" spans="3:5" x14ac:dyDescent="0.25">
      <c r="C52" s="4"/>
      <c r="E52" s="9"/>
    </row>
    <row r="54" spans="3:5" x14ac:dyDescent="0.25">
      <c r="C54" s="4"/>
      <c r="E54" s="9"/>
    </row>
    <row r="55" spans="3:5" x14ac:dyDescent="0.25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topLeftCell="B39" workbookViewId="0">
      <selection activeCell="E23" sqref="E23"/>
    </sheetView>
  </sheetViews>
  <sheetFormatPr defaultColWidth="9.109375" defaultRowHeight="13.2" x14ac:dyDescent="0.25"/>
  <cols>
    <col min="1" max="1" width="9.109375" style="6"/>
    <col min="2" max="2" width="7.109375" style="3" customWidth="1"/>
    <col min="3" max="3" width="15.33203125" style="3" customWidth="1"/>
    <col min="4" max="4" width="11.33203125" style="3" bestFit="1" customWidth="1"/>
    <col min="5" max="5" width="13.44140625" style="3" customWidth="1"/>
    <col min="6" max="6" width="10.33203125" style="3" bestFit="1" customWidth="1"/>
    <col min="7" max="7" width="10.88671875" style="3" customWidth="1"/>
    <col min="8" max="8" width="13.88671875" style="3" customWidth="1"/>
    <col min="9" max="9" width="1.5546875" style="3" customWidth="1"/>
    <col min="10" max="10" width="9.109375" style="3"/>
    <col min="11" max="11" width="11.88671875" style="3" bestFit="1" customWidth="1"/>
    <col min="12" max="16384" width="9.109375" style="3"/>
  </cols>
  <sheetData>
    <row r="2" spans="1:11" x14ac:dyDescent="0.25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5">
      <c r="A3" s="5" t="s">
        <v>1</v>
      </c>
      <c r="C3" s="20" t="s">
        <v>3</v>
      </c>
      <c r="D3" s="20"/>
      <c r="E3" s="20"/>
    </row>
    <row r="4" spans="1:11" x14ac:dyDescent="0.25">
      <c r="C4" s="20" t="s">
        <v>4</v>
      </c>
      <c r="D4" s="20"/>
      <c r="E4" s="20"/>
    </row>
    <row r="5" spans="1:11" x14ac:dyDescent="0.25">
      <c r="A5" s="3"/>
      <c r="C5" s="22">
        <v>36647</v>
      </c>
      <c r="D5" s="21"/>
      <c r="E5" s="21"/>
      <c r="F5" s="11"/>
      <c r="G5" s="12"/>
      <c r="H5" s="12"/>
    </row>
    <row r="7" spans="1:11" ht="15" x14ac:dyDescent="0.4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5">
      <c r="B8" s="4" t="s">
        <v>7</v>
      </c>
      <c r="E8" s="3">
        <v>3543681</v>
      </c>
      <c r="H8" s="3">
        <v>3543681</v>
      </c>
      <c r="K8" s="3">
        <f>+E8-H8</f>
        <v>0</v>
      </c>
    </row>
    <row r="9" spans="1:11" x14ac:dyDescent="0.25">
      <c r="C9" s="4" t="s">
        <v>8</v>
      </c>
      <c r="D9" s="3">
        <v>3399037</v>
      </c>
      <c r="G9" s="3">
        <v>3399037</v>
      </c>
      <c r="J9" s="3">
        <f>+D9-G9</f>
        <v>0</v>
      </c>
    </row>
    <row r="10" spans="1:11" x14ac:dyDescent="0.25">
      <c r="C10" s="4" t="s">
        <v>9</v>
      </c>
    </row>
    <row r="11" spans="1:11" x14ac:dyDescent="0.25">
      <c r="C11" s="4" t="s">
        <v>10</v>
      </c>
      <c r="E11" s="3">
        <f>SUM(D9:D10)</f>
        <v>3399037</v>
      </c>
      <c r="H11" s="3">
        <f>SUM(G9:G10)</f>
        <v>3399037</v>
      </c>
      <c r="K11" s="3">
        <f>+E11-H11</f>
        <v>0</v>
      </c>
    </row>
    <row r="12" spans="1:11" x14ac:dyDescent="0.25">
      <c r="C12" s="4"/>
    </row>
    <row r="13" spans="1:11" x14ac:dyDescent="0.25">
      <c r="C13" s="4" t="s">
        <v>11</v>
      </c>
      <c r="E13" s="3">
        <f>+E8-E11</f>
        <v>144644</v>
      </c>
      <c r="H13" s="3">
        <f>+H8-H11</f>
        <v>144644</v>
      </c>
      <c r="K13" s="3">
        <f>+E13-H13</f>
        <v>0</v>
      </c>
    </row>
    <row r="14" spans="1:11" x14ac:dyDescent="0.25">
      <c r="C14" s="4"/>
    </row>
    <row r="15" spans="1:11" x14ac:dyDescent="0.25">
      <c r="B15" s="4" t="s">
        <v>12</v>
      </c>
      <c r="D15" s="3">
        <v>3544631</v>
      </c>
      <c r="G15" s="3">
        <v>3544631</v>
      </c>
    </row>
    <row r="16" spans="1:11" x14ac:dyDescent="0.25">
      <c r="C16" s="4" t="s">
        <v>13</v>
      </c>
      <c r="D16" s="7">
        <v>4.4499999999999998E-2</v>
      </c>
      <c r="E16" s="3">
        <f>+D15*D16</f>
        <v>157736.07949999999</v>
      </c>
      <c r="G16" s="7">
        <v>4.4499999999999998E-2</v>
      </c>
      <c r="H16" s="3">
        <f>+G15*G16</f>
        <v>157736.07949999999</v>
      </c>
      <c r="K16" s="3">
        <f>+E16-H16</f>
        <v>0</v>
      </c>
    </row>
    <row r="18" spans="1:11" x14ac:dyDescent="0.25">
      <c r="C18" s="4" t="s">
        <v>14</v>
      </c>
      <c r="E18" s="3">
        <f>-E13</f>
        <v>-144644</v>
      </c>
      <c r="H18" s="3">
        <f>-H13</f>
        <v>-144644</v>
      </c>
      <c r="K18" s="3">
        <f>+E18-H18</f>
        <v>0</v>
      </c>
    </row>
    <row r="20" spans="1:11" x14ac:dyDescent="0.25">
      <c r="A20" s="4" t="s">
        <v>16</v>
      </c>
      <c r="E20" s="3">
        <f>+E16+E18</f>
        <v>13092.079499999993</v>
      </c>
      <c r="H20" s="3">
        <f>+H16+H18</f>
        <v>13092.079499999993</v>
      </c>
      <c r="K20" s="3">
        <f>+E20-H20</f>
        <v>0</v>
      </c>
    </row>
    <row r="22" spans="1:11" x14ac:dyDescent="0.25">
      <c r="A22" s="2" t="s">
        <v>15</v>
      </c>
    </row>
    <row r="23" spans="1:11" x14ac:dyDescent="0.25">
      <c r="B23" s="4" t="s">
        <v>7</v>
      </c>
      <c r="E23" s="3">
        <v>1461315</v>
      </c>
      <c r="H23" s="3">
        <v>1456426</v>
      </c>
      <c r="K23" s="3">
        <f>+E23-H23</f>
        <v>4889</v>
      </c>
    </row>
    <row r="24" spans="1:11" x14ac:dyDescent="0.25">
      <c r="C24" s="4" t="s">
        <v>8</v>
      </c>
      <c r="D24" s="3">
        <v>0</v>
      </c>
    </row>
    <row r="25" spans="1:11" x14ac:dyDescent="0.25">
      <c r="C25" s="4" t="s">
        <v>9</v>
      </c>
      <c r="D25" s="3">
        <v>1401501</v>
      </c>
      <c r="G25" s="3">
        <v>1396751</v>
      </c>
    </row>
    <row r="26" spans="1:11" x14ac:dyDescent="0.25">
      <c r="C26" s="4" t="s">
        <v>10</v>
      </c>
      <c r="E26" s="3">
        <f>SUM(D24:D25)</f>
        <v>1401501</v>
      </c>
      <c r="H26" s="3">
        <f>SUM(G24:G25)</f>
        <v>1396751</v>
      </c>
      <c r="K26" s="3">
        <f>+E26-H26</f>
        <v>4750</v>
      </c>
    </row>
    <row r="27" spans="1:11" x14ac:dyDescent="0.25">
      <c r="C27" s="4"/>
    </row>
    <row r="28" spans="1:11" x14ac:dyDescent="0.25">
      <c r="C28" s="4" t="s">
        <v>11</v>
      </c>
      <c r="E28" s="3">
        <f>+E23-E26</f>
        <v>59814</v>
      </c>
      <c r="H28" s="3">
        <f>+H23-H26</f>
        <v>59675</v>
      </c>
      <c r="K28" s="3">
        <f>+E28-H28</f>
        <v>139</v>
      </c>
    </row>
    <row r="29" spans="1:11" x14ac:dyDescent="0.25">
      <c r="C29" s="4"/>
    </row>
    <row r="30" spans="1:11" x14ac:dyDescent="0.25">
      <c r="B30" s="4" t="s">
        <v>12</v>
      </c>
      <c r="D30" s="3">
        <v>1611424</v>
      </c>
      <c r="G30" s="3">
        <v>1611424</v>
      </c>
      <c r="J30" s="3">
        <f>+D30-G30</f>
        <v>0</v>
      </c>
    </row>
    <row r="31" spans="1:11" x14ac:dyDescent="0.25">
      <c r="C31" s="4" t="s">
        <v>13</v>
      </c>
      <c r="D31" s="7">
        <v>4.4499999999999998E-2</v>
      </c>
      <c r="E31" s="3">
        <f>+D30*D31</f>
        <v>71708.368000000002</v>
      </c>
      <c r="G31" s="7">
        <v>4.4499999999999998E-2</v>
      </c>
      <c r="H31" s="3">
        <f>+G30*G31</f>
        <v>71708.368000000002</v>
      </c>
      <c r="K31" s="3">
        <f>+E31-H31</f>
        <v>0</v>
      </c>
    </row>
    <row r="33" spans="1:11" x14ac:dyDescent="0.25">
      <c r="C33" s="4" t="s">
        <v>14</v>
      </c>
      <c r="E33" s="3">
        <f>-E28</f>
        <v>-59814</v>
      </c>
      <c r="H33" s="3">
        <f>-H28</f>
        <v>-59675</v>
      </c>
      <c r="K33" s="3">
        <f>+E33-H33</f>
        <v>-139</v>
      </c>
    </row>
    <row r="35" spans="1:11" x14ac:dyDescent="0.25">
      <c r="A35" s="4" t="s">
        <v>16</v>
      </c>
      <c r="E35" s="3">
        <f>+E31+E33</f>
        <v>11894.368000000002</v>
      </c>
      <c r="H35" s="3">
        <f>+H31+H33</f>
        <v>12033.368000000002</v>
      </c>
      <c r="K35" s="3">
        <f>+E35-H35</f>
        <v>-139</v>
      </c>
    </row>
    <row r="37" spans="1:11" x14ac:dyDescent="0.25">
      <c r="C37" s="4" t="s">
        <v>17</v>
      </c>
      <c r="E37" s="3">
        <f>+E35+E20</f>
        <v>24986.447499999995</v>
      </c>
      <c r="H37" s="3">
        <f>+H35+H20</f>
        <v>25125.447499999995</v>
      </c>
      <c r="K37" s="3">
        <f>+E37-H37</f>
        <v>-139</v>
      </c>
    </row>
    <row r="39" spans="1:11" x14ac:dyDescent="0.25">
      <c r="C39" s="4" t="s">
        <v>18</v>
      </c>
      <c r="E39" s="8">
        <v>3.294</v>
      </c>
      <c r="H39" s="8">
        <v>3.2945000000000002</v>
      </c>
      <c r="K39" s="8">
        <f>+H39</f>
        <v>3.2945000000000002</v>
      </c>
    </row>
    <row r="41" spans="1:11" x14ac:dyDescent="0.25">
      <c r="C41" s="4" t="s">
        <v>19</v>
      </c>
      <c r="E41" s="9">
        <f>+E37*E39</f>
        <v>82305.358064999979</v>
      </c>
      <c r="H41" s="9">
        <f>+H37*H39</f>
        <v>82775.786788749989</v>
      </c>
      <c r="K41" s="9">
        <f>+E41-H41</f>
        <v>-470.42872375001025</v>
      </c>
    </row>
    <row r="43" spans="1:11" x14ac:dyDescent="0.25">
      <c r="A43" s="4" t="s">
        <v>20</v>
      </c>
      <c r="C43" s="6">
        <v>101021</v>
      </c>
      <c r="D43" s="3">
        <f>+D9</f>
        <v>3399037</v>
      </c>
      <c r="E43" s="9">
        <v>44187.5</v>
      </c>
      <c r="F43" s="8">
        <f>+E43/D43</f>
        <v>1.3000005589818528E-2</v>
      </c>
      <c r="H43" s="9"/>
      <c r="I43" s="10"/>
    </row>
    <row r="44" spans="1:11" x14ac:dyDescent="0.25">
      <c r="A44" s="4"/>
      <c r="C44" s="6">
        <v>101073</v>
      </c>
      <c r="D44" s="3">
        <f>+D25</f>
        <v>1401501</v>
      </c>
      <c r="E44" s="9">
        <f>20100.4-1880.89</f>
        <v>18219.510000000002</v>
      </c>
      <c r="F44" s="8">
        <f>+E44/D44</f>
        <v>1.2999997859437847E-2</v>
      </c>
      <c r="H44" s="9"/>
      <c r="I44" s="10"/>
    </row>
    <row r="45" spans="1:11" ht="13.8" thickBot="1" x14ac:dyDescent="0.3">
      <c r="E45" s="13">
        <f>SUM(E43:E44)</f>
        <v>62407.01</v>
      </c>
      <c r="H45" s="13">
        <v>82775.3</v>
      </c>
      <c r="K45" s="13">
        <f>+E45-H45</f>
        <v>-20368.29</v>
      </c>
    </row>
    <row r="46" spans="1:11" ht="13.8" thickTop="1" x14ac:dyDescent="0.25">
      <c r="C46" s="4" t="s">
        <v>21</v>
      </c>
      <c r="E46" s="9">
        <f>+E41-E43-E44</f>
        <v>19898.348064999976</v>
      </c>
      <c r="H46" s="9">
        <f>+H41-H45</f>
        <v>0.48678874998586252</v>
      </c>
      <c r="K46" s="3">
        <f>+E46-H46</f>
        <v>19897.861276249991</v>
      </c>
    </row>
    <row r="48" spans="1:11" x14ac:dyDescent="0.25">
      <c r="A48" s="4" t="s">
        <v>22</v>
      </c>
      <c r="E48" s="9"/>
    </row>
    <row r="50" spans="3:5" x14ac:dyDescent="0.25">
      <c r="C50" s="4" t="s">
        <v>21</v>
      </c>
      <c r="E50" s="9">
        <f>+E46-E48</f>
        <v>19898.348064999976</v>
      </c>
    </row>
    <row r="51" spans="3:5" x14ac:dyDescent="0.25">
      <c r="C51" s="4"/>
      <c r="E51" s="9"/>
    </row>
    <row r="52" spans="3:5" x14ac:dyDescent="0.25">
      <c r="C52" s="4"/>
      <c r="E52" s="9"/>
    </row>
    <row r="54" spans="3:5" x14ac:dyDescent="0.25">
      <c r="C54" s="4"/>
      <c r="E54" s="9"/>
    </row>
    <row r="55" spans="3:5" x14ac:dyDescent="0.25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7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topLeftCell="B1" workbookViewId="0">
      <selection activeCell="G46" sqref="G46"/>
    </sheetView>
  </sheetViews>
  <sheetFormatPr defaultColWidth="9.109375" defaultRowHeight="13.2" x14ac:dyDescent="0.25"/>
  <cols>
    <col min="1" max="1" width="9.109375" style="6"/>
    <col min="2" max="2" width="7.109375" style="3" customWidth="1"/>
    <col min="3" max="3" width="15.33203125" style="3" customWidth="1"/>
    <col min="4" max="4" width="11.33203125" style="3" bestFit="1" customWidth="1"/>
    <col min="5" max="5" width="13.44140625" style="3" customWidth="1"/>
    <col min="6" max="6" width="10.33203125" style="3" bestFit="1" customWidth="1"/>
    <col min="7" max="7" width="10.88671875" style="3" customWidth="1"/>
    <col min="8" max="8" width="13.88671875" style="3" customWidth="1"/>
    <col min="9" max="9" width="1.5546875" style="3" customWidth="1"/>
    <col min="10" max="10" width="9.109375" style="3"/>
    <col min="11" max="11" width="13.5546875" style="3" customWidth="1"/>
    <col min="12" max="16384" width="9.109375" style="3"/>
  </cols>
  <sheetData>
    <row r="2" spans="1:11" x14ac:dyDescent="0.25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5">
      <c r="A3" s="5" t="s">
        <v>1</v>
      </c>
      <c r="C3" s="20" t="s">
        <v>3</v>
      </c>
      <c r="D3" s="20"/>
      <c r="E3" s="20"/>
    </row>
    <row r="4" spans="1:11" x14ac:dyDescent="0.25">
      <c r="C4" s="20" t="s">
        <v>4</v>
      </c>
      <c r="D4" s="20"/>
      <c r="E4" s="20"/>
    </row>
    <row r="5" spans="1:11" x14ac:dyDescent="0.25">
      <c r="A5" s="3"/>
      <c r="C5" s="22">
        <v>36678</v>
      </c>
      <c r="D5" s="21"/>
      <c r="E5" s="21"/>
      <c r="F5" s="11"/>
      <c r="G5" s="12"/>
      <c r="H5" s="12"/>
    </row>
    <row r="7" spans="1:11" ht="15" x14ac:dyDescent="0.4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5">
      <c r="B8" s="4" t="s">
        <v>7</v>
      </c>
      <c r="E8" s="3">
        <v>3927046</v>
      </c>
      <c r="H8" s="3">
        <v>3927046</v>
      </c>
      <c r="K8" s="3">
        <f>+E8-H8</f>
        <v>0</v>
      </c>
    </row>
    <row r="9" spans="1:11" x14ac:dyDescent="0.25">
      <c r="C9" s="4" t="s">
        <v>8</v>
      </c>
      <c r="D9" s="3">
        <v>3758645</v>
      </c>
      <c r="G9" s="3">
        <v>3758645</v>
      </c>
      <c r="J9" s="3">
        <f>+D9-G9</f>
        <v>0</v>
      </c>
    </row>
    <row r="10" spans="1:11" x14ac:dyDescent="0.25">
      <c r="C10" s="4" t="s">
        <v>9</v>
      </c>
    </row>
    <row r="11" spans="1:11" x14ac:dyDescent="0.25">
      <c r="C11" s="4" t="s">
        <v>10</v>
      </c>
      <c r="E11" s="3">
        <f>SUM(D9:D10)</f>
        <v>3758645</v>
      </c>
      <c r="H11" s="3">
        <f>SUM(G9:G10)</f>
        <v>3758645</v>
      </c>
      <c r="K11" s="3">
        <f>+E11-H11</f>
        <v>0</v>
      </c>
    </row>
    <row r="12" spans="1:11" x14ac:dyDescent="0.25">
      <c r="C12" s="4"/>
    </row>
    <row r="13" spans="1:11" x14ac:dyDescent="0.25">
      <c r="C13" s="4" t="s">
        <v>11</v>
      </c>
      <c r="E13" s="3">
        <f>+E8-E11</f>
        <v>168401</v>
      </c>
      <c r="H13" s="3">
        <f>+H8-H11</f>
        <v>168401</v>
      </c>
      <c r="K13" s="3">
        <f>+E13-H13</f>
        <v>0</v>
      </c>
    </row>
    <row r="14" spans="1:11" x14ac:dyDescent="0.25">
      <c r="C14" s="4"/>
    </row>
    <row r="15" spans="1:11" x14ac:dyDescent="0.25">
      <c r="B15" s="4" t="s">
        <v>12</v>
      </c>
      <c r="D15" s="3">
        <v>3927620</v>
      </c>
      <c r="G15" s="3">
        <v>3927620</v>
      </c>
    </row>
    <row r="16" spans="1:11" x14ac:dyDescent="0.25">
      <c r="C16" s="4" t="s">
        <v>13</v>
      </c>
      <c r="D16" s="7">
        <v>4.4499999999999998E-2</v>
      </c>
      <c r="E16" s="3">
        <f>+D15*D16</f>
        <v>174779.09</v>
      </c>
      <c r="G16" s="7">
        <v>4.4499999999999998E-2</v>
      </c>
      <c r="H16" s="3">
        <f>+G15*G16</f>
        <v>174779.09</v>
      </c>
      <c r="K16" s="3">
        <f>+E16-H16</f>
        <v>0</v>
      </c>
    </row>
    <row r="18" spans="1:11" x14ac:dyDescent="0.25">
      <c r="C18" s="4" t="s">
        <v>14</v>
      </c>
      <c r="E18" s="3">
        <f>-E13</f>
        <v>-168401</v>
      </c>
      <c r="H18" s="3">
        <f>-H13</f>
        <v>-168401</v>
      </c>
      <c r="K18" s="3">
        <f>+E18-H18</f>
        <v>0</v>
      </c>
    </row>
    <row r="20" spans="1:11" x14ac:dyDescent="0.25">
      <c r="A20" s="4" t="s">
        <v>16</v>
      </c>
      <c r="E20" s="3">
        <f>+E16+E18</f>
        <v>6378.0899999999965</v>
      </c>
      <c r="H20" s="3">
        <f>+H16+H18</f>
        <v>6378.0899999999965</v>
      </c>
      <c r="K20" s="3">
        <f>+E20-H20</f>
        <v>0</v>
      </c>
    </row>
    <row r="22" spans="1:11" x14ac:dyDescent="0.25">
      <c r="A22" s="2" t="s">
        <v>15</v>
      </c>
    </row>
    <row r="23" spans="1:11" x14ac:dyDescent="0.25">
      <c r="B23" s="4" t="s">
        <v>7</v>
      </c>
      <c r="E23" s="3">
        <v>895192</v>
      </c>
      <c r="H23" s="3">
        <v>694587</v>
      </c>
      <c r="K23" s="3">
        <f>+E23-H23</f>
        <v>200605</v>
      </c>
    </row>
    <row r="24" spans="1:11" x14ac:dyDescent="0.25">
      <c r="C24" s="4" t="s">
        <v>8</v>
      </c>
      <c r="D24" s="3">
        <v>0</v>
      </c>
    </row>
    <row r="25" spans="1:11" x14ac:dyDescent="0.25">
      <c r="C25" s="4" t="s">
        <v>9</v>
      </c>
      <c r="D25" s="3">
        <v>856500</v>
      </c>
      <c r="G25" s="3">
        <v>663380</v>
      </c>
    </row>
    <row r="26" spans="1:11" x14ac:dyDescent="0.25">
      <c r="C26" s="4" t="s">
        <v>10</v>
      </c>
      <c r="E26" s="3">
        <f>SUM(D24:D25)</f>
        <v>856500</v>
      </c>
      <c r="H26" s="3">
        <f>SUM(G24:G25)</f>
        <v>663380</v>
      </c>
      <c r="K26" s="3">
        <f>+E26-H26</f>
        <v>193120</v>
      </c>
    </row>
    <row r="27" spans="1:11" x14ac:dyDescent="0.25">
      <c r="C27" s="4"/>
    </row>
    <row r="28" spans="1:11" x14ac:dyDescent="0.25">
      <c r="C28" s="4" t="s">
        <v>11</v>
      </c>
      <c r="E28" s="3">
        <f>+E23-E26</f>
        <v>38692</v>
      </c>
      <c r="H28" s="3">
        <f>+H23-H26</f>
        <v>31207</v>
      </c>
      <c r="K28" s="3">
        <f>+E28-H28</f>
        <v>7485</v>
      </c>
    </row>
    <row r="29" spans="1:11" x14ac:dyDescent="0.25">
      <c r="C29" s="4"/>
    </row>
    <row r="30" spans="1:11" x14ac:dyDescent="0.25">
      <c r="B30" s="4" t="s">
        <v>12</v>
      </c>
      <c r="D30" s="3">
        <v>844696</v>
      </c>
      <c r="G30" s="3">
        <v>844696</v>
      </c>
      <c r="J30" s="3">
        <f>+D30-G30</f>
        <v>0</v>
      </c>
    </row>
    <row r="31" spans="1:11" x14ac:dyDescent="0.25">
      <c r="C31" s="4" t="s">
        <v>13</v>
      </c>
      <c r="D31" s="7">
        <v>4.4499999999999998E-2</v>
      </c>
      <c r="E31" s="3">
        <f>+D30*D31</f>
        <v>37588.972000000002</v>
      </c>
      <c r="G31" s="7">
        <v>4.4499999999999998E-2</v>
      </c>
      <c r="H31" s="3">
        <f>+G30*G31</f>
        <v>37588.972000000002</v>
      </c>
      <c r="K31" s="3">
        <f>+E31-H31</f>
        <v>0</v>
      </c>
    </row>
    <row r="33" spans="1:11" x14ac:dyDescent="0.25">
      <c r="C33" s="4" t="s">
        <v>14</v>
      </c>
      <c r="E33" s="3">
        <f>-E28</f>
        <v>-38692</v>
      </c>
      <c r="H33" s="3">
        <f>-H28</f>
        <v>-31207</v>
      </c>
      <c r="K33" s="3">
        <f>+E33-H33</f>
        <v>-7485</v>
      </c>
    </row>
    <row r="35" spans="1:11" x14ac:dyDescent="0.25">
      <c r="A35" s="4" t="s">
        <v>16</v>
      </c>
      <c r="E35" s="3">
        <f>+E31+E33</f>
        <v>-1103.0279999999984</v>
      </c>
      <c r="H35" s="3">
        <f>+H31+H33</f>
        <v>6381.9720000000016</v>
      </c>
      <c r="K35" s="3">
        <f>+E35-H35</f>
        <v>-7485</v>
      </c>
    </row>
    <row r="37" spans="1:11" x14ac:dyDescent="0.25">
      <c r="C37" s="4" t="s">
        <v>17</v>
      </c>
      <c r="E37" s="3">
        <f>+E35+E20</f>
        <v>5275.0619999999981</v>
      </c>
      <c r="H37" s="3">
        <f>+H35+H20</f>
        <v>12760.061999999998</v>
      </c>
      <c r="K37" s="3">
        <f>+E37-H37</f>
        <v>-7485</v>
      </c>
    </row>
    <row r="39" spans="1:11" x14ac:dyDescent="0.25">
      <c r="C39" s="4" t="s">
        <v>18</v>
      </c>
      <c r="E39" s="8">
        <v>4.0940000000000003</v>
      </c>
      <c r="H39" s="8">
        <v>4.0934999999999997</v>
      </c>
      <c r="K39" s="8">
        <f>+H39</f>
        <v>4.0934999999999997</v>
      </c>
    </row>
    <row r="41" spans="1:11" x14ac:dyDescent="0.25">
      <c r="C41" s="4" t="s">
        <v>19</v>
      </c>
      <c r="E41" s="9">
        <f>+E37*E39</f>
        <v>21596.103827999992</v>
      </c>
      <c r="H41" s="9">
        <f>+H37*H39</f>
        <v>52233.313796999988</v>
      </c>
      <c r="K41" s="9">
        <f>+E41-H41</f>
        <v>-30637.209968999996</v>
      </c>
    </row>
    <row r="43" spans="1:11" x14ac:dyDescent="0.25">
      <c r="A43" s="4" t="s">
        <v>20</v>
      </c>
      <c r="C43" s="6">
        <v>101021</v>
      </c>
      <c r="D43" s="3">
        <f>+D9</f>
        <v>3758645</v>
      </c>
      <c r="E43" s="9">
        <v>36858.75</v>
      </c>
      <c r="F43" s="8">
        <f>+E43/D43</f>
        <v>9.806392995348058E-3</v>
      </c>
      <c r="H43" s="9"/>
      <c r="I43" s="10"/>
    </row>
    <row r="44" spans="1:11" x14ac:dyDescent="0.25">
      <c r="A44" s="4"/>
      <c r="C44" s="6">
        <v>101073</v>
      </c>
      <c r="D44" s="3">
        <f>+D25</f>
        <v>856500</v>
      </c>
      <c r="E44" s="9">
        <f>8023.38+576.39</f>
        <v>8599.77</v>
      </c>
      <c r="F44" s="8">
        <f>+E44/D44</f>
        <v>1.0040595446584939E-2</v>
      </c>
      <c r="H44" s="9"/>
      <c r="I44" s="10"/>
    </row>
    <row r="45" spans="1:11" ht="13.8" thickBot="1" x14ac:dyDescent="0.3">
      <c r="E45" s="13">
        <f>SUM(E43:E44)</f>
        <v>45458.520000000004</v>
      </c>
      <c r="H45" s="13">
        <v>52232.95</v>
      </c>
      <c r="K45" s="13">
        <f>+E45-H45</f>
        <v>-6774.429999999993</v>
      </c>
    </row>
    <row r="46" spans="1:11" ht="13.8" thickTop="1" x14ac:dyDescent="0.25">
      <c r="C46" s="4" t="s">
        <v>21</v>
      </c>
      <c r="E46" s="9">
        <f>+E41-E43-E44</f>
        <v>-23862.416172000008</v>
      </c>
      <c r="H46" s="9">
        <f>+H41-H45</f>
        <v>0.36379699999088189</v>
      </c>
      <c r="K46" s="3">
        <f>+E46-H46</f>
        <v>-23862.779968999999</v>
      </c>
    </row>
    <row r="48" spans="1:11" x14ac:dyDescent="0.25">
      <c r="A48" s="4" t="s">
        <v>22</v>
      </c>
      <c r="E48" s="9"/>
    </row>
    <row r="50" spans="3:5" x14ac:dyDescent="0.25">
      <c r="C50" s="4" t="s">
        <v>21</v>
      </c>
      <c r="E50" s="9">
        <f>+E46-E48</f>
        <v>-23862.416172000008</v>
      </c>
    </row>
    <row r="51" spans="3:5" x14ac:dyDescent="0.25">
      <c r="C51" s="4"/>
      <c r="E51" s="9"/>
    </row>
    <row r="52" spans="3:5" x14ac:dyDescent="0.25">
      <c r="C52" s="4"/>
      <c r="E52" s="9"/>
    </row>
    <row r="54" spans="3:5" x14ac:dyDescent="0.25">
      <c r="C54" s="4"/>
      <c r="E54" s="9"/>
    </row>
    <row r="55" spans="3:5" x14ac:dyDescent="0.25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workbookViewId="0">
      <selection activeCell="G7" sqref="G7:H7"/>
    </sheetView>
  </sheetViews>
  <sheetFormatPr defaultColWidth="9.109375" defaultRowHeight="13.2" x14ac:dyDescent="0.25"/>
  <cols>
    <col min="1" max="1" width="9.109375" style="6"/>
    <col min="2" max="2" width="7.109375" style="3" customWidth="1"/>
    <col min="3" max="3" width="15.33203125" style="3" customWidth="1"/>
    <col min="4" max="4" width="11.33203125" style="3" bestFit="1" customWidth="1"/>
    <col min="5" max="5" width="13.44140625" style="3" customWidth="1"/>
    <col min="6" max="6" width="10.33203125" style="3" bestFit="1" customWidth="1"/>
    <col min="7" max="7" width="10.88671875" style="3" customWidth="1"/>
    <col min="8" max="8" width="13.88671875" style="3" customWidth="1"/>
    <col min="9" max="9" width="1.5546875" style="3" customWidth="1"/>
    <col min="10" max="10" width="9.109375" style="3"/>
    <col min="11" max="11" width="11" style="3" customWidth="1"/>
    <col min="12" max="16384" width="9.109375" style="3"/>
  </cols>
  <sheetData>
    <row r="2" spans="1:11" x14ac:dyDescent="0.25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5">
      <c r="A3" s="5" t="s">
        <v>1</v>
      </c>
      <c r="C3" s="20" t="s">
        <v>3</v>
      </c>
      <c r="D3" s="20"/>
      <c r="E3" s="20"/>
    </row>
    <row r="4" spans="1:11" x14ac:dyDescent="0.25">
      <c r="C4" s="20" t="s">
        <v>4</v>
      </c>
      <c r="D4" s="20"/>
      <c r="E4" s="20"/>
    </row>
    <row r="5" spans="1:11" x14ac:dyDescent="0.25">
      <c r="A5" s="3"/>
      <c r="C5" s="22">
        <v>36708</v>
      </c>
      <c r="D5" s="21"/>
      <c r="E5" s="21"/>
      <c r="F5" s="11"/>
      <c r="G5" s="12"/>
      <c r="H5" s="12"/>
    </row>
    <row r="7" spans="1:11" ht="15" x14ac:dyDescent="0.4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5">
      <c r="B8" s="4" t="s">
        <v>7</v>
      </c>
      <c r="E8" s="3">
        <v>3909475</v>
      </c>
      <c r="H8" s="3">
        <v>3909475</v>
      </c>
      <c r="K8" s="3">
        <f>+E8-H8</f>
        <v>0</v>
      </c>
    </row>
    <row r="9" spans="1:11" x14ac:dyDescent="0.25">
      <c r="C9" s="4" t="s">
        <v>8</v>
      </c>
      <c r="D9" s="3">
        <v>3742015</v>
      </c>
      <c r="G9" s="3">
        <v>3742015</v>
      </c>
      <c r="J9" s="3">
        <f>+D9-G9</f>
        <v>0</v>
      </c>
    </row>
    <row r="10" spans="1:11" x14ac:dyDescent="0.25">
      <c r="C10" s="4" t="s">
        <v>9</v>
      </c>
    </row>
    <row r="11" spans="1:11" x14ac:dyDescent="0.25">
      <c r="C11" s="4" t="s">
        <v>10</v>
      </c>
      <c r="E11" s="3">
        <f>SUM(D9:D10)</f>
        <v>3742015</v>
      </c>
      <c r="H11" s="3">
        <f>SUM(G9:G10)</f>
        <v>3742015</v>
      </c>
      <c r="K11" s="3">
        <f>+E11-H11</f>
        <v>0</v>
      </c>
    </row>
    <row r="12" spans="1:11" x14ac:dyDescent="0.25">
      <c r="C12" s="4"/>
    </row>
    <row r="13" spans="1:11" x14ac:dyDescent="0.25">
      <c r="C13" s="4" t="s">
        <v>11</v>
      </c>
      <c r="E13" s="3">
        <f>+E8-E11</f>
        <v>167460</v>
      </c>
      <c r="H13" s="3">
        <f>+H8-H11</f>
        <v>167460</v>
      </c>
      <c r="K13" s="3">
        <f>+E13-H13</f>
        <v>0</v>
      </c>
    </row>
    <row r="14" spans="1:11" x14ac:dyDescent="0.25">
      <c r="C14" s="4"/>
    </row>
    <row r="15" spans="1:11" x14ac:dyDescent="0.25">
      <c r="B15" s="4" t="s">
        <v>12</v>
      </c>
      <c r="D15" s="3">
        <v>3910385</v>
      </c>
      <c r="G15" s="3">
        <v>3910385</v>
      </c>
    </row>
    <row r="16" spans="1:11" x14ac:dyDescent="0.25">
      <c r="C16" s="4" t="s">
        <v>13</v>
      </c>
      <c r="D16" s="7">
        <v>4.4499999999999998E-2</v>
      </c>
      <c r="E16" s="3">
        <f>+D15*D16</f>
        <v>174012.13249999998</v>
      </c>
      <c r="G16" s="7">
        <v>4.4499999999999998E-2</v>
      </c>
      <c r="H16" s="3">
        <f>+G15*G16</f>
        <v>174012.13249999998</v>
      </c>
      <c r="K16" s="3">
        <f>+E16-H16</f>
        <v>0</v>
      </c>
    </row>
    <row r="18" spans="1:11" x14ac:dyDescent="0.25">
      <c r="C18" s="4" t="s">
        <v>14</v>
      </c>
      <c r="E18" s="3">
        <f>-E13</f>
        <v>-167460</v>
      </c>
      <c r="H18" s="3">
        <f>-H13</f>
        <v>-167460</v>
      </c>
      <c r="K18" s="3">
        <f>+E18-H18</f>
        <v>0</v>
      </c>
    </row>
    <row r="20" spans="1:11" x14ac:dyDescent="0.25">
      <c r="A20" s="4" t="s">
        <v>16</v>
      </c>
      <c r="E20" s="3">
        <f>+E16+E18</f>
        <v>6552.1324999999779</v>
      </c>
      <c r="H20" s="3">
        <f>+H16+H18</f>
        <v>6552.1324999999779</v>
      </c>
      <c r="K20" s="3">
        <f>+E20-H20</f>
        <v>0</v>
      </c>
    </row>
    <row r="22" spans="1:11" x14ac:dyDescent="0.25">
      <c r="A22" s="2" t="s">
        <v>15</v>
      </c>
    </row>
    <row r="23" spans="1:11" x14ac:dyDescent="0.25">
      <c r="B23" s="4" t="s">
        <v>7</v>
      </c>
      <c r="E23" s="3">
        <v>898061</v>
      </c>
      <c r="H23" s="3">
        <v>972693</v>
      </c>
      <c r="K23" s="3">
        <f>+E23-H23</f>
        <v>-74632</v>
      </c>
    </row>
    <row r="24" spans="1:11" x14ac:dyDescent="0.25">
      <c r="C24" s="4" t="s">
        <v>8</v>
      </c>
      <c r="D24" s="3">
        <v>0</v>
      </c>
    </row>
    <row r="25" spans="1:11" x14ac:dyDescent="0.25">
      <c r="C25" s="4" t="s">
        <v>9</v>
      </c>
      <c r="D25" s="3">
        <v>858039</v>
      </c>
      <c r="G25" s="3">
        <v>929635</v>
      </c>
    </row>
    <row r="26" spans="1:11" x14ac:dyDescent="0.25">
      <c r="C26" s="4" t="s">
        <v>10</v>
      </c>
      <c r="E26" s="3">
        <f>SUM(D24:D25)</f>
        <v>858039</v>
      </c>
      <c r="H26" s="3">
        <f>SUM(G24:G25)</f>
        <v>929635</v>
      </c>
      <c r="K26" s="3">
        <f>+E26-H26</f>
        <v>-71596</v>
      </c>
    </row>
    <row r="27" spans="1:11" x14ac:dyDescent="0.25">
      <c r="C27" s="4"/>
    </row>
    <row r="28" spans="1:11" x14ac:dyDescent="0.25">
      <c r="C28" s="4" t="s">
        <v>11</v>
      </c>
      <c r="E28" s="3">
        <f>+E23-E26</f>
        <v>40022</v>
      </c>
      <c r="H28" s="3">
        <f>+H23-H26</f>
        <v>43058</v>
      </c>
      <c r="K28" s="3">
        <f>+E28-H28</f>
        <v>-3036</v>
      </c>
    </row>
    <row r="29" spans="1:11" x14ac:dyDescent="0.25">
      <c r="C29" s="4"/>
    </row>
    <row r="30" spans="1:11" x14ac:dyDescent="0.25">
      <c r="B30" s="4" t="s">
        <v>12</v>
      </c>
      <c r="D30" s="3">
        <v>922197</v>
      </c>
      <c r="G30" s="3">
        <v>922197</v>
      </c>
      <c r="J30" s="3">
        <f>+D30-G30</f>
        <v>0</v>
      </c>
    </row>
    <row r="31" spans="1:11" x14ac:dyDescent="0.25">
      <c r="C31" s="4" t="s">
        <v>13</v>
      </c>
      <c r="D31" s="7">
        <v>4.4499999999999998E-2</v>
      </c>
      <c r="E31" s="3">
        <f>+D30*D31</f>
        <v>41037.766499999998</v>
      </c>
      <c r="G31" s="7">
        <v>4.4499999999999998E-2</v>
      </c>
      <c r="H31" s="3">
        <f>+G30*G31</f>
        <v>41037.766499999998</v>
      </c>
      <c r="K31" s="3">
        <f>+E31-H31</f>
        <v>0</v>
      </c>
    </row>
    <row r="33" spans="1:11" x14ac:dyDescent="0.25">
      <c r="C33" s="4" t="s">
        <v>14</v>
      </c>
      <c r="E33" s="3">
        <f>-E28</f>
        <v>-40022</v>
      </c>
      <c r="H33" s="3">
        <f>-H28</f>
        <v>-43058</v>
      </c>
      <c r="K33" s="3">
        <f>+E33-H33</f>
        <v>3036</v>
      </c>
    </row>
    <row r="35" spans="1:11" x14ac:dyDescent="0.25">
      <c r="A35" s="4" t="s">
        <v>16</v>
      </c>
      <c r="E35" s="3">
        <f>+E31+E33</f>
        <v>1015.7664999999979</v>
      </c>
      <c r="H35" s="3">
        <f>+H31+H33</f>
        <v>-2020.2335000000021</v>
      </c>
      <c r="K35" s="3">
        <f>+E35-H35</f>
        <v>3036</v>
      </c>
    </row>
    <row r="37" spans="1:11" x14ac:dyDescent="0.25">
      <c r="C37" s="4" t="s">
        <v>17</v>
      </c>
      <c r="E37" s="3">
        <f>+E35+E20</f>
        <v>7567.8989999999758</v>
      </c>
      <c r="H37" s="3">
        <f>+H35+H20</f>
        <v>4531.8989999999758</v>
      </c>
      <c r="K37" s="3">
        <f>+E37-H37</f>
        <v>3036</v>
      </c>
    </row>
    <row r="39" spans="1:11" x14ac:dyDescent="0.25">
      <c r="C39" s="4" t="s">
        <v>18</v>
      </c>
      <c r="E39" s="8">
        <v>3.8439999999999999</v>
      </c>
      <c r="H39" s="8">
        <v>3.8445</v>
      </c>
      <c r="K39" s="8">
        <f>+H39</f>
        <v>3.8445</v>
      </c>
    </row>
    <row r="41" spans="1:11" x14ac:dyDescent="0.25">
      <c r="C41" s="4" t="s">
        <v>19</v>
      </c>
      <c r="E41" s="9">
        <f>+E37*E39</f>
        <v>29091.003755999907</v>
      </c>
      <c r="H41" s="9">
        <f>+H37*H39</f>
        <v>17422.885705499906</v>
      </c>
      <c r="K41" s="9">
        <f>+E41-H41</f>
        <v>11668.118050500001</v>
      </c>
    </row>
    <row r="43" spans="1:11" x14ac:dyDescent="0.25">
      <c r="A43" s="4" t="s">
        <v>20</v>
      </c>
      <c r="C43" s="6">
        <v>101021</v>
      </c>
      <c r="D43" s="3">
        <f>+D9</f>
        <v>3742015</v>
      </c>
      <c r="E43" s="9">
        <v>36987.21</v>
      </c>
      <c r="F43" s="8">
        <f>+E43/D43</f>
        <v>9.8843029758031425E-3</v>
      </c>
      <c r="H43" s="9"/>
      <c r="I43" s="10"/>
    </row>
    <row r="44" spans="1:11" x14ac:dyDescent="0.25">
      <c r="A44" s="4"/>
      <c r="C44" s="6">
        <v>101073</v>
      </c>
      <c r="D44" s="3">
        <f>+D25</f>
        <v>858039</v>
      </c>
      <c r="E44" s="9">
        <f>8113.7-263.7</f>
        <v>7850</v>
      </c>
      <c r="F44" s="8">
        <f>+E44/D44</f>
        <v>9.1487682960797821E-3</v>
      </c>
      <c r="H44" s="9"/>
      <c r="I44" s="10"/>
    </row>
    <row r="45" spans="1:11" ht="13.8" thickBot="1" x14ac:dyDescent="0.3">
      <c r="E45" s="13">
        <f>SUM(E43:E44)</f>
        <v>44837.21</v>
      </c>
      <c r="H45" s="13">
        <v>17425.259999999998</v>
      </c>
      <c r="K45" s="13">
        <f>+E45-H45</f>
        <v>27411.95</v>
      </c>
    </row>
    <row r="46" spans="1:11" ht="13.8" thickTop="1" x14ac:dyDescent="0.25">
      <c r="C46" s="4" t="s">
        <v>21</v>
      </c>
      <c r="E46" s="9">
        <f>+E41-E43-E44</f>
        <v>-15746.206244000092</v>
      </c>
      <c r="H46" s="9">
        <f>+H41-H45</f>
        <v>-2.3742945000922191</v>
      </c>
      <c r="K46" s="3">
        <f>+E46-H46</f>
        <v>-15743.8319495</v>
      </c>
    </row>
    <row r="48" spans="1:11" x14ac:dyDescent="0.25">
      <c r="A48" s="4" t="s">
        <v>22</v>
      </c>
      <c r="E48" s="9"/>
    </row>
    <row r="50" spans="3:5" x14ac:dyDescent="0.25">
      <c r="C50" s="4" t="s">
        <v>21</v>
      </c>
      <c r="E50" s="9">
        <f>+E46-E48</f>
        <v>-15746.206244000092</v>
      </c>
    </row>
    <row r="51" spans="3:5" x14ac:dyDescent="0.25">
      <c r="C51" s="4"/>
      <c r="E51" s="9"/>
    </row>
    <row r="52" spans="3:5" x14ac:dyDescent="0.25">
      <c r="C52" s="4"/>
      <c r="E52" s="9"/>
    </row>
    <row r="54" spans="3:5" x14ac:dyDescent="0.25">
      <c r="C54" s="4"/>
      <c r="E54" s="9"/>
    </row>
    <row r="55" spans="3:5" x14ac:dyDescent="0.25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workbookViewId="0">
      <selection activeCell="E12" sqref="E12"/>
    </sheetView>
  </sheetViews>
  <sheetFormatPr defaultColWidth="9.109375" defaultRowHeight="13.2" x14ac:dyDescent="0.25"/>
  <cols>
    <col min="1" max="1" width="9.109375" style="6"/>
    <col min="2" max="2" width="7.109375" style="3" customWidth="1"/>
    <col min="3" max="3" width="15.33203125" style="3" customWidth="1"/>
    <col min="4" max="4" width="11.33203125" style="3" bestFit="1" customWidth="1"/>
    <col min="5" max="5" width="13.44140625" style="3" customWidth="1"/>
    <col min="6" max="6" width="10.33203125" style="3" bestFit="1" customWidth="1"/>
    <col min="7" max="7" width="10.88671875" style="3" customWidth="1"/>
    <col min="8" max="8" width="13.88671875" style="3" customWidth="1"/>
    <col min="9" max="9" width="1.5546875" style="3" customWidth="1"/>
    <col min="10" max="10" width="9.109375" style="3"/>
    <col min="11" max="11" width="11" style="3" customWidth="1"/>
    <col min="12" max="16384" width="9.109375" style="3"/>
  </cols>
  <sheetData>
    <row r="2" spans="1:11" x14ac:dyDescent="0.25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5">
      <c r="A3" s="5" t="s">
        <v>1</v>
      </c>
      <c r="C3" s="20" t="s">
        <v>3</v>
      </c>
      <c r="D3" s="20"/>
      <c r="E3" s="20"/>
    </row>
    <row r="4" spans="1:11" x14ac:dyDescent="0.25">
      <c r="C4" s="20" t="s">
        <v>4</v>
      </c>
      <c r="D4" s="20"/>
      <c r="E4" s="20"/>
    </row>
    <row r="5" spans="1:11" x14ac:dyDescent="0.25">
      <c r="A5" s="3"/>
      <c r="C5" s="22">
        <v>36739</v>
      </c>
      <c r="D5" s="21"/>
      <c r="E5" s="21"/>
      <c r="F5" s="11"/>
      <c r="G5" s="12"/>
      <c r="H5" s="12"/>
    </row>
    <row r="7" spans="1:11" ht="15" x14ac:dyDescent="0.4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5">
      <c r="B8" s="4" t="s">
        <v>7</v>
      </c>
      <c r="E8" s="3">
        <v>4147489</v>
      </c>
      <c r="H8" s="3">
        <v>4147489</v>
      </c>
      <c r="K8" s="3">
        <f>+E8-H8</f>
        <v>0</v>
      </c>
    </row>
    <row r="9" spans="1:11" x14ac:dyDescent="0.25">
      <c r="C9" s="4" t="s">
        <v>8</v>
      </c>
      <c r="D9" s="3">
        <v>3968670</v>
      </c>
      <c r="G9" s="3">
        <v>3968670</v>
      </c>
      <c r="J9" s="3">
        <f>+D9-G9</f>
        <v>0</v>
      </c>
    </row>
    <row r="10" spans="1:11" x14ac:dyDescent="0.25">
      <c r="C10" s="4" t="s">
        <v>9</v>
      </c>
    </row>
    <row r="11" spans="1:11" x14ac:dyDescent="0.25">
      <c r="C11" s="4" t="s">
        <v>10</v>
      </c>
      <c r="E11" s="3">
        <f>SUM(D9:D10)</f>
        <v>3968670</v>
      </c>
      <c r="H11" s="3">
        <f>SUM(G9:G10)</f>
        <v>3968670</v>
      </c>
      <c r="K11" s="3">
        <f>+E11-H11</f>
        <v>0</v>
      </c>
    </row>
    <row r="12" spans="1:11" x14ac:dyDescent="0.25">
      <c r="C12" s="4"/>
    </row>
    <row r="13" spans="1:11" x14ac:dyDescent="0.25">
      <c r="C13" s="4" t="s">
        <v>11</v>
      </c>
      <c r="E13" s="3">
        <f>+E8-E11</f>
        <v>178819</v>
      </c>
      <c r="H13" s="3">
        <f>+H8-H11</f>
        <v>178819</v>
      </c>
      <c r="K13" s="3">
        <f>+E13-H13</f>
        <v>0</v>
      </c>
    </row>
    <row r="14" spans="1:11" x14ac:dyDescent="0.25">
      <c r="C14" s="4"/>
    </row>
    <row r="15" spans="1:11" x14ac:dyDescent="0.25">
      <c r="B15" s="4" t="s">
        <v>12</v>
      </c>
      <c r="D15" s="3">
        <v>4147994</v>
      </c>
      <c r="G15" s="3">
        <v>4147994</v>
      </c>
    </row>
    <row r="16" spans="1:11" x14ac:dyDescent="0.25">
      <c r="C16" s="4" t="s">
        <v>13</v>
      </c>
      <c r="D16" s="7">
        <v>4.4499999999999998E-2</v>
      </c>
      <c r="E16" s="3">
        <f>+D15*D16</f>
        <v>184585.73299999998</v>
      </c>
      <c r="G16" s="7">
        <v>4.4499999999999998E-2</v>
      </c>
      <c r="H16" s="3">
        <f>+G15*G16</f>
        <v>184585.73299999998</v>
      </c>
      <c r="K16" s="3">
        <f>+E16-H16</f>
        <v>0</v>
      </c>
    </row>
    <row r="18" spans="1:11" x14ac:dyDescent="0.25">
      <c r="C18" s="4" t="s">
        <v>14</v>
      </c>
      <c r="E18" s="3">
        <f>-E13</f>
        <v>-178819</v>
      </c>
      <c r="H18" s="3">
        <f>-H13</f>
        <v>-178819</v>
      </c>
      <c r="K18" s="3">
        <f>+E18-H18</f>
        <v>0</v>
      </c>
    </row>
    <row r="20" spans="1:11" x14ac:dyDescent="0.25">
      <c r="A20" s="4" t="s">
        <v>16</v>
      </c>
      <c r="E20" s="3">
        <f>+E16+E18</f>
        <v>5766.7329999999783</v>
      </c>
      <c r="H20" s="3">
        <f>+H16+H18</f>
        <v>5766.7329999999783</v>
      </c>
      <c r="K20" s="3">
        <f>+E20-H20</f>
        <v>0</v>
      </c>
    </row>
    <row r="22" spans="1:11" x14ac:dyDescent="0.25">
      <c r="A22" s="2" t="s">
        <v>15</v>
      </c>
    </row>
    <row r="23" spans="1:11" x14ac:dyDescent="0.25">
      <c r="B23" s="4" t="s">
        <v>7</v>
      </c>
      <c r="E23" s="3">
        <v>1069602</v>
      </c>
      <c r="H23" s="3">
        <v>1019496</v>
      </c>
      <c r="K23" s="3">
        <f>+E23-H23</f>
        <v>50106</v>
      </c>
    </row>
    <row r="24" spans="1:11" x14ac:dyDescent="0.25">
      <c r="C24" s="4" t="s">
        <v>8</v>
      </c>
      <c r="D24" s="3">
        <v>0</v>
      </c>
    </row>
    <row r="25" spans="1:11" x14ac:dyDescent="0.25">
      <c r="C25" s="4" t="s">
        <v>9</v>
      </c>
      <c r="D25" s="3">
        <v>1022458</v>
      </c>
      <c r="G25" s="3">
        <v>974375</v>
      </c>
    </row>
    <row r="26" spans="1:11" x14ac:dyDescent="0.25">
      <c r="C26" s="4" t="s">
        <v>10</v>
      </c>
      <c r="E26" s="3">
        <f>SUM(D24:D25)</f>
        <v>1022458</v>
      </c>
      <c r="H26" s="3">
        <f>SUM(G24:G25)</f>
        <v>974375</v>
      </c>
      <c r="K26" s="3">
        <f>+E26-H26</f>
        <v>48083</v>
      </c>
    </row>
    <row r="27" spans="1:11" x14ac:dyDescent="0.25">
      <c r="C27" s="4"/>
    </row>
    <row r="28" spans="1:11" x14ac:dyDescent="0.25">
      <c r="C28" s="4" t="s">
        <v>11</v>
      </c>
      <c r="E28" s="3">
        <f>+E23-E26</f>
        <v>47144</v>
      </c>
      <c r="H28" s="3">
        <f>+H23-H26</f>
        <v>45121</v>
      </c>
      <c r="K28" s="3">
        <f>+E28-H28</f>
        <v>2023</v>
      </c>
    </row>
    <row r="29" spans="1:11" x14ac:dyDescent="0.25">
      <c r="C29" s="4"/>
    </row>
    <row r="30" spans="1:11" x14ac:dyDescent="0.25">
      <c r="B30" s="4" t="s">
        <v>12</v>
      </c>
      <c r="D30" s="3">
        <v>1043632</v>
      </c>
      <c r="G30" s="3">
        <v>1043632</v>
      </c>
      <c r="J30" s="3">
        <f>+D30-G30</f>
        <v>0</v>
      </c>
    </row>
    <row r="31" spans="1:11" x14ac:dyDescent="0.25">
      <c r="C31" s="4" t="s">
        <v>13</v>
      </c>
      <c r="D31" s="7">
        <v>4.4499999999999998E-2</v>
      </c>
      <c r="E31" s="3">
        <f>+D30*D31</f>
        <v>46441.623999999996</v>
      </c>
      <c r="G31" s="7">
        <v>4.4499999999999998E-2</v>
      </c>
      <c r="H31" s="3">
        <f>+G30*G31</f>
        <v>46441.623999999996</v>
      </c>
      <c r="K31" s="3">
        <f>+E31-H31</f>
        <v>0</v>
      </c>
    </row>
    <row r="33" spans="1:11" x14ac:dyDescent="0.25">
      <c r="C33" s="4" t="s">
        <v>14</v>
      </c>
      <c r="E33" s="3">
        <f>-E28</f>
        <v>-47144</v>
      </c>
      <c r="H33" s="3">
        <f>-H28</f>
        <v>-45121</v>
      </c>
      <c r="K33" s="3">
        <f>+E33-H33</f>
        <v>-2023</v>
      </c>
    </row>
    <row r="35" spans="1:11" x14ac:dyDescent="0.25">
      <c r="A35" s="4" t="s">
        <v>16</v>
      </c>
      <c r="E35" s="3">
        <f>+E31+E33</f>
        <v>-702.37600000000384</v>
      </c>
      <c r="H35" s="3">
        <f>+H31+H33</f>
        <v>1320.6239999999962</v>
      </c>
      <c r="K35" s="3">
        <f>+E35-H35</f>
        <v>-2023</v>
      </c>
    </row>
    <row r="37" spans="1:11" x14ac:dyDescent="0.25">
      <c r="C37" s="4" t="s">
        <v>17</v>
      </c>
      <c r="E37" s="3">
        <f>+E35+E20</f>
        <v>5064.3569999999745</v>
      </c>
      <c r="H37" s="3">
        <f>+H35+H20</f>
        <v>7087.3569999999745</v>
      </c>
      <c r="K37" s="3">
        <f>+E37-H37</f>
        <v>-2023</v>
      </c>
    </row>
    <row r="39" spans="1:11" x14ac:dyDescent="0.25">
      <c r="C39" s="4" t="s">
        <v>18</v>
      </c>
      <c r="E39" s="8">
        <v>4.2110000000000003</v>
      </c>
      <c r="H39" s="8">
        <v>4.2110900000000004</v>
      </c>
      <c r="K39" s="8">
        <f>+H39</f>
        <v>4.2110900000000004</v>
      </c>
    </row>
    <row r="41" spans="1:11" x14ac:dyDescent="0.25">
      <c r="C41" s="4" t="s">
        <v>19</v>
      </c>
      <c r="E41" s="9">
        <f>+E37*E39</f>
        <v>21326.007326999894</v>
      </c>
      <c r="H41" s="9">
        <f>+H37*H39</f>
        <v>29845.498189129896</v>
      </c>
      <c r="K41" s="9">
        <f>+E41-H41</f>
        <v>-8519.4908621300019</v>
      </c>
    </row>
    <row r="43" spans="1:11" x14ac:dyDescent="0.25">
      <c r="A43" s="4" t="s">
        <v>20</v>
      </c>
      <c r="C43" s="6">
        <v>101021</v>
      </c>
      <c r="D43" s="3">
        <f>+D9</f>
        <v>3968670</v>
      </c>
      <c r="E43" s="9">
        <v>39449.120000000003</v>
      </c>
      <c r="F43" s="8">
        <f>+E43/D43</f>
        <v>9.9401361161295856E-3</v>
      </c>
      <c r="H43" s="9"/>
      <c r="I43" s="10"/>
    </row>
    <row r="44" spans="1:11" x14ac:dyDescent="0.25">
      <c r="A44" s="4"/>
      <c r="C44" s="6">
        <v>101073</v>
      </c>
      <c r="D44" s="3">
        <f>+D25</f>
        <v>1022458</v>
      </c>
      <c r="E44" s="9">
        <f>9348.65+284.12</f>
        <v>9632.77</v>
      </c>
      <c r="F44" s="8">
        <f>+E44/D44</f>
        <v>9.421188938812157E-3</v>
      </c>
      <c r="H44" s="9"/>
      <c r="I44" s="10"/>
    </row>
    <row r="45" spans="1:11" ht="13.8" thickBot="1" x14ac:dyDescent="0.3">
      <c r="E45" s="13">
        <f>SUM(E43:E44)</f>
        <v>49081.89</v>
      </c>
      <c r="H45" s="13">
        <v>29846.11</v>
      </c>
      <c r="K45" s="13">
        <f>+E45-H45</f>
        <v>19235.78</v>
      </c>
    </row>
    <row r="46" spans="1:11" ht="13.8" thickTop="1" x14ac:dyDescent="0.25">
      <c r="C46" s="4" t="s">
        <v>21</v>
      </c>
      <c r="E46" s="9">
        <f>+E41-E43-E44</f>
        <v>-27755.882673000109</v>
      </c>
      <c r="H46" s="9">
        <f>+H41-H45</f>
        <v>-0.6118108701048186</v>
      </c>
      <c r="K46" s="3">
        <f>+E46-H46</f>
        <v>-27755.270862130004</v>
      </c>
    </row>
    <row r="48" spans="1:11" x14ac:dyDescent="0.25">
      <c r="A48" s="4" t="s">
        <v>22</v>
      </c>
      <c r="E48" s="9"/>
    </row>
    <row r="50" spans="3:5" x14ac:dyDescent="0.25">
      <c r="C50" s="4" t="s">
        <v>21</v>
      </c>
      <c r="E50" s="9">
        <f>+E46-E48</f>
        <v>-27755.882673000109</v>
      </c>
    </row>
    <row r="51" spans="3:5" x14ac:dyDescent="0.25">
      <c r="C51" s="4"/>
      <c r="E51" s="9"/>
    </row>
    <row r="52" spans="3:5" x14ac:dyDescent="0.25">
      <c r="C52" s="4"/>
      <c r="E52" s="9"/>
    </row>
    <row r="54" spans="3:5" x14ac:dyDescent="0.25">
      <c r="C54" s="4"/>
      <c r="E54" s="9"/>
    </row>
    <row r="55" spans="3:5" x14ac:dyDescent="0.25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2000 and 2001 Summary</vt:lpstr>
      <vt:lpstr>Jan 2000</vt:lpstr>
      <vt:lpstr>Feb 2000</vt:lpstr>
      <vt:lpstr>Mar 2000</vt:lpstr>
      <vt:lpstr>Apr 2000</vt:lpstr>
      <vt:lpstr>May 2000</vt:lpstr>
      <vt:lpstr>June 2000</vt:lpstr>
      <vt:lpstr>July 2000</vt:lpstr>
      <vt:lpstr>Aug 2000</vt:lpstr>
      <vt:lpstr>Sept 2000</vt:lpstr>
      <vt:lpstr>Oct 2000</vt:lpstr>
      <vt:lpstr>Nov 2000</vt:lpstr>
      <vt:lpstr>Dec 2000</vt:lpstr>
      <vt:lpstr>Jan 2001</vt:lpstr>
      <vt:lpstr>Feb 2001</vt:lpstr>
      <vt:lpstr>Mar 2001</vt:lpstr>
      <vt:lpstr>Apr 2001</vt:lpstr>
      <vt:lpstr>May 2001</vt:lpstr>
      <vt:lpstr>June 2001</vt:lpstr>
      <vt:lpstr>July 2001</vt:lpstr>
      <vt:lpstr>Sheet2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 Transportation &amp; Storage</dc:creator>
  <cp:lastModifiedBy>Havlíček Jan</cp:lastModifiedBy>
  <cp:lastPrinted>2001-11-14T17:06:17Z</cp:lastPrinted>
  <dcterms:created xsi:type="dcterms:W3CDTF">2000-02-29T14:33:59Z</dcterms:created>
  <dcterms:modified xsi:type="dcterms:W3CDTF">2023-09-10T11:06:03Z</dcterms:modified>
</cp:coreProperties>
</file>