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drawings/drawing5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32" windowWidth="9132" windowHeight="4752" tabRatio="757" firstSheet="2" activeTab="3"/>
  </bookViews>
  <sheets>
    <sheet name="Summary" sheetId="10" r:id="rId1"/>
    <sheet name="Extendible Collars" sheetId="9" r:id="rId2"/>
    <sheet name="Basket Options" sheetId="12" r:id="rId3"/>
    <sheet name="Pivot" sheetId="29" r:id="rId4"/>
    <sheet name="Basis Options" sheetId="7" r:id="rId5"/>
    <sheet name="Digital" sheetId="24" r:id="rId6"/>
    <sheet name="CashFlows" sheetId="25" r:id="rId7"/>
    <sheet name="Correllations" sheetId="8" r:id="rId8"/>
    <sheet name="POSITION" sheetId="13" r:id="rId9"/>
    <sheet name="Curves" sheetId="22" r:id="rId10"/>
    <sheet name="PREVCURVES" sheetId="18" r:id="rId11"/>
    <sheet name="pipe_opt" sheetId="23" r:id="rId12"/>
    <sheet name="DATA3" sheetId="27" r:id="rId13"/>
    <sheet name="DATA2" sheetId="26" r:id="rId14"/>
    <sheet name="Sheet1" sheetId="28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4" hidden="1">'Basis Options'!$A$6:$W$197</definedName>
    <definedName name="Adjustments">[3]CurveFetch!$A$16:$B$33</definedName>
    <definedName name="basisoptcount">POSITION!$X$7</definedName>
    <definedName name="basisoptmonths">POSITION!$B$36:$B$79</definedName>
    <definedName name="basisoptpos">POSITION!$B$36:$I$79</definedName>
    <definedName name="BASISPLBREAKDOWN">'Basis Options'!#REF!</definedName>
    <definedName name="BASISPRINT">'Basis Options'!$BQ$1:$BW$48</definedName>
    <definedName name="basketoptcount">POSITION!$X$8</definedName>
    <definedName name="basketoptmonths">POSITION!$B$83:$B$109</definedName>
    <definedName name="basketoptpos">POSITION!$B$83:$C$109</definedName>
    <definedName name="BasOptPos">'Basis Options'!$AH$7:$AI$167</definedName>
    <definedName name="BENCH">POSITION!$B$117:$C$156</definedName>
    <definedName name="BLAHBLAH">Curves!$C$11:$K$26</definedName>
    <definedName name="BookType">#REF!</definedName>
    <definedName name="BsktOptPos">'Basket Options'!$S$6:$T$166</definedName>
    <definedName name="cella2">DATA2!$A$2</definedName>
    <definedName name="COLLARPRINT">'Extendible Collars'!$BH$1:$BM$26</definedName>
    <definedName name="Copy">#REF!</definedName>
    <definedName name="CorMove">Correllations!$J$4:$K$229</definedName>
    <definedName name="Correllate">Correllations!$B$3:$H$229</definedName>
    <definedName name="Count" localSheetId="10">[5]Curves!$A$10</definedName>
    <definedName name="Count">#REF!</definedName>
    <definedName name="counttable">#REF!</definedName>
    <definedName name="CurveCode">#REF!</definedName>
    <definedName name="CurveEffDt">#REF!</definedName>
    <definedName name="CurveRange">Curves!$C$11</definedName>
    <definedName name="Curves" localSheetId="9">Curves!$B$11:$AM$311</definedName>
    <definedName name="Curves">#REF!</definedName>
    <definedName name="CURVES8">[4]CURVES!$D$14:$S$1094</definedName>
    <definedName name="CurveTable" localSheetId="10">[5]Curves!$E$7:$AG$13</definedName>
    <definedName name="CurveTable">#REF!</definedName>
    <definedName name="CurveType">#REF!</definedName>
    <definedName name="Dates">Curves!$B$16:$B$147</definedName>
    <definedName name="DBase">Curves!$B$3</definedName>
    <definedName name="digitaloptcount">POSITION!$X$9</definedName>
    <definedName name="digitaloptmonths">POSITION!$E$83:$E$109</definedName>
    <definedName name="digitaloptpos">POSITION!$E$83:$I$109</definedName>
    <definedName name="discount">Curves!$AR$16:$AT$272</definedName>
    <definedName name="discountmonths">Curves!$AR$16:$AR$272</definedName>
    <definedName name="Dump">#REF!</definedName>
    <definedName name="EffDt">Curves!$B$5</definedName>
    <definedName name="EffectiveDate">[3]CurveFetch!$B$2</definedName>
    <definedName name="EndDate">Curves!#REF!</definedName>
    <definedName name="ExoticBenchPosition">POSITION!$B$117:$C$272</definedName>
    <definedName name="ExoticBenchPositionMonth">POSITION!$B$117:$B$272</definedName>
    <definedName name="ExtColPos">'Extendible Collars'!$AI$7:$AJ$169</definedName>
    <definedName name="extdcollarcount">POSITION!$X$6</definedName>
    <definedName name="extendiblecollarmonths">POSITION!$B$5:$B$30</definedName>
    <definedName name="extendiblecollarpos">POSITION!$B$5:$J$30</definedName>
    <definedName name="F" hidden="1">{"BookBal",#N/A,FALSE,"Roll-1";"DailyChange",#N/A,FALSE,"Roll-1";"Schedules",#N/A,FALSE,"Roll-1"}</definedName>
    <definedName name="FetchCurves">[1]!FetchCurves</definedName>
    <definedName name="GetDown">#REF!</definedName>
    <definedName name="INDEXPR">Curves!$B$16:$Z$157</definedName>
    <definedName name="move_down">Curves!$AV$16:$AW$235</definedName>
    <definedName name="move_down1">#REF!</definedName>
    <definedName name="MOVE_DOWN2">PREVCURVES!$IU$15:$IV$248</definedName>
    <definedName name="Multiplier">Summary!$G$2</definedName>
    <definedName name="NGPREVPRICES">PREVCURVES!$B$16:$E$307</definedName>
    <definedName name="NGPrices">Curves!$B$16:$E$157</definedName>
    <definedName name="NymEq">'Basis Options'!$AR$7:$AS$167</definedName>
    <definedName name="NYMEXPrices">Curves!$B$11:$C$142</definedName>
    <definedName name="Password">Curves!$B$2</definedName>
    <definedName name="PREVCURVES">PREVCURVES!$F$13:$X$306</definedName>
    <definedName name="PREVVOLS">PREVCURVES!$Z$13:$AP$230</definedName>
    <definedName name="PriceCurve">[2]Curves!$D$14:$G$318</definedName>
    <definedName name="Prices">Curves!$F$13:$Z$367</definedName>
    <definedName name="Prices1" localSheetId="10">[5]Curves!#REF!</definedName>
    <definedName name="Prices1">#REF!</definedName>
    <definedName name="PRINT_AREA1">POSITION!$B$1:$L$115</definedName>
    <definedName name="PRINT_AREA2">POSITION!$M$3:$N$42</definedName>
    <definedName name="_xlnm.Print_Titles" localSheetId="1">'Extendible Collars'!$5:$6</definedName>
    <definedName name="PromptMonth">#REF!</definedName>
    <definedName name="StartDate">Curves!#REF!</definedName>
    <definedName name="Today">[6]Front!$B$2</definedName>
    <definedName name="TOTALBASISPL">'Basis Options'!#REF!</definedName>
    <definedName name="TotalPos">Summary!$A$13:$I$59</definedName>
    <definedName name="TrueCor">Correllations!$V$3:$AA$229</definedName>
    <definedName name="UpperLeftOfCurveTable">Curves!$B$11</definedName>
    <definedName name="UserName">Curves!$B$1</definedName>
    <definedName name="VOLS">Curves!$AA$13:$AU$235</definedName>
    <definedName name="wrn.RollDetail." localSheetId="13" hidden="1">{"BookBal",#N/A,FALSE,"Roll-1";"DailyChange",#N/A,FALSE,"Roll-1";"Schedules",#N/A,FALSE,"Roll-1"}</definedName>
    <definedName name="wrn.RollDetail." localSheetId="12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calcMode="manual" fullCalcOnLoad="1"/>
  <pivotCaches>
    <pivotCache cacheId="0" r:id="rId22"/>
    <pivotCache cacheId="1" r:id="rId23"/>
  </pivotCaches>
</workbook>
</file>

<file path=xl/calcChain.xml><?xml version="1.0" encoding="utf-8"?>
<calcChain xmlns="http://schemas.openxmlformats.org/spreadsheetml/2006/main">
  <c r="BV1" i="7" l="1"/>
  <c r="BC2" i="7"/>
  <c r="BD2" i="7"/>
  <c r="BE2" i="7"/>
  <c r="BF2" i="7"/>
  <c r="BG2" i="7"/>
  <c r="BH2" i="7"/>
  <c r="BI2" i="7"/>
  <c r="BK2" i="7"/>
  <c r="BV2" i="7"/>
  <c r="C3" i="7"/>
  <c r="T3" i="7"/>
  <c r="U3" i="7"/>
  <c r="W3" i="7"/>
  <c r="BC3" i="7"/>
  <c r="BV3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AB7" i="7"/>
  <c r="AC7" i="7"/>
  <c r="AD7" i="7"/>
  <c r="AE7" i="7"/>
  <c r="AF7" i="7"/>
  <c r="AG7" i="7"/>
  <c r="AI7" i="7"/>
  <c r="AL7" i="7"/>
  <c r="AM7" i="7"/>
  <c r="AN7" i="7"/>
  <c r="AO7" i="7"/>
  <c r="AP7" i="7"/>
  <c r="AQ7" i="7"/>
  <c r="AS7" i="7"/>
  <c r="BB7" i="7"/>
  <c r="BC7" i="7"/>
  <c r="BD7" i="7"/>
  <c r="BE7" i="7"/>
  <c r="BF7" i="7"/>
  <c r="BG7" i="7"/>
  <c r="BH7" i="7"/>
  <c r="BI7" i="7"/>
  <c r="BJ7" i="7"/>
  <c r="BL7" i="7"/>
  <c r="BM7" i="7"/>
  <c r="BN7" i="7"/>
  <c r="BO7" i="7"/>
  <c r="BP7" i="7"/>
  <c r="BR7" i="7"/>
  <c r="BS7" i="7"/>
  <c r="BT7" i="7"/>
  <c r="BU7" i="7"/>
  <c r="BV7" i="7"/>
  <c r="BW7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AA8" i="7"/>
  <c r="AB8" i="7"/>
  <c r="AC8" i="7"/>
  <c r="AD8" i="7"/>
  <c r="AE8" i="7"/>
  <c r="AF8" i="7"/>
  <c r="AG8" i="7"/>
  <c r="AH8" i="7"/>
  <c r="AI8" i="7"/>
  <c r="AK8" i="7"/>
  <c r="AL8" i="7"/>
  <c r="AM8" i="7"/>
  <c r="AN8" i="7"/>
  <c r="AO8" i="7"/>
  <c r="AP8" i="7"/>
  <c r="AQ8" i="7"/>
  <c r="AR8" i="7"/>
  <c r="AS8" i="7"/>
  <c r="BB8" i="7"/>
  <c r="BC8" i="7"/>
  <c r="BD8" i="7"/>
  <c r="BE8" i="7"/>
  <c r="BF8" i="7"/>
  <c r="BG8" i="7"/>
  <c r="BH8" i="7"/>
  <c r="BI8" i="7"/>
  <c r="BJ8" i="7"/>
  <c r="BL8" i="7"/>
  <c r="BM8" i="7"/>
  <c r="BN8" i="7"/>
  <c r="BO8" i="7"/>
  <c r="BP8" i="7"/>
  <c r="BQ8" i="7"/>
  <c r="BR8" i="7"/>
  <c r="BS8" i="7"/>
  <c r="BT8" i="7"/>
  <c r="BU8" i="7"/>
  <c r="BV8" i="7"/>
  <c r="BW8" i="7"/>
  <c r="H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AA9" i="7"/>
  <c r="AB9" i="7"/>
  <c r="AC9" i="7"/>
  <c r="AD9" i="7"/>
  <c r="AE9" i="7"/>
  <c r="AF9" i="7"/>
  <c r="AG9" i="7"/>
  <c r="AH9" i="7"/>
  <c r="AI9" i="7"/>
  <c r="AK9" i="7"/>
  <c r="AL9" i="7"/>
  <c r="AM9" i="7"/>
  <c r="AN9" i="7"/>
  <c r="AO9" i="7"/>
  <c r="AP9" i="7"/>
  <c r="AQ9" i="7"/>
  <c r="AR9" i="7"/>
  <c r="AS9" i="7"/>
  <c r="BB9" i="7"/>
  <c r="BC9" i="7"/>
  <c r="BD9" i="7"/>
  <c r="BE9" i="7"/>
  <c r="BF9" i="7"/>
  <c r="BG9" i="7"/>
  <c r="BH9" i="7"/>
  <c r="BI9" i="7"/>
  <c r="BJ9" i="7"/>
  <c r="BL9" i="7"/>
  <c r="BM9" i="7"/>
  <c r="BN9" i="7"/>
  <c r="BO9" i="7"/>
  <c r="BP9" i="7"/>
  <c r="BQ9" i="7"/>
  <c r="BR9" i="7"/>
  <c r="BS9" i="7"/>
  <c r="BT9" i="7"/>
  <c r="BU9" i="7"/>
  <c r="BV9" i="7"/>
  <c r="BW9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AA10" i="7"/>
  <c r="AB10" i="7"/>
  <c r="AC10" i="7"/>
  <c r="AD10" i="7"/>
  <c r="AE10" i="7"/>
  <c r="AF10" i="7"/>
  <c r="AG10" i="7"/>
  <c r="AH10" i="7"/>
  <c r="AI10" i="7"/>
  <c r="AK10" i="7"/>
  <c r="AL10" i="7"/>
  <c r="AM10" i="7"/>
  <c r="AN10" i="7"/>
  <c r="AO10" i="7"/>
  <c r="AP10" i="7"/>
  <c r="AQ10" i="7"/>
  <c r="AR10" i="7"/>
  <c r="AS10" i="7"/>
  <c r="BB10" i="7"/>
  <c r="BC10" i="7"/>
  <c r="BD10" i="7"/>
  <c r="BE10" i="7"/>
  <c r="BF10" i="7"/>
  <c r="BG10" i="7"/>
  <c r="BH10" i="7"/>
  <c r="BI10" i="7"/>
  <c r="BJ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AA11" i="7"/>
  <c r="AB11" i="7"/>
  <c r="AC11" i="7"/>
  <c r="AD11" i="7"/>
  <c r="AE11" i="7"/>
  <c r="AF11" i="7"/>
  <c r="AG11" i="7"/>
  <c r="AH11" i="7"/>
  <c r="AI11" i="7"/>
  <c r="AK11" i="7"/>
  <c r="AL11" i="7"/>
  <c r="AM11" i="7"/>
  <c r="AN11" i="7"/>
  <c r="AO11" i="7"/>
  <c r="AP11" i="7"/>
  <c r="AQ11" i="7"/>
  <c r="AR11" i="7"/>
  <c r="AS11" i="7"/>
  <c r="BB11" i="7"/>
  <c r="BC11" i="7"/>
  <c r="BD11" i="7"/>
  <c r="BE11" i="7"/>
  <c r="BF11" i="7"/>
  <c r="BG11" i="7"/>
  <c r="BH11" i="7"/>
  <c r="BI11" i="7"/>
  <c r="BJ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AA12" i="7"/>
  <c r="AB12" i="7"/>
  <c r="AC12" i="7"/>
  <c r="AD12" i="7"/>
  <c r="AE12" i="7"/>
  <c r="AF12" i="7"/>
  <c r="AG12" i="7"/>
  <c r="AH12" i="7"/>
  <c r="AI12" i="7"/>
  <c r="AK12" i="7"/>
  <c r="AL12" i="7"/>
  <c r="AM12" i="7"/>
  <c r="AN12" i="7"/>
  <c r="AO12" i="7"/>
  <c r="AP12" i="7"/>
  <c r="AQ12" i="7"/>
  <c r="AR12" i="7"/>
  <c r="AS12" i="7"/>
  <c r="BB12" i="7"/>
  <c r="BC12" i="7"/>
  <c r="BD12" i="7"/>
  <c r="BE12" i="7"/>
  <c r="BF12" i="7"/>
  <c r="BG12" i="7"/>
  <c r="BH12" i="7"/>
  <c r="BI12" i="7"/>
  <c r="BJ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AA13" i="7"/>
  <c r="AB13" i="7"/>
  <c r="AC13" i="7"/>
  <c r="AD13" i="7"/>
  <c r="AE13" i="7"/>
  <c r="AF13" i="7"/>
  <c r="AG13" i="7"/>
  <c r="AH13" i="7"/>
  <c r="AI13" i="7"/>
  <c r="AK13" i="7"/>
  <c r="AL13" i="7"/>
  <c r="AM13" i="7"/>
  <c r="AN13" i="7"/>
  <c r="AO13" i="7"/>
  <c r="AP13" i="7"/>
  <c r="AQ13" i="7"/>
  <c r="AR13" i="7"/>
  <c r="AS13" i="7"/>
  <c r="BB13" i="7"/>
  <c r="BC13" i="7"/>
  <c r="BD13" i="7"/>
  <c r="BE13" i="7"/>
  <c r="BF13" i="7"/>
  <c r="BG13" i="7"/>
  <c r="BH13" i="7"/>
  <c r="BI13" i="7"/>
  <c r="BJ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H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AA14" i="7"/>
  <c r="AB14" i="7"/>
  <c r="AC14" i="7"/>
  <c r="AD14" i="7"/>
  <c r="AE14" i="7"/>
  <c r="AF14" i="7"/>
  <c r="AG14" i="7"/>
  <c r="AH14" i="7"/>
  <c r="AI14" i="7"/>
  <c r="AK14" i="7"/>
  <c r="AL14" i="7"/>
  <c r="AM14" i="7"/>
  <c r="AN14" i="7"/>
  <c r="AO14" i="7"/>
  <c r="AP14" i="7"/>
  <c r="AQ14" i="7"/>
  <c r="AR14" i="7"/>
  <c r="AS14" i="7"/>
  <c r="BB14" i="7"/>
  <c r="BC14" i="7"/>
  <c r="BD14" i="7"/>
  <c r="BE14" i="7"/>
  <c r="BF14" i="7"/>
  <c r="BG14" i="7"/>
  <c r="BH14" i="7"/>
  <c r="BI14" i="7"/>
  <c r="BJ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AA15" i="7"/>
  <c r="AB15" i="7"/>
  <c r="AC15" i="7"/>
  <c r="AD15" i="7"/>
  <c r="AE15" i="7"/>
  <c r="AF15" i="7"/>
  <c r="AG15" i="7"/>
  <c r="AH15" i="7"/>
  <c r="AI15" i="7"/>
  <c r="AK15" i="7"/>
  <c r="AL15" i="7"/>
  <c r="AM15" i="7"/>
  <c r="AN15" i="7"/>
  <c r="AO15" i="7"/>
  <c r="AP15" i="7"/>
  <c r="AQ15" i="7"/>
  <c r="AR15" i="7"/>
  <c r="AS15" i="7"/>
  <c r="BB15" i="7"/>
  <c r="BC15" i="7"/>
  <c r="BD15" i="7"/>
  <c r="BE15" i="7"/>
  <c r="BF15" i="7"/>
  <c r="BG15" i="7"/>
  <c r="BH15" i="7"/>
  <c r="BI15" i="7"/>
  <c r="BJ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AA16" i="7"/>
  <c r="AB16" i="7"/>
  <c r="AC16" i="7"/>
  <c r="AD16" i="7"/>
  <c r="AE16" i="7"/>
  <c r="AF16" i="7"/>
  <c r="AG16" i="7"/>
  <c r="AH16" i="7"/>
  <c r="AI16" i="7"/>
  <c r="AK16" i="7"/>
  <c r="AL16" i="7"/>
  <c r="AM16" i="7"/>
  <c r="AN16" i="7"/>
  <c r="AO16" i="7"/>
  <c r="AP16" i="7"/>
  <c r="AQ16" i="7"/>
  <c r="AR16" i="7"/>
  <c r="AS16" i="7"/>
  <c r="BB16" i="7"/>
  <c r="BC16" i="7"/>
  <c r="BD16" i="7"/>
  <c r="BE16" i="7"/>
  <c r="BF16" i="7"/>
  <c r="BG16" i="7"/>
  <c r="BH16" i="7"/>
  <c r="BI16" i="7"/>
  <c r="BJ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AA17" i="7"/>
  <c r="AB17" i="7"/>
  <c r="AC17" i="7"/>
  <c r="AD17" i="7"/>
  <c r="AE17" i="7"/>
  <c r="AF17" i="7"/>
  <c r="AG17" i="7"/>
  <c r="AH17" i="7"/>
  <c r="AI17" i="7"/>
  <c r="AK17" i="7"/>
  <c r="AL17" i="7"/>
  <c r="AM17" i="7"/>
  <c r="AN17" i="7"/>
  <c r="AO17" i="7"/>
  <c r="AP17" i="7"/>
  <c r="AQ17" i="7"/>
  <c r="AR17" i="7"/>
  <c r="AS17" i="7"/>
  <c r="BB17" i="7"/>
  <c r="BC17" i="7"/>
  <c r="BD17" i="7"/>
  <c r="BE17" i="7"/>
  <c r="BF17" i="7"/>
  <c r="BG17" i="7"/>
  <c r="BH17" i="7"/>
  <c r="BI17" i="7"/>
  <c r="BJ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AA18" i="7"/>
  <c r="AB18" i="7"/>
  <c r="AC18" i="7"/>
  <c r="AD18" i="7"/>
  <c r="AE18" i="7"/>
  <c r="AF18" i="7"/>
  <c r="AG18" i="7"/>
  <c r="AH18" i="7"/>
  <c r="AI18" i="7"/>
  <c r="AK18" i="7"/>
  <c r="AL18" i="7"/>
  <c r="AM18" i="7"/>
  <c r="AN18" i="7"/>
  <c r="AO18" i="7"/>
  <c r="AP18" i="7"/>
  <c r="AQ18" i="7"/>
  <c r="AR18" i="7"/>
  <c r="AS18" i="7"/>
  <c r="BB18" i="7"/>
  <c r="BC18" i="7"/>
  <c r="BD18" i="7"/>
  <c r="BE18" i="7"/>
  <c r="BF18" i="7"/>
  <c r="BG18" i="7"/>
  <c r="BH18" i="7"/>
  <c r="BI18" i="7"/>
  <c r="BJ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H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AA19" i="7"/>
  <c r="AB19" i="7"/>
  <c r="AC19" i="7"/>
  <c r="AD19" i="7"/>
  <c r="AE19" i="7"/>
  <c r="AF19" i="7"/>
  <c r="AG19" i="7"/>
  <c r="AH19" i="7"/>
  <c r="AI19" i="7"/>
  <c r="AK19" i="7"/>
  <c r="AL19" i="7"/>
  <c r="AM19" i="7"/>
  <c r="AN19" i="7"/>
  <c r="AO19" i="7"/>
  <c r="AP19" i="7"/>
  <c r="AQ19" i="7"/>
  <c r="AR19" i="7"/>
  <c r="AS19" i="7"/>
  <c r="BB19" i="7"/>
  <c r="BC19" i="7"/>
  <c r="BD19" i="7"/>
  <c r="BE19" i="7"/>
  <c r="BF19" i="7"/>
  <c r="BG19" i="7"/>
  <c r="BH19" i="7"/>
  <c r="BI19" i="7"/>
  <c r="BJ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AA20" i="7"/>
  <c r="AB20" i="7"/>
  <c r="AC20" i="7"/>
  <c r="AD20" i="7"/>
  <c r="AE20" i="7"/>
  <c r="AF20" i="7"/>
  <c r="AG20" i="7"/>
  <c r="AH20" i="7"/>
  <c r="AI20" i="7"/>
  <c r="AK20" i="7"/>
  <c r="AL20" i="7"/>
  <c r="AM20" i="7"/>
  <c r="AN20" i="7"/>
  <c r="AO20" i="7"/>
  <c r="AP20" i="7"/>
  <c r="AQ20" i="7"/>
  <c r="AR20" i="7"/>
  <c r="AS20" i="7"/>
  <c r="BB20" i="7"/>
  <c r="BC20" i="7"/>
  <c r="BD20" i="7"/>
  <c r="BE20" i="7"/>
  <c r="BF20" i="7"/>
  <c r="BG20" i="7"/>
  <c r="BH20" i="7"/>
  <c r="BI20" i="7"/>
  <c r="BJ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AA21" i="7"/>
  <c r="AB21" i="7"/>
  <c r="AC21" i="7"/>
  <c r="AD21" i="7"/>
  <c r="AE21" i="7"/>
  <c r="AF21" i="7"/>
  <c r="AG21" i="7"/>
  <c r="AH21" i="7"/>
  <c r="AI21" i="7"/>
  <c r="AK21" i="7"/>
  <c r="AL21" i="7"/>
  <c r="AM21" i="7"/>
  <c r="AN21" i="7"/>
  <c r="AO21" i="7"/>
  <c r="AP21" i="7"/>
  <c r="AQ21" i="7"/>
  <c r="AR21" i="7"/>
  <c r="AS21" i="7"/>
  <c r="BB21" i="7"/>
  <c r="BC21" i="7"/>
  <c r="BD21" i="7"/>
  <c r="BE21" i="7"/>
  <c r="BF21" i="7"/>
  <c r="BG21" i="7"/>
  <c r="BH21" i="7"/>
  <c r="BI21" i="7"/>
  <c r="BJ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AA22" i="7"/>
  <c r="AB22" i="7"/>
  <c r="AC22" i="7"/>
  <c r="AD22" i="7"/>
  <c r="AE22" i="7"/>
  <c r="AF22" i="7"/>
  <c r="AG22" i="7"/>
  <c r="AH22" i="7"/>
  <c r="AI22" i="7"/>
  <c r="AK22" i="7"/>
  <c r="AL22" i="7"/>
  <c r="AM22" i="7"/>
  <c r="AN22" i="7"/>
  <c r="AO22" i="7"/>
  <c r="AP22" i="7"/>
  <c r="AQ22" i="7"/>
  <c r="AR22" i="7"/>
  <c r="AS22" i="7"/>
  <c r="BB22" i="7"/>
  <c r="BC22" i="7"/>
  <c r="BD22" i="7"/>
  <c r="BE22" i="7"/>
  <c r="BF22" i="7"/>
  <c r="BG22" i="7"/>
  <c r="BH22" i="7"/>
  <c r="BI22" i="7"/>
  <c r="BJ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AA23" i="7"/>
  <c r="AB23" i="7"/>
  <c r="AC23" i="7"/>
  <c r="AD23" i="7"/>
  <c r="AE23" i="7"/>
  <c r="AF23" i="7"/>
  <c r="AG23" i="7"/>
  <c r="AH23" i="7"/>
  <c r="AI23" i="7"/>
  <c r="AK23" i="7"/>
  <c r="AL23" i="7"/>
  <c r="AM23" i="7"/>
  <c r="AN23" i="7"/>
  <c r="AO23" i="7"/>
  <c r="AP23" i="7"/>
  <c r="AQ23" i="7"/>
  <c r="AR23" i="7"/>
  <c r="AS23" i="7"/>
  <c r="BB23" i="7"/>
  <c r="BC23" i="7"/>
  <c r="BD23" i="7"/>
  <c r="BE23" i="7"/>
  <c r="BF23" i="7"/>
  <c r="BG23" i="7"/>
  <c r="BH23" i="7"/>
  <c r="BI23" i="7"/>
  <c r="BJ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H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AA24" i="7"/>
  <c r="AB24" i="7"/>
  <c r="AC24" i="7"/>
  <c r="AD24" i="7"/>
  <c r="AE24" i="7"/>
  <c r="AF24" i="7"/>
  <c r="AG24" i="7"/>
  <c r="AH24" i="7"/>
  <c r="AI24" i="7"/>
  <c r="AK24" i="7"/>
  <c r="AL24" i="7"/>
  <c r="AM24" i="7"/>
  <c r="AN24" i="7"/>
  <c r="AO24" i="7"/>
  <c r="AP24" i="7"/>
  <c r="AQ24" i="7"/>
  <c r="AR24" i="7"/>
  <c r="AS24" i="7"/>
  <c r="BB24" i="7"/>
  <c r="BC24" i="7"/>
  <c r="BD24" i="7"/>
  <c r="BE24" i="7"/>
  <c r="BF24" i="7"/>
  <c r="BG24" i="7"/>
  <c r="BH24" i="7"/>
  <c r="BI24" i="7"/>
  <c r="BJ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AA25" i="7"/>
  <c r="AB25" i="7"/>
  <c r="AC25" i="7"/>
  <c r="AD25" i="7"/>
  <c r="AE25" i="7"/>
  <c r="AF25" i="7"/>
  <c r="AG25" i="7"/>
  <c r="AH25" i="7"/>
  <c r="AI25" i="7"/>
  <c r="AK25" i="7"/>
  <c r="AL25" i="7"/>
  <c r="AM25" i="7"/>
  <c r="AN25" i="7"/>
  <c r="AO25" i="7"/>
  <c r="AP25" i="7"/>
  <c r="AQ25" i="7"/>
  <c r="AR25" i="7"/>
  <c r="AS25" i="7"/>
  <c r="BB25" i="7"/>
  <c r="BC25" i="7"/>
  <c r="BD25" i="7"/>
  <c r="BE25" i="7"/>
  <c r="BF25" i="7"/>
  <c r="BG25" i="7"/>
  <c r="BH25" i="7"/>
  <c r="BI25" i="7"/>
  <c r="BJ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AA26" i="7"/>
  <c r="AB26" i="7"/>
  <c r="AC26" i="7"/>
  <c r="AD26" i="7"/>
  <c r="AE26" i="7"/>
  <c r="AF26" i="7"/>
  <c r="AG26" i="7"/>
  <c r="AH26" i="7"/>
  <c r="AI26" i="7"/>
  <c r="AK26" i="7"/>
  <c r="AL26" i="7"/>
  <c r="AM26" i="7"/>
  <c r="AN26" i="7"/>
  <c r="AO26" i="7"/>
  <c r="AP26" i="7"/>
  <c r="AQ26" i="7"/>
  <c r="AR26" i="7"/>
  <c r="AS26" i="7"/>
  <c r="BB26" i="7"/>
  <c r="BC26" i="7"/>
  <c r="BD26" i="7"/>
  <c r="BE26" i="7"/>
  <c r="BF26" i="7"/>
  <c r="BG26" i="7"/>
  <c r="BH26" i="7"/>
  <c r="BI26" i="7"/>
  <c r="BJ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AA27" i="7"/>
  <c r="AB27" i="7"/>
  <c r="AC27" i="7"/>
  <c r="AD27" i="7"/>
  <c r="AE27" i="7"/>
  <c r="AF27" i="7"/>
  <c r="AG27" i="7"/>
  <c r="AH27" i="7"/>
  <c r="AI27" i="7"/>
  <c r="AK27" i="7"/>
  <c r="AL27" i="7"/>
  <c r="AM27" i="7"/>
  <c r="AN27" i="7"/>
  <c r="AO27" i="7"/>
  <c r="AP27" i="7"/>
  <c r="AQ27" i="7"/>
  <c r="AR27" i="7"/>
  <c r="AS27" i="7"/>
  <c r="BB27" i="7"/>
  <c r="BC27" i="7"/>
  <c r="BD27" i="7"/>
  <c r="BE27" i="7"/>
  <c r="BF27" i="7"/>
  <c r="BG27" i="7"/>
  <c r="BH27" i="7"/>
  <c r="BI27" i="7"/>
  <c r="BJ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AA28" i="7"/>
  <c r="AB28" i="7"/>
  <c r="AC28" i="7"/>
  <c r="AD28" i="7"/>
  <c r="AE28" i="7"/>
  <c r="AF28" i="7"/>
  <c r="AG28" i="7"/>
  <c r="AH28" i="7"/>
  <c r="AI28" i="7"/>
  <c r="AK28" i="7"/>
  <c r="AL28" i="7"/>
  <c r="AM28" i="7"/>
  <c r="AN28" i="7"/>
  <c r="AO28" i="7"/>
  <c r="AP28" i="7"/>
  <c r="AQ28" i="7"/>
  <c r="AR28" i="7"/>
  <c r="AS28" i="7"/>
  <c r="BB28" i="7"/>
  <c r="BC28" i="7"/>
  <c r="BD28" i="7"/>
  <c r="BE28" i="7"/>
  <c r="BF28" i="7"/>
  <c r="BG28" i="7"/>
  <c r="BH28" i="7"/>
  <c r="BI28" i="7"/>
  <c r="BJ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H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AA29" i="7"/>
  <c r="AB29" i="7"/>
  <c r="AC29" i="7"/>
  <c r="AD29" i="7"/>
  <c r="AE29" i="7"/>
  <c r="AF29" i="7"/>
  <c r="AG29" i="7"/>
  <c r="AH29" i="7"/>
  <c r="AI29" i="7"/>
  <c r="AK29" i="7"/>
  <c r="AL29" i="7"/>
  <c r="AM29" i="7"/>
  <c r="AN29" i="7"/>
  <c r="AO29" i="7"/>
  <c r="AP29" i="7"/>
  <c r="AQ29" i="7"/>
  <c r="AR29" i="7"/>
  <c r="AS29" i="7"/>
  <c r="BB29" i="7"/>
  <c r="BC29" i="7"/>
  <c r="BD29" i="7"/>
  <c r="BE29" i="7"/>
  <c r="BF29" i="7"/>
  <c r="BG29" i="7"/>
  <c r="BH29" i="7"/>
  <c r="BI29" i="7"/>
  <c r="BJ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AA30" i="7"/>
  <c r="AB30" i="7"/>
  <c r="AC30" i="7"/>
  <c r="AD30" i="7"/>
  <c r="AE30" i="7"/>
  <c r="AF30" i="7"/>
  <c r="AG30" i="7"/>
  <c r="AH30" i="7"/>
  <c r="AI30" i="7"/>
  <c r="AK30" i="7"/>
  <c r="AL30" i="7"/>
  <c r="AM30" i="7"/>
  <c r="AN30" i="7"/>
  <c r="AO30" i="7"/>
  <c r="AP30" i="7"/>
  <c r="AQ30" i="7"/>
  <c r="AR30" i="7"/>
  <c r="AS30" i="7"/>
  <c r="BB30" i="7"/>
  <c r="BC30" i="7"/>
  <c r="BD30" i="7"/>
  <c r="BE30" i="7"/>
  <c r="BF30" i="7"/>
  <c r="BG30" i="7"/>
  <c r="BH30" i="7"/>
  <c r="BI30" i="7"/>
  <c r="BJ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AA31" i="7"/>
  <c r="AB31" i="7"/>
  <c r="AC31" i="7"/>
  <c r="AD31" i="7"/>
  <c r="AE31" i="7"/>
  <c r="AF31" i="7"/>
  <c r="AG31" i="7"/>
  <c r="AH31" i="7"/>
  <c r="AI31" i="7"/>
  <c r="AK31" i="7"/>
  <c r="AL31" i="7"/>
  <c r="AM31" i="7"/>
  <c r="AN31" i="7"/>
  <c r="AO31" i="7"/>
  <c r="AP31" i="7"/>
  <c r="AQ31" i="7"/>
  <c r="AR31" i="7"/>
  <c r="AS31" i="7"/>
  <c r="BB31" i="7"/>
  <c r="BC31" i="7"/>
  <c r="BD31" i="7"/>
  <c r="BE31" i="7"/>
  <c r="BF31" i="7"/>
  <c r="BG31" i="7"/>
  <c r="BH31" i="7"/>
  <c r="BI31" i="7"/>
  <c r="BJ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AA32" i="7"/>
  <c r="AB32" i="7"/>
  <c r="AC32" i="7"/>
  <c r="AD32" i="7"/>
  <c r="AE32" i="7"/>
  <c r="AF32" i="7"/>
  <c r="AG32" i="7"/>
  <c r="AH32" i="7"/>
  <c r="AI32" i="7"/>
  <c r="AK32" i="7"/>
  <c r="AL32" i="7"/>
  <c r="AM32" i="7"/>
  <c r="AN32" i="7"/>
  <c r="AO32" i="7"/>
  <c r="AP32" i="7"/>
  <c r="AQ32" i="7"/>
  <c r="AR32" i="7"/>
  <c r="AS32" i="7"/>
  <c r="BB32" i="7"/>
  <c r="BC32" i="7"/>
  <c r="BD32" i="7"/>
  <c r="BE32" i="7"/>
  <c r="BF32" i="7"/>
  <c r="BG32" i="7"/>
  <c r="BH32" i="7"/>
  <c r="BI32" i="7"/>
  <c r="BJ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AA33" i="7"/>
  <c r="AB33" i="7"/>
  <c r="AC33" i="7"/>
  <c r="AD33" i="7"/>
  <c r="AE33" i="7"/>
  <c r="AF33" i="7"/>
  <c r="AG33" i="7"/>
  <c r="AH33" i="7"/>
  <c r="AI33" i="7"/>
  <c r="AK33" i="7"/>
  <c r="AL33" i="7"/>
  <c r="AM33" i="7"/>
  <c r="AN33" i="7"/>
  <c r="AO33" i="7"/>
  <c r="AP33" i="7"/>
  <c r="AQ33" i="7"/>
  <c r="AR33" i="7"/>
  <c r="AS33" i="7"/>
  <c r="BB33" i="7"/>
  <c r="BC33" i="7"/>
  <c r="BD33" i="7"/>
  <c r="BE33" i="7"/>
  <c r="BF33" i="7"/>
  <c r="BG33" i="7"/>
  <c r="BH33" i="7"/>
  <c r="BI33" i="7"/>
  <c r="BJ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H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AA34" i="7"/>
  <c r="AB34" i="7"/>
  <c r="AC34" i="7"/>
  <c r="AD34" i="7"/>
  <c r="AE34" i="7"/>
  <c r="AF34" i="7"/>
  <c r="AG34" i="7"/>
  <c r="AH34" i="7"/>
  <c r="AI34" i="7"/>
  <c r="AK34" i="7"/>
  <c r="AL34" i="7"/>
  <c r="AM34" i="7"/>
  <c r="AN34" i="7"/>
  <c r="AO34" i="7"/>
  <c r="AP34" i="7"/>
  <c r="AQ34" i="7"/>
  <c r="AR34" i="7"/>
  <c r="AS34" i="7"/>
  <c r="BB34" i="7"/>
  <c r="BC34" i="7"/>
  <c r="BD34" i="7"/>
  <c r="BE34" i="7"/>
  <c r="BF34" i="7"/>
  <c r="BG34" i="7"/>
  <c r="BH34" i="7"/>
  <c r="BI34" i="7"/>
  <c r="BJ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AA35" i="7"/>
  <c r="AB35" i="7"/>
  <c r="AC35" i="7"/>
  <c r="AD35" i="7"/>
  <c r="AE35" i="7"/>
  <c r="AF35" i="7"/>
  <c r="AG35" i="7"/>
  <c r="AH35" i="7"/>
  <c r="AI35" i="7"/>
  <c r="AK35" i="7"/>
  <c r="AL35" i="7"/>
  <c r="AM35" i="7"/>
  <c r="AN35" i="7"/>
  <c r="AO35" i="7"/>
  <c r="AP35" i="7"/>
  <c r="AQ35" i="7"/>
  <c r="AR35" i="7"/>
  <c r="AS35" i="7"/>
  <c r="BB35" i="7"/>
  <c r="BC35" i="7"/>
  <c r="BD35" i="7"/>
  <c r="BE35" i="7"/>
  <c r="BF35" i="7"/>
  <c r="BG35" i="7"/>
  <c r="BH35" i="7"/>
  <c r="BI35" i="7"/>
  <c r="BJ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AA36" i="7"/>
  <c r="AB36" i="7"/>
  <c r="AC36" i="7"/>
  <c r="AD36" i="7"/>
  <c r="AE36" i="7"/>
  <c r="AF36" i="7"/>
  <c r="AG36" i="7"/>
  <c r="AH36" i="7"/>
  <c r="AI36" i="7"/>
  <c r="AK36" i="7"/>
  <c r="AL36" i="7"/>
  <c r="AM36" i="7"/>
  <c r="AN36" i="7"/>
  <c r="AO36" i="7"/>
  <c r="AP36" i="7"/>
  <c r="AQ36" i="7"/>
  <c r="AR36" i="7"/>
  <c r="AS36" i="7"/>
  <c r="BB36" i="7"/>
  <c r="BC36" i="7"/>
  <c r="BD36" i="7"/>
  <c r="BE36" i="7"/>
  <c r="BF36" i="7"/>
  <c r="BG36" i="7"/>
  <c r="BH36" i="7"/>
  <c r="BI36" i="7"/>
  <c r="BJ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AA37" i="7"/>
  <c r="AB37" i="7"/>
  <c r="AC37" i="7"/>
  <c r="AD37" i="7"/>
  <c r="AE37" i="7"/>
  <c r="AF37" i="7"/>
  <c r="AG37" i="7"/>
  <c r="AH37" i="7"/>
  <c r="AI37" i="7"/>
  <c r="AK37" i="7"/>
  <c r="AL37" i="7"/>
  <c r="AM37" i="7"/>
  <c r="AN37" i="7"/>
  <c r="AO37" i="7"/>
  <c r="AP37" i="7"/>
  <c r="AQ37" i="7"/>
  <c r="AR37" i="7"/>
  <c r="AS37" i="7"/>
  <c r="BB37" i="7"/>
  <c r="BC37" i="7"/>
  <c r="BD37" i="7"/>
  <c r="BE37" i="7"/>
  <c r="BF37" i="7"/>
  <c r="BG37" i="7"/>
  <c r="BH37" i="7"/>
  <c r="BI37" i="7"/>
  <c r="BJ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AA38" i="7"/>
  <c r="AB38" i="7"/>
  <c r="AC38" i="7"/>
  <c r="AD38" i="7"/>
  <c r="AE38" i="7"/>
  <c r="AF38" i="7"/>
  <c r="AG38" i="7"/>
  <c r="AH38" i="7"/>
  <c r="AI38" i="7"/>
  <c r="AK38" i="7"/>
  <c r="AL38" i="7"/>
  <c r="AM38" i="7"/>
  <c r="AN38" i="7"/>
  <c r="AO38" i="7"/>
  <c r="AP38" i="7"/>
  <c r="AQ38" i="7"/>
  <c r="AR38" i="7"/>
  <c r="AS38" i="7"/>
  <c r="BB38" i="7"/>
  <c r="BC38" i="7"/>
  <c r="BD38" i="7"/>
  <c r="BE38" i="7"/>
  <c r="BF38" i="7"/>
  <c r="BG38" i="7"/>
  <c r="BH38" i="7"/>
  <c r="BI38" i="7"/>
  <c r="BJ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AA39" i="7"/>
  <c r="AB39" i="7"/>
  <c r="AC39" i="7"/>
  <c r="AD39" i="7"/>
  <c r="AE39" i="7"/>
  <c r="AF39" i="7"/>
  <c r="AG39" i="7"/>
  <c r="AH39" i="7"/>
  <c r="AI39" i="7"/>
  <c r="AK39" i="7"/>
  <c r="AL39" i="7"/>
  <c r="AM39" i="7"/>
  <c r="AN39" i="7"/>
  <c r="AO39" i="7"/>
  <c r="AP39" i="7"/>
  <c r="AQ39" i="7"/>
  <c r="AR39" i="7"/>
  <c r="AS39" i="7"/>
  <c r="BB39" i="7"/>
  <c r="BC39" i="7"/>
  <c r="BD39" i="7"/>
  <c r="BE39" i="7"/>
  <c r="BF39" i="7"/>
  <c r="BG39" i="7"/>
  <c r="BH39" i="7"/>
  <c r="BI39" i="7"/>
  <c r="BJ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AA40" i="7"/>
  <c r="AB40" i="7"/>
  <c r="AC40" i="7"/>
  <c r="AD40" i="7"/>
  <c r="AE40" i="7"/>
  <c r="AF40" i="7"/>
  <c r="AG40" i="7"/>
  <c r="AH40" i="7"/>
  <c r="AI40" i="7"/>
  <c r="AK40" i="7"/>
  <c r="AL40" i="7"/>
  <c r="AM40" i="7"/>
  <c r="AN40" i="7"/>
  <c r="AO40" i="7"/>
  <c r="AP40" i="7"/>
  <c r="AQ40" i="7"/>
  <c r="AR40" i="7"/>
  <c r="AS40" i="7"/>
  <c r="BB40" i="7"/>
  <c r="BC40" i="7"/>
  <c r="BD40" i="7"/>
  <c r="BE40" i="7"/>
  <c r="BF40" i="7"/>
  <c r="BG40" i="7"/>
  <c r="BH40" i="7"/>
  <c r="BI40" i="7"/>
  <c r="BJ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AA41" i="7"/>
  <c r="AB41" i="7"/>
  <c r="AC41" i="7"/>
  <c r="AD41" i="7"/>
  <c r="AE41" i="7"/>
  <c r="AF41" i="7"/>
  <c r="AG41" i="7"/>
  <c r="AH41" i="7"/>
  <c r="AI41" i="7"/>
  <c r="AK41" i="7"/>
  <c r="AL41" i="7"/>
  <c r="AM41" i="7"/>
  <c r="AN41" i="7"/>
  <c r="AO41" i="7"/>
  <c r="AP41" i="7"/>
  <c r="AQ41" i="7"/>
  <c r="AR41" i="7"/>
  <c r="AS41" i="7"/>
  <c r="BB41" i="7"/>
  <c r="BC41" i="7"/>
  <c r="BD41" i="7"/>
  <c r="BE41" i="7"/>
  <c r="BF41" i="7"/>
  <c r="BG41" i="7"/>
  <c r="BH41" i="7"/>
  <c r="BI41" i="7"/>
  <c r="BJ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AA42" i="7"/>
  <c r="AB42" i="7"/>
  <c r="AC42" i="7"/>
  <c r="AD42" i="7"/>
  <c r="AE42" i="7"/>
  <c r="AF42" i="7"/>
  <c r="AG42" i="7"/>
  <c r="AH42" i="7"/>
  <c r="AI42" i="7"/>
  <c r="AK42" i="7"/>
  <c r="AL42" i="7"/>
  <c r="AM42" i="7"/>
  <c r="AN42" i="7"/>
  <c r="AO42" i="7"/>
  <c r="AP42" i="7"/>
  <c r="AQ42" i="7"/>
  <c r="AR42" i="7"/>
  <c r="AS42" i="7"/>
  <c r="BB42" i="7"/>
  <c r="BC42" i="7"/>
  <c r="BD42" i="7"/>
  <c r="BE42" i="7"/>
  <c r="BF42" i="7"/>
  <c r="BG42" i="7"/>
  <c r="BH42" i="7"/>
  <c r="BI42" i="7"/>
  <c r="BJ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AA43" i="7"/>
  <c r="AB43" i="7"/>
  <c r="AC43" i="7"/>
  <c r="AD43" i="7"/>
  <c r="AE43" i="7"/>
  <c r="AF43" i="7"/>
  <c r="AG43" i="7"/>
  <c r="AH43" i="7"/>
  <c r="AI43" i="7"/>
  <c r="AK43" i="7"/>
  <c r="AL43" i="7"/>
  <c r="AM43" i="7"/>
  <c r="AN43" i="7"/>
  <c r="AO43" i="7"/>
  <c r="AP43" i="7"/>
  <c r="AQ43" i="7"/>
  <c r="AR43" i="7"/>
  <c r="AS43" i="7"/>
  <c r="BB43" i="7"/>
  <c r="BC43" i="7"/>
  <c r="BD43" i="7"/>
  <c r="BE43" i="7"/>
  <c r="BF43" i="7"/>
  <c r="BG43" i="7"/>
  <c r="BH43" i="7"/>
  <c r="BI43" i="7"/>
  <c r="BJ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AA44" i="7"/>
  <c r="AB44" i="7"/>
  <c r="AC44" i="7"/>
  <c r="AD44" i="7"/>
  <c r="AE44" i="7"/>
  <c r="AF44" i="7"/>
  <c r="AG44" i="7"/>
  <c r="AH44" i="7"/>
  <c r="AI44" i="7"/>
  <c r="AK44" i="7"/>
  <c r="AL44" i="7"/>
  <c r="AM44" i="7"/>
  <c r="AN44" i="7"/>
  <c r="AO44" i="7"/>
  <c r="AP44" i="7"/>
  <c r="AQ44" i="7"/>
  <c r="AR44" i="7"/>
  <c r="AS44" i="7"/>
  <c r="BB44" i="7"/>
  <c r="BC44" i="7"/>
  <c r="BD44" i="7"/>
  <c r="BE44" i="7"/>
  <c r="BF44" i="7"/>
  <c r="BG44" i="7"/>
  <c r="BH44" i="7"/>
  <c r="BI44" i="7"/>
  <c r="BJ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AA45" i="7"/>
  <c r="AB45" i="7"/>
  <c r="AC45" i="7"/>
  <c r="AD45" i="7"/>
  <c r="AE45" i="7"/>
  <c r="AF45" i="7"/>
  <c r="AG45" i="7"/>
  <c r="AH45" i="7"/>
  <c r="AI45" i="7"/>
  <c r="AK45" i="7"/>
  <c r="AL45" i="7"/>
  <c r="AM45" i="7"/>
  <c r="AN45" i="7"/>
  <c r="AO45" i="7"/>
  <c r="AP45" i="7"/>
  <c r="AQ45" i="7"/>
  <c r="AR45" i="7"/>
  <c r="AS45" i="7"/>
  <c r="BB45" i="7"/>
  <c r="BC45" i="7"/>
  <c r="BD45" i="7"/>
  <c r="BE45" i="7"/>
  <c r="BF45" i="7"/>
  <c r="BG45" i="7"/>
  <c r="BH45" i="7"/>
  <c r="BI45" i="7"/>
  <c r="BJ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AA46" i="7"/>
  <c r="AB46" i="7"/>
  <c r="AC46" i="7"/>
  <c r="AD46" i="7"/>
  <c r="AE46" i="7"/>
  <c r="AF46" i="7"/>
  <c r="AG46" i="7"/>
  <c r="AH46" i="7"/>
  <c r="AI46" i="7"/>
  <c r="AK46" i="7"/>
  <c r="AL46" i="7"/>
  <c r="AM46" i="7"/>
  <c r="AN46" i="7"/>
  <c r="AO46" i="7"/>
  <c r="AP46" i="7"/>
  <c r="AQ46" i="7"/>
  <c r="AR46" i="7"/>
  <c r="AS46" i="7"/>
  <c r="BB46" i="7"/>
  <c r="BC46" i="7"/>
  <c r="BD46" i="7"/>
  <c r="BE46" i="7"/>
  <c r="BF46" i="7"/>
  <c r="BG46" i="7"/>
  <c r="BH46" i="7"/>
  <c r="BI46" i="7"/>
  <c r="BJ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AA47" i="7"/>
  <c r="AB47" i="7"/>
  <c r="AC47" i="7"/>
  <c r="AD47" i="7"/>
  <c r="AE47" i="7"/>
  <c r="AF47" i="7"/>
  <c r="AG47" i="7"/>
  <c r="AH47" i="7"/>
  <c r="AI47" i="7"/>
  <c r="AK47" i="7"/>
  <c r="AL47" i="7"/>
  <c r="AM47" i="7"/>
  <c r="AN47" i="7"/>
  <c r="AO47" i="7"/>
  <c r="AP47" i="7"/>
  <c r="AQ47" i="7"/>
  <c r="AR47" i="7"/>
  <c r="AS47" i="7"/>
  <c r="BB47" i="7"/>
  <c r="BC47" i="7"/>
  <c r="BD47" i="7"/>
  <c r="BE47" i="7"/>
  <c r="BF47" i="7"/>
  <c r="BG47" i="7"/>
  <c r="BH47" i="7"/>
  <c r="BI47" i="7"/>
  <c r="BJ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AA48" i="7"/>
  <c r="AB48" i="7"/>
  <c r="AC48" i="7"/>
  <c r="AD48" i="7"/>
  <c r="AE48" i="7"/>
  <c r="AF48" i="7"/>
  <c r="AG48" i="7"/>
  <c r="AH48" i="7"/>
  <c r="AI48" i="7"/>
  <c r="AK48" i="7"/>
  <c r="AL48" i="7"/>
  <c r="AM48" i="7"/>
  <c r="AN48" i="7"/>
  <c r="AO48" i="7"/>
  <c r="AP48" i="7"/>
  <c r="AQ48" i="7"/>
  <c r="AR48" i="7"/>
  <c r="AS48" i="7"/>
  <c r="BB48" i="7"/>
  <c r="BC48" i="7"/>
  <c r="BD48" i="7"/>
  <c r="BE48" i="7"/>
  <c r="BF48" i="7"/>
  <c r="BG48" i="7"/>
  <c r="BH48" i="7"/>
  <c r="BI48" i="7"/>
  <c r="BJ48" i="7"/>
  <c r="BL48" i="7"/>
  <c r="BM48" i="7"/>
  <c r="BN48" i="7"/>
  <c r="BO48" i="7"/>
  <c r="BP48" i="7"/>
  <c r="BR48" i="7"/>
  <c r="BS48" i="7"/>
  <c r="BT48" i="7"/>
  <c r="BU48" i="7"/>
  <c r="BV48" i="7"/>
  <c r="BW48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AA49" i="7"/>
  <c r="AB49" i="7"/>
  <c r="AC49" i="7"/>
  <c r="AD49" i="7"/>
  <c r="AE49" i="7"/>
  <c r="AF49" i="7"/>
  <c r="AG49" i="7"/>
  <c r="AH49" i="7"/>
  <c r="AI49" i="7"/>
  <c r="AK49" i="7"/>
  <c r="AL49" i="7"/>
  <c r="AM49" i="7"/>
  <c r="AN49" i="7"/>
  <c r="AO49" i="7"/>
  <c r="AP49" i="7"/>
  <c r="AQ49" i="7"/>
  <c r="AR49" i="7"/>
  <c r="AS49" i="7"/>
  <c r="BB49" i="7"/>
  <c r="BC49" i="7"/>
  <c r="BD49" i="7"/>
  <c r="BE49" i="7"/>
  <c r="BF49" i="7"/>
  <c r="BG49" i="7"/>
  <c r="BH49" i="7"/>
  <c r="BI49" i="7"/>
  <c r="BJ49" i="7"/>
  <c r="BL49" i="7"/>
  <c r="BM49" i="7"/>
  <c r="BN49" i="7"/>
  <c r="BO49" i="7"/>
  <c r="BP49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AA50" i="7"/>
  <c r="AB50" i="7"/>
  <c r="AC50" i="7"/>
  <c r="AD50" i="7"/>
  <c r="AE50" i="7"/>
  <c r="AF50" i="7"/>
  <c r="AG50" i="7"/>
  <c r="AH50" i="7"/>
  <c r="AI50" i="7"/>
  <c r="AK50" i="7"/>
  <c r="AL50" i="7"/>
  <c r="AM50" i="7"/>
  <c r="AN50" i="7"/>
  <c r="AO50" i="7"/>
  <c r="AP50" i="7"/>
  <c r="AQ50" i="7"/>
  <c r="AR50" i="7"/>
  <c r="AS50" i="7"/>
  <c r="BB50" i="7"/>
  <c r="BC50" i="7"/>
  <c r="BD50" i="7"/>
  <c r="BE50" i="7"/>
  <c r="BF50" i="7"/>
  <c r="BG50" i="7"/>
  <c r="BH50" i="7"/>
  <c r="BI50" i="7"/>
  <c r="BJ50" i="7"/>
  <c r="BL50" i="7"/>
  <c r="BM50" i="7"/>
  <c r="BN50" i="7"/>
  <c r="BO50" i="7"/>
  <c r="BP50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AA51" i="7"/>
  <c r="AB51" i="7"/>
  <c r="AC51" i="7"/>
  <c r="AD51" i="7"/>
  <c r="AE51" i="7"/>
  <c r="AF51" i="7"/>
  <c r="AG51" i="7"/>
  <c r="AH51" i="7"/>
  <c r="AI51" i="7"/>
  <c r="AK51" i="7"/>
  <c r="AL51" i="7"/>
  <c r="AM51" i="7"/>
  <c r="AN51" i="7"/>
  <c r="AO51" i="7"/>
  <c r="AP51" i="7"/>
  <c r="AQ51" i="7"/>
  <c r="AR51" i="7"/>
  <c r="AS51" i="7"/>
  <c r="BB51" i="7"/>
  <c r="BC51" i="7"/>
  <c r="BD51" i="7"/>
  <c r="BE51" i="7"/>
  <c r="BF51" i="7"/>
  <c r="BG51" i="7"/>
  <c r="BH51" i="7"/>
  <c r="BI51" i="7"/>
  <c r="BJ51" i="7"/>
  <c r="BL51" i="7"/>
  <c r="BM51" i="7"/>
  <c r="BN51" i="7"/>
  <c r="BO51" i="7"/>
  <c r="BP51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AA52" i="7"/>
  <c r="AB52" i="7"/>
  <c r="AC52" i="7"/>
  <c r="AD52" i="7"/>
  <c r="AE52" i="7"/>
  <c r="AF52" i="7"/>
  <c r="AG52" i="7"/>
  <c r="AH52" i="7"/>
  <c r="AI52" i="7"/>
  <c r="AK52" i="7"/>
  <c r="AL52" i="7"/>
  <c r="AM52" i="7"/>
  <c r="AN52" i="7"/>
  <c r="AO52" i="7"/>
  <c r="AP52" i="7"/>
  <c r="AQ52" i="7"/>
  <c r="AR52" i="7"/>
  <c r="AS52" i="7"/>
  <c r="BB52" i="7"/>
  <c r="BC52" i="7"/>
  <c r="BD52" i="7"/>
  <c r="BE52" i="7"/>
  <c r="BF52" i="7"/>
  <c r="BG52" i="7"/>
  <c r="BH52" i="7"/>
  <c r="BI52" i="7"/>
  <c r="BJ52" i="7"/>
  <c r="BL52" i="7"/>
  <c r="BM52" i="7"/>
  <c r="BN52" i="7"/>
  <c r="BO52" i="7"/>
  <c r="BP52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AA53" i="7"/>
  <c r="AB53" i="7"/>
  <c r="AC53" i="7"/>
  <c r="AD53" i="7"/>
  <c r="AE53" i="7"/>
  <c r="AF53" i="7"/>
  <c r="AG53" i="7"/>
  <c r="AH53" i="7"/>
  <c r="AI53" i="7"/>
  <c r="AK53" i="7"/>
  <c r="AL53" i="7"/>
  <c r="AM53" i="7"/>
  <c r="AN53" i="7"/>
  <c r="AO53" i="7"/>
  <c r="AP53" i="7"/>
  <c r="AQ53" i="7"/>
  <c r="AR53" i="7"/>
  <c r="AS53" i="7"/>
  <c r="BB53" i="7"/>
  <c r="BC53" i="7"/>
  <c r="BD53" i="7"/>
  <c r="BE53" i="7"/>
  <c r="BF53" i="7"/>
  <c r="BG53" i="7"/>
  <c r="BH53" i="7"/>
  <c r="BI53" i="7"/>
  <c r="BJ53" i="7"/>
  <c r="BL53" i="7"/>
  <c r="BM53" i="7"/>
  <c r="BN53" i="7"/>
  <c r="BO53" i="7"/>
  <c r="BP53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AA54" i="7"/>
  <c r="AB54" i="7"/>
  <c r="AC54" i="7"/>
  <c r="AD54" i="7"/>
  <c r="AE54" i="7"/>
  <c r="AF54" i="7"/>
  <c r="AG54" i="7"/>
  <c r="AH54" i="7"/>
  <c r="AI54" i="7"/>
  <c r="AK54" i="7"/>
  <c r="AL54" i="7"/>
  <c r="AM54" i="7"/>
  <c r="AN54" i="7"/>
  <c r="AO54" i="7"/>
  <c r="AP54" i="7"/>
  <c r="AQ54" i="7"/>
  <c r="AR54" i="7"/>
  <c r="AS54" i="7"/>
  <c r="BB54" i="7"/>
  <c r="BC54" i="7"/>
  <c r="BD54" i="7"/>
  <c r="BE54" i="7"/>
  <c r="BF54" i="7"/>
  <c r="BG54" i="7"/>
  <c r="BH54" i="7"/>
  <c r="BI54" i="7"/>
  <c r="BJ54" i="7"/>
  <c r="BL54" i="7"/>
  <c r="BM54" i="7"/>
  <c r="BN54" i="7"/>
  <c r="BO54" i="7"/>
  <c r="BP54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AA55" i="7"/>
  <c r="AB55" i="7"/>
  <c r="AC55" i="7"/>
  <c r="AD55" i="7"/>
  <c r="AE55" i="7"/>
  <c r="AF55" i="7"/>
  <c r="AG55" i="7"/>
  <c r="AH55" i="7"/>
  <c r="AI55" i="7"/>
  <c r="AK55" i="7"/>
  <c r="AL55" i="7"/>
  <c r="AM55" i="7"/>
  <c r="AN55" i="7"/>
  <c r="AO55" i="7"/>
  <c r="AP55" i="7"/>
  <c r="AQ55" i="7"/>
  <c r="AR55" i="7"/>
  <c r="AS55" i="7"/>
  <c r="BB55" i="7"/>
  <c r="BC55" i="7"/>
  <c r="BD55" i="7"/>
  <c r="BE55" i="7"/>
  <c r="BF55" i="7"/>
  <c r="BG55" i="7"/>
  <c r="BH55" i="7"/>
  <c r="BI55" i="7"/>
  <c r="BJ55" i="7"/>
  <c r="BL55" i="7"/>
  <c r="BM55" i="7"/>
  <c r="BN55" i="7"/>
  <c r="BO55" i="7"/>
  <c r="BP55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AA56" i="7"/>
  <c r="AB56" i="7"/>
  <c r="AC56" i="7"/>
  <c r="AD56" i="7"/>
  <c r="AE56" i="7"/>
  <c r="AF56" i="7"/>
  <c r="AG56" i="7"/>
  <c r="AH56" i="7"/>
  <c r="AI56" i="7"/>
  <c r="AK56" i="7"/>
  <c r="AL56" i="7"/>
  <c r="AM56" i="7"/>
  <c r="AN56" i="7"/>
  <c r="AO56" i="7"/>
  <c r="AP56" i="7"/>
  <c r="AQ56" i="7"/>
  <c r="AR56" i="7"/>
  <c r="AS56" i="7"/>
  <c r="BB56" i="7"/>
  <c r="BC56" i="7"/>
  <c r="BD56" i="7"/>
  <c r="BE56" i="7"/>
  <c r="BF56" i="7"/>
  <c r="BG56" i="7"/>
  <c r="BH56" i="7"/>
  <c r="BI56" i="7"/>
  <c r="BJ56" i="7"/>
  <c r="BL56" i="7"/>
  <c r="BM56" i="7"/>
  <c r="BN56" i="7"/>
  <c r="BO56" i="7"/>
  <c r="BP56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AA57" i="7"/>
  <c r="AB57" i="7"/>
  <c r="AC57" i="7"/>
  <c r="AD57" i="7"/>
  <c r="AE57" i="7"/>
  <c r="AF57" i="7"/>
  <c r="AG57" i="7"/>
  <c r="AH57" i="7"/>
  <c r="AI57" i="7"/>
  <c r="AK57" i="7"/>
  <c r="AL57" i="7"/>
  <c r="AM57" i="7"/>
  <c r="AN57" i="7"/>
  <c r="AO57" i="7"/>
  <c r="AP57" i="7"/>
  <c r="AQ57" i="7"/>
  <c r="AR57" i="7"/>
  <c r="AS57" i="7"/>
  <c r="BB57" i="7"/>
  <c r="BC57" i="7"/>
  <c r="BD57" i="7"/>
  <c r="BE57" i="7"/>
  <c r="BF57" i="7"/>
  <c r="BG57" i="7"/>
  <c r="BH57" i="7"/>
  <c r="BI57" i="7"/>
  <c r="BJ57" i="7"/>
  <c r="BL57" i="7"/>
  <c r="BM57" i="7"/>
  <c r="BN57" i="7"/>
  <c r="BO57" i="7"/>
  <c r="BP57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AA58" i="7"/>
  <c r="AB58" i="7"/>
  <c r="AC58" i="7"/>
  <c r="AD58" i="7"/>
  <c r="AE58" i="7"/>
  <c r="AF58" i="7"/>
  <c r="AG58" i="7"/>
  <c r="AH58" i="7"/>
  <c r="AI58" i="7"/>
  <c r="AK58" i="7"/>
  <c r="AL58" i="7"/>
  <c r="AM58" i="7"/>
  <c r="AN58" i="7"/>
  <c r="AO58" i="7"/>
  <c r="AP58" i="7"/>
  <c r="AQ58" i="7"/>
  <c r="AR58" i="7"/>
  <c r="AS58" i="7"/>
  <c r="BB58" i="7"/>
  <c r="BC58" i="7"/>
  <c r="BD58" i="7"/>
  <c r="BE58" i="7"/>
  <c r="BF58" i="7"/>
  <c r="BG58" i="7"/>
  <c r="BH58" i="7"/>
  <c r="BI58" i="7"/>
  <c r="BJ58" i="7"/>
  <c r="BL58" i="7"/>
  <c r="BM58" i="7"/>
  <c r="BN58" i="7"/>
  <c r="BO58" i="7"/>
  <c r="BP58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AA59" i="7"/>
  <c r="AB59" i="7"/>
  <c r="AC59" i="7"/>
  <c r="AD59" i="7"/>
  <c r="AE59" i="7"/>
  <c r="AF59" i="7"/>
  <c r="AG59" i="7"/>
  <c r="AH59" i="7"/>
  <c r="AI59" i="7"/>
  <c r="AK59" i="7"/>
  <c r="AL59" i="7"/>
  <c r="AM59" i="7"/>
  <c r="AN59" i="7"/>
  <c r="AO59" i="7"/>
  <c r="AP59" i="7"/>
  <c r="AQ59" i="7"/>
  <c r="AR59" i="7"/>
  <c r="AS59" i="7"/>
  <c r="BB59" i="7"/>
  <c r="BC59" i="7"/>
  <c r="BD59" i="7"/>
  <c r="BE59" i="7"/>
  <c r="BF59" i="7"/>
  <c r="BG59" i="7"/>
  <c r="BH59" i="7"/>
  <c r="BI59" i="7"/>
  <c r="BJ59" i="7"/>
  <c r="BL59" i="7"/>
  <c r="BM59" i="7"/>
  <c r="BN59" i="7"/>
  <c r="BO59" i="7"/>
  <c r="BP59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AA60" i="7"/>
  <c r="AB60" i="7"/>
  <c r="AC60" i="7"/>
  <c r="AD60" i="7"/>
  <c r="AE60" i="7"/>
  <c r="AF60" i="7"/>
  <c r="AG60" i="7"/>
  <c r="AH60" i="7"/>
  <c r="AI60" i="7"/>
  <c r="AK60" i="7"/>
  <c r="AL60" i="7"/>
  <c r="AM60" i="7"/>
  <c r="AN60" i="7"/>
  <c r="AO60" i="7"/>
  <c r="AP60" i="7"/>
  <c r="AQ60" i="7"/>
  <c r="AR60" i="7"/>
  <c r="AS60" i="7"/>
  <c r="BB60" i="7"/>
  <c r="BC60" i="7"/>
  <c r="BD60" i="7"/>
  <c r="BE60" i="7"/>
  <c r="BF60" i="7"/>
  <c r="BG60" i="7"/>
  <c r="BH60" i="7"/>
  <c r="BI60" i="7"/>
  <c r="BJ60" i="7"/>
  <c r="BL60" i="7"/>
  <c r="BM60" i="7"/>
  <c r="BN60" i="7"/>
  <c r="BO60" i="7"/>
  <c r="BP60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AA61" i="7"/>
  <c r="AB61" i="7"/>
  <c r="AC61" i="7"/>
  <c r="AD61" i="7"/>
  <c r="AE61" i="7"/>
  <c r="AF61" i="7"/>
  <c r="AG61" i="7"/>
  <c r="AH61" i="7"/>
  <c r="AI61" i="7"/>
  <c r="AK61" i="7"/>
  <c r="AL61" i="7"/>
  <c r="AM61" i="7"/>
  <c r="AN61" i="7"/>
  <c r="AO61" i="7"/>
  <c r="AP61" i="7"/>
  <c r="AQ61" i="7"/>
  <c r="AR61" i="7"/>
  <c r="AS61" i="7"/>
  <c r="BB61" i="7"/>
  <c r="BC61" i="7"/>
  <c r="BD61" i="7"/>
  <c r="BE61" i="7"/>
  <c r="BF61" i="7"/>
  <c r="BG61" i="7"/>
  <c r="BH61" i="7"/>
  <c r="BI61" i="7"/>
  <c r="BJ61" i="7"/>
  <c r="BL61" i="7"/>
  <c r="BM61" i="7"/>
  <c r="BN61" i="7"/>
  <c r="BO61" i="7"/>
  <c r="BP61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AA62" i="7"/>
  <c r="AB62" i="7"/>
  <c r="AC62" i="7"/>
  <c r="AD62" i="7"/>
  <c r="AE62" i="7"/>
  <c r="AF62" i="7"/>
  <c r="AG62" i="7"/>
  <c r="AH62" i="7"/>
  <c r="AI62" i="7"/>
  <c r="AK62" i="7"/>
  <c r="AL62" i="7"/>
  <c r="AM62" i="7"/>
  <c r="AN62" i="7"/>
  <c r="AO62" i="7"/>
  <c r="AP62" i="7"/>
  <c r="AQ62" i="7"/>
  <c r="AR62" i="7"/>
  <c r="AS62" i="7"/>
  <c r="BB62" i="7"/>
  <c r="BC62" i="7"/>
  <c r="BD62" i="7"/>
  <c r="BE62" i="7"/>
  <c r="BF62" i="7"/>
  <c r="BG62" i="7"/>
  <c r="BH62" i="7"/>
  <c r="BI62" i="7"/>
  <c r="BJ62" i="7"/>
  <c r="BL62" i="7"/>
  <c r="BM62" i="7"/>
  <c r="BN62" i="7"/>
  <c r="BO62" i="7"/>
  <c r="BP62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AA63" i="7"/>
  <c r="AB63" i="7"/>
  <c r="AC63" i="7"/>
  <c r="AD63" i="7"/>
  <c r="AE63" i="7"/>
  <c r="AF63" i="7"/>
  <c r="AG63" i="7"/>
  <c r="AH63" i="7"/>
  <c r="AI63" i="7"/>
  <c r="AK63" i="7"/>
  <c r="AL63" i="7"/>
  <c r="AM63" i="7"/>
  <c r="AN63" i="7"/>
  <c r="AO63" i="7"/>
  <c r="AP63" i="7"/>
  <c r="AQ63" i="7"/>
  <c r="AR63" i="7"/>
  <c r="AS63" i="7"/>
  <c r="BB63" i="7"/>
  <c r="BC63" i="7"/>
  <c r="BD63" i="7"/>
  <c r="BE63" i="7"/>
  <c r="BF63" i="7"/>
  <c r="BG63" i="7"/>
  <c r="BH63" i="7"/>
  <c r="BI63" i="7"/>
  <c r="BJ63" i="7"/>
  <c r="BL63" i="7"/>
  <c r="BM63" i="7"/>
  <c r="BN63" i="7"/>
  <c r="BO63" i="7"/>
  <c r="BP63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AA64" i="7"/>
  <c r="AB64" i="7"/>
  <c r="AC64" i="7"/>
  <c r="AD64" i="7"/>
  <c r="AE64" i="7"/>
  <c r="AF64" i="7"/>
  <c r="AG64" i="7"/>
  <c r="AH64" i="7"/>
  <c r="AI64" i="7"/>
  <c r="AK64" i="7"/>
  <c r="AL64" i="7"/>
  <c r="AM64" i="7"/>
  <c r="AN64" i="7"/>
  <c r="AO64" i="7"/>
  <c r="AP64" i="7"/>
  <c r="AQ64" i="7"/>
  <c r="AR64" i="7"/>
  <c r="AS64" i="7"/>
  <c r="BB64" i="7"/>
  <c r="BC64" i="7"/>
  <c r="BD64" i="7"/>
  <c r="BE64" i="7"/>
  <c r="BF64" i="7"/>
  <c r="BG64" i="7"/>
  <c r="BH64" i="7"/>
  <c r="BI64" i="7"/>
  <c r="BJ64" i="7"/>
  <c r="BL64" i="7"/>
  <c r="BM64" i="7"/>
  <c r="BN64" i="7"/>
  <c r="BO64" i="7"/>
  <c r="BP64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AA65" i="7"/>
  <c r="AB65" i="7"/>
  <c r="AC65" i="7"/>
  <c r="AD65" i="7"/>
  <c r="AE65" i="7"/>
  <c r="AF65" i="7"/>
  <c r="AG65" i="7"/>
  <c r="AH65" i="7"/>
  <c r="AI65" i="7"/>
  <c r="AK65" i="7"/>
  <c r="AL65" i="7"/>
  <c r="AM65" i="7"/>
  <c r="AN65" i="7"/>
  <c r="AO65" i="7"/>
  <c r="AP65" i="7"/>
  <c r="AQ65" i="7"/>
  <c r="AR65" i="7"/>
  <c r="AS65" i="7"/>
  <c r="BB65" i="7"/>
  <c r="BC65" i="7"/>
  <c r="BD65" i="7"/>
  <c r="BE65" i="7"/>
  <c r="BF65" i="7"/>
  <c r="BG65" i="7"/>
  <c r="BH65" i="7"/>
  <c r="BI65" i="7"/>
  <c r="BJ65" i="7"/>
  <c r="BL65" i="7"/>
  <c r="BM65" i="7"/>
  <c r="BN65" i="7"/>
  <c r="BO65" i="7"/>
  <c r="BP65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AA66" i="7"/>
  <c r="AB66" i="7"/>
  <c r="AC66" i="7"/>
  <c r="AD66" i="7"/>
  <c r="AE66" i="7"/>
  <c r="AF66" i="7"/>
  <c r="AG66" i="7"/>
  <c r="AH66" i="7"/>
  <c r="AI66" i="7"/>
  <c r="AK66" i="7"/>
  <c r="AL66" i="7"/>
  <c r="AM66" i="7"/>
  <c r="AN66" i="7"/>
  <c r="AO66" i="7"/>
  <c r="AP66" i="7"/>
  <c r="AQ66" i="7"/>
  <c r="AR66" i="7"/>
  <c r="AS66" i="7"/>
  <c r="BB66" i="7"/>
  <c r="BC66" i="7"/>
  <c r="BD66" i="7"/>
  <c r="BE66" i="7"/>
  <c r="BF66" i="7"/>
  <c r="BG66" i="7"/>
  <c r="BH66" i="7"/>
  <c r="BI66" i="7"/>
  <c r="BJ66" i="7"/>
  <c r="BL66" i="7"/>
  <c r="BM66" i="7"/>
  <c r="BN66" i="7"/>
  <c r="BO66" i="7"/>
  <c r="BP66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AA67" i="7"/>
  <c r="AB67" i="7"/>
  <c r="AC67" i="7"/>
  <c r="AD67" i="7"/>
  <c r="AE67" i="7"/>
  <c r="AF67" i="7"/>
  <c r="AG67" i="7"/>
  <c r="AH67" i="7"/>
  <c r="AI67" i="7"/>
  <c r="AK67" i="7"/>
  <c r="AL67" i="7"/>
  <c r="AM67" i="7"/>
  <c r="AN67" i="7"/>
  <c r="AO67" i="7"/>
  <c r="AP67" i="7"/>
  <c r="AQ67" i="7"/>
  <c r="AR67" i="7"/>
  <c r="AS67" i="7"/>
  <c r="BB67" i="7"/>
  <c r="BC67" i="7"/>
  <c r="BD67" i="7"/>
  <c r="BE67" i="7"/>
  <c r="BF67" i="7"/>
  <c r="BG67" i="7"/>
  <c r="BH67" i="7"/>
  <c r="BI67" i="7"/>
  <c r="BJ67" i="7"/>
  <c r="BL67" i="7"/>
  <c r="BM67" i="7"/>
  <c r="BN67" i="7"/>
  <c r="BO67" i="7"/>
  <c r="BP67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AA68" i="7"/>
  <c r="AB68" i="7"/>
  <c r="AC68" i="7"/>
  <c r="AD68" i="7"/>
  <c r="AE68" i="7"/>
  <c r="AF68" i="7"/>
  <c r="AG68" i="7"/>
  <c r="AH68" i="7"/>
  <c r="AI68" i="7"/>
  <c r="AK68" i="7"/>
  <c r="AL68" i="7"/>
  <c r="AM68" i="7"/>
  <c r="AN68" i="7"/>
  <c r="AO68" i="7"/>
  <c r="AP68" i="7"/>
  <c r="AQ68" i="7"/>
  <c r="AR68" i="7"/>
  <c r="AS68" i="7"/>
  <c r="BB68" i="7"/>
  <c r="BC68" i="7"/>
  <c r="BD68" i="7"/>
  <c r="BE68" i="7"/>
  <c r="BF68" i="7"/>
  <c r="BG68" i="7"/>
  <c r="BH68" i="7"/>
  <c r="BI68" i="7"/>
  <c r="BJ68" i="7"/>
  <c r="BL68" i="7"/>
  <c r="BM68" i="7"/>
  <c r="BN68" i="7"/>
  <c r="BO68" i="7"/>
  <c r="BP68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AA69" i="7"/>
  <c r="AB69" i="7"/>
  <c r="AC69" i="7"/>
  <c r="AD69" i="7"/>
  <c r="AE69" i="7"/>
  <c r="AF69" i="7"/>
  <c r="AG69" i="7"/>
  <c r="AH69" i="7"/>
  <c r="AI69" i="7"/>
  <c r="AK69" i="7"/>
  <c r="AL69" i="7"/>
  <c r="AM69" i="7"/>
  <c r="AN69" i="7"/>
  <c r="AO69" i="7"/>
  <c r="AP69" i="7"/>
  <c r="AQ69" i="7"/>
  <c r="AR69" i="7"/>
  <c r="AS69" i="7"/>
  <c r="BB69" i="7"/>
  <c r="BC69" i="7"/>
  <c r="BD69" i="7"/>
  <c r="BE69" i="7"/>
  <c r="BF69" i="7"/>
  <c r="BG69" i="7"/>
  <c r="BH69" i="7"/>
  <c r="BI69" i="7"/>
  <c r="BJ69" i="7"/>
  <c r="BL69" i="7"/>
  <c r="BM69" i="7"/>
  <c r="BN69" i="7"/>
  <c r="BO69" i="7"/>
  <c r="BP69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AA70" i="7"/>
  <c r="AB70" i="7"/>
  <c r="AC70" i="7"/>
  <c r="AD70" i="7"/>
  <c r="AE70" i="7"/>
  <c r="AF70" i="7"/>
  <c r="AG70" i="7"/>
  <c r="AH70" i="7"/>
  <c r="AI70" i="7"/>
  <c r="AK70" i="7"/>
  <c r="AL70" i="7"/>
  <c r="AM70" i="7"/>
  <c r="AN70" i="7"/>
  <c r="AO70" i="7"/>
  <c r="AP70" i="7"/>
  <c r="AQ70" i="7"/>
  <c r="AR70" i="7"/>
  <c r="AS70" i="7"/>
  <c r="BB70" i="7"/>
  <c r="BC70" i="7"/>
  <c r="BD70" i="7"/>
  <c r="BE70" i="7"/>
  <c r="BF70" i="7"/>
  <c r="BG70" i="7"/>
  <c r="BH70" i="7"/>
  <c r="BI70" i="7"/>
  <c r="BJ70" i="7"/>
  <c r="BL70" i="7"/>
  <c r="BM70" i="7"/>
  <c r="BN70" i="7"/>
  <c r="BO70" i="7"/>
  <c r="BP70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AA71" i="7"/>
  <c r="AB71" i="7"/>
  <c r="AC71" i="7"/>
  <c r="AD71" i="7"/>
  <c r="AE71" i="7"/>
  <c r="AF71" i="7"/>
  <c r="AG71" i="7"/>
  <c r="AH71" i="7"/>
  <c r="AI71" i="7"/>
  <c r="AK71" i="7"/>
  <c r="AL71" i="7"/>
  <c r="AM71" i="7"/>
  <c r="AN71" i="7"/>
  <c r="AO71" i="7"/>
  <c r="AP71" i="7"/>
  <c r="AQ71" i="7"/>
  <c r="AR71" i="7"/>
  <c r="AS71" i="7"/>
  <c r="BB71" i="7"/>
  <c r="BC71" i="7"/>
  <c r="BD71" i="7"/>
  <c r="BE71" i="7"/>
  <c r="BF71" i="7"/>
  <c r="BG71" i="7"/>
  <c r="BH71" i="7"/>
  <c r="BI71" i="7"/>
  <c r="BJ71" i="7"/>
  <c r="BL71" i="7"/>
  <c r="BM71" i="7"/>
  <c r="BN71" i="7"/>
  <c r="BO71" i="7"/>
  <c r="BP71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AA72" i="7"/>
  <c r="AB72" i="7"/>
  <c r="AC72" i="7"/>
  <c r="AD72" i="7"/>
  <c r="AE72" i="7"/>
  <c r="AF72" i="7"/>
  <c r="AG72" i="7"/>
  <c r="AH72" i="7"/>
  <c r="AI72" i="7"/>
  <c r="AK72" i="7"/>
  <c r="AL72" i="7"/>
  <c r="AM72" i="7"/>
  <c r="AN72" i="7"/>
  <c r="AO72" i="7"/>
  <c r="AP72" i="7"/>
  <c r="AQ72" i="7"/>
  <c r="AR72" i="7"/>
  <c r="AS72" i="7"/>
  <c r="BB72" i="7"/>
  <c r="BC72" i="7"/>
  <c r="BD72" i="7"/>
  <c r="BE72" i="7"/>
  <c r="BF72" i="7"/>
  <c r="BG72" i="7"/>
  <c r="BH72" i="7"/>
  <c r="BI72" i="7"/>
  <c r="BJ72" i="7"/>
  <c r="BL72" i="7"/>
  <c r="BM72" i="7"/>
  <c r="BN72" i="7"/>
  <c r="BO72" i="7"/>
  <c r="BP72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AA73" i="7"/>
  <c r="AB73" i="7"/>
  <c r="AC73" i="7"/>
  <c r="AD73" i="7"/>
  <c r="AE73" i="7"/>
  <c r="AF73" i="7"/>
  <c r="AG73" i="7"/>
  <c r="AH73" i="7"/>
  <c r="AI73" i="7"/>
  <c r="AK73" i="7"/>
  <c r="AL73" i="7"/>
  <c r="AM73" i="7"/>
  <c r="AN73" i="7"/>
  <c r="AO73" i="7"/>
  <c r="AP73" i="7"/>
  <c r="AQ73" i="7"/>
  <c r="AR73" i="7"/>
  <c r="AS73" i="7"/>
  <c r="BB73" i="7"/>
  <c r="BC73" i="7"/>
  <c r="BD73" i="7"/>
  <c r="BE73" i="7"/>
  <c r="BF73" i="7"/>
  <c r="BG73" i="7"/>
  <c r="BH73" i="7"/>
  <c r="BI73" i="7"/>
  <c r="BJ73" i="7"/>
  <c r="BL73" i="7"/>
  <c r="BM73" i="7"/>
  <c r="BN73" i="7"/>
  <c r="BO73" i="7"/>
  <c r="BP73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AA74" i="7"/>
  <c r="AB74" i="7"/>
  <c r="AC74" i="7"/>
  <c r="AD74" i="7"/>
  <c r="AE74" i="7"/>
  <c r="AF74" i="7"/>
  <c r="AG74" i="7"/>
  <c r="AH74" i="7"/>
  <c r="AI74" i="7"/>
  <c r="AK74" i="7"/>
  <c r="AL74" i="7"/>
  <c r="AM74" i="7"/>
  <c r="AN74" i="7"/>
  <c r="AO74" i="7"/>
  <c r="AP74" i="7"/>
  <c r="AQ74" i="7"/>
  <c r="AR74" i="7"/>
  <c r="AS74" i="7"/>
  <c r="BB74" i="7"/>
  <c r="BC74" i="7"/>
  <c r="BD74" i="7"/>
  <c r="BE74" i="7"/>
  <c r="BF74" i="7"/>
  <c r="BG74" i="7"/>
  <c r="BH74" i="7"/>
  <c r="BI74" i="7"/>
  <c r="BJ74" i="7"/>
  <c r="BL74" i="7"/>
  <c r="BM74" i="7"/>
  <c r="BN74" i="7"/>
  <c r="BO74" i="7"/>
  <c r="BP74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AA75" i="7"/>
  <c r="AB75" i="7"/>
  <c r="AC75" i="7"/>
  <c r="AD75" i="7"/>
  <c r="AE75" i="7"/>
  <c r="AF75" i="7"/>
  <c r="AG75" i="7"/>
  <c r="AH75" i="7"/>
  <c r="AI75" i="7"/>
  <c r="AK75" i="7"/>
  <c r="AL75" i="7"/>
  <c r="AM75" i="7"/>
  <c r="AN75" i="7"/>
  <c r="AO75" i="7"/>
  <c r="AP75" i="7"/>
  <c r="AQ75" i="7"/>
  <c r="AR75" i="7"/>
  <c r="AS75" i="7"/>
  <c r="BB75" i="7"/>
  <c r="BC75" i="7"/>
  <c r="BD75" i="7"/>
  <c r="BE75" i="7"/>
  <c r="BF75" i="7"/>
  <c r="BG75" i="7"/>
  <c r="BH75" i="7"/>
  <c r="BI75" i="7"/>
  <c r="BJ75" i="7"/>
  <c r="BL75" i="7"/>
  <c r="BM75" i="7"/>
  <c r="BN75" i="7"/>
  <c r="BO75" i="7"/>
  <c r="BP75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AA76" i="7"/>
  <c r="AB76" i="7"/>
  <c r="AC76" i="7"/>
  <c r="AD76" i="7"/>
  <c r="AE76" i="7"/>
  <c r="AF76" i="7"/>
  <c r="AG76" i="7"/>
  <c r="AH76" i="7"/>
  <c r="AI76" i="7"/>
  <c r="AK76" i="7"/>
  <c r="AL76" i="7"/>
  <c r="AM76" i="7"/>
  <c r="AN76" i="7"/>
  <c r="AO76" i="7"/>
  <c r="AP76" i="7"/>
  <c r="AQ76" i="7"/>
  <c r="AR76" i="7"/>
  <c r="AS76" i="7"/>
  <c r="BB76" i="7"/>
  <c r="BC76" i="7"/>
  <c r="BD76" i="7"/>
  <c r="BE76" i="7"/>
  <c r="BF76" i="7"/>
  <c r="BG76" i="7"/>
  <c r="BH76" i="7"/>
  <c r="BI76" i="7"/>
  <c r="BJ76" i="7"/>
  <c r="BL76" i="7"/>
  <c r="BM76" i="7"/>
  <c r="BN76" i="7"/>
  <c r="BO76" i="7"/>
  <c r="BP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AA77" i="7"/>
  <c r="AB77" i="7"/>
  <c r="AC77" i="7"/>
  <c r="AD77" i="7"/>
  <c r="AE77" i="7"/>
  <c r="AF77" i="7"/>
  <c r="AG77" i="7"/>
  <c r="AH77" i="7"/>
  <c r="AI77" i="7"/>
  <c r="AK77" i="7"/>
  <c r="AL77" i="7"/>
  <c r="AM77" i="7"/>
  <c r="AN77" i="7"/>
  <c r="AO77" i="7"/>
  <c r="AP77" i="7"/>
  <c r="AQ77" i="7"/>
  <c r="AR77" i="7"/>
  <c r="AS77" i="7"/>
  <c r="BB77" i="7"/>
  <c r="BC77" i="7"/>
  <c r="BD77" i="7"/>
  <c r="BE77" i="7"/>
  <c r="BF77" i="7"/>
  <c r="BG77" i="7"/>
  <c r="BH77" i="7"/>
  <c r="BI77" i="7"/>
  <c r="BJ77" i="7"/>
  <c r="BL77" i="7"/>
  <c r="BM77" i="7"/>
  <c r="BN77" i="7"/>
  <c r="BO77" i="7"/>
  <c r="BP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AA78" i="7"/>
  <c r="AB78" i="7"/>
  <c r="AC78" i="7"/>
  <c r="AD78" i="7"/>
  <c r="AE78" i="7"/>
  <c r="AF78" i="7"/>
  <c r="AG78" i="7"/>
  <c r="AH78" i="7"/>
  <c r="AI78" i="7"/>
  <c r="AK78" i="7"/>
  <c r="AL78" i="7"/>
  <c r="AM78" i="7"/>
  <c r="AN78" i="7"/>
  <c r="AO78" i="7"/>
  <c r="AP78" i="7"/>
  <c r="AQ78" i="7"/>
  <c r="AR78" i="7"/>
  <c r="AS78" i="7"/>
  <c r="BB78" i="7"/>
  <c r="BC78" i="7"/>
  <c r="BD78" i="7"/>
  <c r="BE78" i="7"/>
  <c r="BF78" i="7"/>
  <c r="BG78" i="7"/>
  <c r="BH78" i="7"/>
  <c r="BI78" i="7"/>
  <c r="BJ78" i="7"/>
  <c r="BL78" i="7"/>
  <c r="BM78" i="7"/>
  <c r="BN78" i="7"/>
  <c r="BO78" i="7"/>
  <c r="BP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AA79" i="7"/>
  <c r="AB79" i="7"/>
  <c r="AC79" i="7"/>
  <c r="AD79" i="7"/>
  <c r="AE79" i="7"/>
  <c r="AF79" i="7"/>
  <c r="AG79" i="7"/>
  <c r="AH79" i="7"/>
  <c r="AI79" i="7"/>
  <c r="AK79" i="7"/>
  <c r="AL79" i="7"/>
  <c r="AM79" i="7"/>
  <c r="AN79" i="7"/>
  <c r="AO79" i="7"/>
  <c r="AP79" i="7"/>
  <c r="AQ79" i="7"/>
  <c r="AR79" i="7"/>
  <c r="AS79" i="7"/>
  <c r="BB79" i="7"/>
  <c r="BC79" i="7"/>
  <c r="BD79" i="7"/>
  <c r="BE79" i="7"/>
  <c r="BF79" i="7"/>
  <c r="BG79" i="7"/>
  <c r="BH79" i="7"/>
  <c r="BI79" i="7"/>
  <c r="BJ79" i="7"/>
  <c r="BL79" i="7"/>
  <c r="BM79" i="7"/>
  <c r="BN79" i="7"/>
  <c r="BO79" i="7"/>
  <c r="BP79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AA80" i="7"/>
  <c r="AB80" i="7"/>
  <c r="AC80" i="7"/>
  <c r="AD80" i="7"/>
  <c r="AE80" i="7"/>
  <c r="AF80" i="7"/>
  <c r="AG80" i="7"/>
  <c r="AH80" i="7"/>
  <c r="AI80" i="7"/>
  <c r="AK80" i="7"/>
  <c r="AL80" i="7"/>
  <c r="AM80" i="7"/>
  <c r="AN80" i="7"/>
  <c r="AO80" i="7"/>
  <c r="AP80" i="7"/>
  <c r="AQ80" i="7"/>
  <c r="AR80" i="7"/>
  <c r="AS80" i="7"/>
  <c r="BB80" i="7"/>
  <c r="BC80" i="7"/>
  <c r="BD80" i="7"/>
  <c r="BE80" i="7"/>
  <c r="BF80" i="7"/>
  <c r="BG80" i="7"/>
  <c r="BH80" i="7"/>
  <c r="BI80" i="7"/>
  <c r="BJ80" i="7"/>
  <c r="BL80" i="7"/>
  <c r="BM80" i="7"/>
  <c r="BN80" i="7"/>
  <c r="BO80" i="7"/>
  <c r="BP80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AA81" i="7"/>
  <c r="AB81" i="7"/>
  <c r="AC81" i="7"/>
  <c r="AD81" i="7"/>
  <c r="AE81" i="7"/>
  <c r="AF81" i="7"/>
  <c r="AG81" i="7"/>
  <c r="AH81" i="7"/>
  <c r="AI81" i="7"/>
  <c r="AK81" i="7"/>
  <c r="AL81" i="7"/>
  <c r="AM81" i="7"/>
  <c r="AN81" i="7"/>
  <c r="AO81" i="7"/>
  <c r="AP81" i="7"/>
  <c r="AQ81" i="7"/>
  <c r="AR81" i="7"/>
  <c r="AS81" i="7"/>
  <c r="BB81" i="7"/>
  <c r="BC81" i="7"/>
  <c r="BD81" i="7"/>
  <c r="BE81" i="7"/>
  <c r="BF81" i="7"/>
  <c r="BG81" i="7"/>
  <c r="BH81" i="7"/>
  <c r="BI81" i="7"/>
  <c r="BJ81" i="7"/>
  <c r="BL81" i="7"/>
  <c r="BM81" i="7"/>
  <c r="BN81" i="7"/>
  <c r="BO81" i="7"/>
  <c r="BP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AA82" i="7"/>
  <c r="AB82" i="7"/>
  <c r="AC82" i="7"/>
  <c r="AD82" i="7"/>
  <c r="AE82" i="7"/>
  <c r="AF82" i="7"/>
  <c r="AG82" i="7"/>
  <c r="AH82" i="7"/>
  <c r="AI82" i="7"/>
  <c r="AK82" i="7"/>
  <c r="AL82" i="7"/>
  <c r="AM82" i="7"/>
  <c r="AN82" i="7"/>
  <c r="AO82" i="7"/>
  <c r="AP82" i="7"/>
  <c r="AQ82" i="7"/>
  <c r="AR82" i="7"/>
  <c r="AS82" i="7"/>
  <c r="BB82" i="7"/>
  <c r="BC82" i="7"/>
  <c r="BD82" i="7"/>
  <c r="BE82" i="7"/>
  <c r="BF82" i="7"/>
  <c r="BG82" i="7"/>
  <c r="BH82" i="7"/>
  <c r="BI82" i="7"/>
  <c r="BJ82" i="7"/>
  <c r="BL82" i="7"/>
  <c r="BM82" i="7"/>
  <c r="BN82" i="7"/>
  <c r="BO82" i="7"/>
  <c r="BP82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AA83" i="7"/>
  <c r="AB83" i="7"/>
  <c r="AC83" i="7"/>
  <c r="AD83" i="7"/>
  <c r="AE83" i="7"/>
  <c r="AF83" i="7"/>
  <c r="AG83" i="7"/>
  <c r="AH83" i="7"/>
  <c r="AI83" i="7"/>
  <c r="AK83" i="7"/>
  <c r="AL83" i="7"/>
  <c r="AM83" i="7"/>
  <c r="AN83" i="7"/>
  <c r="AO83" i="7"/>
  <c r="AP83" i="7"/>
  <c r="AQ83" i="7"/>
  <c r="AR83" i="7"/>
  <c r="AS83" i="7"/>
  <c r="BB83" i="7"/>
  <c r="BC83" i="7"/>
  <c r="BD83" i="7"/>
  <c r="BE83" i="7"/>
  <c r="BF83" i="7"/>
  <c r="BG83" i="7"/>
  <c r="BH83" i="7"/>
  <c r="BI83" i="7"/>
  <c r="BJ83" i="7"/>
  <c r="BL83" i="7"/>
  <c r="BM83" i="7"/>
  <c r="BN83" i="7"/>
  <c r="BO83" i="7"/>
  <c r="BP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AA84" i="7"/>
  <c r="AB84" i="7"/>
  <c r="AC84" i="7"/>
  <c r="AD84" i="7"/>
  <c r="AE84" i="7"/>
  <c r="AF84" i="7"/>
  <c r="AG84" i="7"/>
  <c r="AH84" i="7"/>
  <c r="AI84" i="7"/>
  <c r="AK84" i="7"/>
  <c r="AL84" i="7"/>
  <c r="AM84" i="7"/>
  <c r="AN84" i="7"/>
  <c r="AO84" i="7"/>
  <c r="AP84" i="7"/>
  <c r="AQ84" i="7"/>
  <c r="AR84" i="7"/>
  <c r="AS84" i="7"/>
  <c r="BB84" i="7"/>
  <c r="BC84" i="7"/>
  <c r="BD84" i="7"/>
  <c r="BE84" i="7"/>
  <c r="BF84" i="7"/>
  <c r="BG84" i="7"/>
  <c r="BH84" i="7"/>
  <c r="BI84" i="7"/>
  <c r="BJ84" i="7"/>
  <c r="BL84" i="7"/>
  <c r="BM84" i="7"/>
  <c r="BN84" i="7"/>
  <c r="BO84" i="7"/>
  <c r="BP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AA85" i="7"/>
  <c r="AB85" i="7"/>
  <c r="AC85" i="7"/>
  <c r="AD85" i="7"/>
  <c r="AE85" i="7"/>
  <c r="AF85" i="7"/>
  <c r="AG85" i="7"/>
  <c r="AH85" i="7"/>
  <c r="AI85" i="7"/>
  <c r="AK85" i="7"/>
  <c r="AL85" i="7"/>
  <c r="AM85" i="7"/>
  <c r="AN85" i="7"/>
  <c r="AO85" i="7"/>
  <c r="AP85" i="7"/>
  <c r="AQ85" i="7"/>
  <c r="AR85" i="7"/>
  <c r="AS85" i="7"/>
  <c r="BB85" i="7"/>
  <c r="BC85" i="7"/>
  <c r="BD85" i="7"/>
  <c r="BE85" i="7"/>
  <c r="BF85" i="7"/>
  <c r="BG85" i="7"/>
  <c r="BH85" i="7"/>
  <c r="BI85" i="7"/>
  <c r="BJ85" i="7"/>
  <c r="BL85" i="7"/>
  <c r="BM85" i="7"/>
  <c r="BN85" i="7"/>
  <c r="BO85" i="7"/>
  <c r="BP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AA86" i="7"/>
  <c r="AB86" i="7"/>
  <c r="AC86" i="7"/>
  <c r="AD86" i="7"/>
  <c r="AE86" i="7"/>
  <c r="AF86" i="7"/>
  <c r="AG86" i="7"/>
  <c r="AH86" i="7"/>
  <c r="AI86" i="7"/>
  <c r="AK86" i="7"/>
  <c r="AL86" i="7"/>
  <c r="AM86" i="7"/>
  <c r="AN86" i="7"/>
  <c r="AO86" i="7"/>
  <c r="AP86" i="7"/>
  <c r="AQ86" i="7"/>
  <c r="AR86" i="7"/>
  <c r="AS86" i="7"/>
  <c r="BB86" i="7"/>
  <c r="BC86" i="7"/>
  <c r="BD86" i="7"/>
  <c r="BE86" i="7"/>
  <c r="BF86" i="7"/>
  <c r="BG86" i="7"/>
  <c r="BH86" i="7"/>
  <c r="BI86" i="7"/>
  <c r="BJ86" i="7"/>
  <c r="BL86" i="7"/>
  <c r="BM86" i="7"/>
  <c r="BN86" i="7"/>
  <c r="BO86" i="7"/>
  <c r="BP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AA87" i="7"/>
  <c r="AB87" i="7"/>
  <c r="AC87" i="7"/>
  <c r="AD87" i="7"/>
  <c r="AE87" i="7"/>
  <c r="AF87" i="7"/>
  <c r="AG87" i="7"/>
  <c r="AH87" i="7"/>
  <c r="AI87" i="7"/>
  <c r="AK87" i="7"/>
  <c r="AL87" i="7"/>
  <c r="AM87" i="7"/>
  <c r="AN87" i="7"/>
  <c r="AO87" i="7"/>
  <c r="AP87" i="7"/>
  <c r="AQ87" i="7"/>
  <c r="AR87" i="7"/>
  <c r="AS87" i="7"/>
  <c r="BB87" i="7"/>
  <c r="BC87" i="7"/>
  <c r="BD87" i="7"/>
  <c r="BE87" i="7"/>
  <c r="BF87" i="7"/>
  <c r="BG87" i="7"/>
  <c r="BH87" i="7"/>
  <c r="BI87" i="7"/>
  <c r="BJ87" i="7"/>
  <c r="BL87" i="7"/>
  <c r="BM87" i="7"/>
  <c r="BN87" i="7"/>
  <c r="BO87" i="7"/>
  <c r="BP87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AA88" i="7"/>
  <c r="AB88" i="7"/>
  <c r="AC88" i="7"/>
  <c r="AD88" i="7"/>
  <c r="AE88" i="7"/>
  <c r="AF88" i="7"/>
  <c r="AG88" i="7"/>
  <c r="AH88" i="7"/>
  <c r="AI88" i="7"/>
  <c r="AK88" i="7"/>
  <c r="AL88" i="7"/>
  <c r="AM88" i="7"/>
  <c r="AN88" i="7"/>
  <c r="AO88" i="7"/>
  <c r="AP88" i="7"/>
  <c r="AQ88" i="7"/>
  <c r="AR88" i="7"/>
  <c r="AS88" i="7"/>
  <c r="BB88" i="7"/>
  <c r="BC88" i="7"/>
  <c r="BD88" i="7"/>
  <c r="BE88" i="7"/>
  <c r="BF88" i="7"/>
  <c r="BG88" i="7"/>
  <c r="BH88" i="7"/>
  <c r="BI88" i="7"/>
  <c r="BJ88" i="7"/>
  <c r="BL88" i="7"/>
  <c r="BM88" i="7"/>
  <c r="BN88" i="7"/>
  <c r="BO88" i="7"/>
  <c r="BP88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AA89" i="7"/>
  <c r="AB89" i="7"/>
  <c r="AC89" i="7"/>
  <c r="AD89" i="7"/>
  <c r="AE89" i="7"/>
  <c r="AF89" i="7"/>
  <c r="AG89" i="7"/>
  <c r="AH89" i="7"/>
  <c r="AI89" i="7"/>
  <c r="AK89" i="7"/>
  <c r="AL89" i="7"/>
  <c r="AM89" i="7"/>
  <c r="AN89" i="7"/>
  <c r="AO89" i="7"/>
  <c r="AP89" i="7"/>
  <c r="AQ89" i="7"/>
  <c r="AR89" i="7"/>
  <c r="AS89" i="7"/>
  <c r="BB89" i="7"/>
  <c r="BC89" i="7"/>
  <c r="BD89" i="7"/>
  <c r="BE89" i="7"/>
  <c r="BF89" i="7"/>
  <c r="BG89" i="7"/>
  <c r="BH89" i="7"/>
  <c r="BI89" i="7"/>
  <c r="BJ89" i="7"/>
  <c r="BL89" i="7"/>
  <c r="BM89" i="7"/>
  <c r="BN89" i="7"/>
  <c r="BO89" i="7"/>
  <c r="BP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AA90" i="7"/>
  <c r="AB90" i="7"/>
  <c r="AC90" i="7"/>
  <c r="AD90" i="7"/>
  <c r="AE90" i="7"/>
  <c r="AF90" i="7"/>
  <c r="AG90" i="7"/>
  <c r="AH90" i="7"/>
  <c r="AI90" i="7"/>
  <c r="AK90" i="7"/>
  <c r="AL90" i="7"/>
  <c r="AM90" i="7"/>
  <c r="AN90" i="7"/>
  <c r="AO90" i="7"/>
  <c r="AP90" i="7"/>
  <c r="AQ90" i="7"/>
  <c r="AR90" i="7"/>
  <c r="AS90" i="7"/>
  <c r="BB90" i="7"/>
  <c r="BC90" i="7"/>
  <c r="BD90" i="7"/>
  <c r="BE90" i="7"/>
  <c r="BF90" i="7"/>
  <c r="BG90" i="7"/>
  <c r="BH90" i="7"/>
  <c r="BI90" i="7"/>
  <c r="BJ90" i="7"/>
  <c r="BL90" i="7"/>
  <c r="BM90" i="7"/>
  <c r="BN90" i="7"/>
  <c r="BO90" i="7"/>
  <c r="BP90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AA91" i="7"/>
  <c r="AB91" i="7"/>
  <c r="AC91" i="7"/>
  <c r="AD91" i="7"/>
  <c r="AE91" i="7"/>
  <c r="AF91" i="7"/>
  <c r="AG91" i="7"/>
  <c r="AH91" i="7"/>
  <c r="AI91" i="7"/>
  <c r="AK91" i="7"/>
  <c r="AL91" i="7"/>
  <c r="AM91" i="7"/>
  <c r="AN91" i="7"/>
  <c r="AO91" i="7"/>
  <c r="AP91" i="7"/>
  <c r="AQ91" i="7"/>
  <c r="AR91" i="7"/>
  <c r="AS91" i="7"/>
  <c r="BB91" i="7"/>
  <c r="BC91" i="7"/>
  <c r="BD91" i="7"/>
  <c r="BE91" i="7"/>
  <c r="BF91" i="7"/>
  <c r="BG91" i="7"/>
  <c r="BH91" i="7"/>
  <c r="BI91" i="7"/>
  <c r="BJ91" i="7"/>
  <c r="BL91" i="7"/>
  <c r="BM91" i="7"/>
  <c r="BN91" i="7"/>
  <c r="BO91" i="7"/>
  <c r="BP91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AA92" i="7"/>
  <c r="AB92" i="7"/>
  <c r="AC92" i="7"/>
  <c r="AD92" i="7"/>
  <c r="AE92" i="7"/>
  <c r="AF92" i="7"/>
  <c r="AG92" i="7"/>
  <c r="AH92" i="7"/>
  <c r="AI92" i="7"/>
  <c r="AK92" i="7"/>
  <c r="AL92" i="7"/>
  <c r="AM92" i="7"/>
  <c r="AN92" i="7"/>
  <c r="AO92" i="7"/>
  <c r="AP92" i="7"/>
  <c r="AQ92" i="7"/>
  <c r="AR92" i="7"/>
  <c r="AS92" i="7"/>
  <c r="BB92" i="7"/>
  <c r="BC92" i="7"/>
  <c r="BD92" i="7"/>
  <c r="BE92" i="7"/>
  <c r="BF92" i="7"/>
  <c r="BG92" i="7"/>
  <c r="BH92" i="7"/>
  <c r="BI92" i="7"/>
  <c r="BJ92" i="7"/>
  <c r="BL92" i="7"/>
  <c r="BM92" i="7"/>
  <c r="BN92" i="7"/>
  <c r="BO92" i="7"/>
  <c r="BP92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AA93" i="7"/>
  <c r="AB93" i="7"/>
  <c r="AC93" i="7"/>
  <c r="AD93" i="7"/>
  <c r="AE93" i="7"/>
  <c r="AF93" i="7"/>
  <c r="AG93" i="7"/>
  <c r="AH93" i="7"/>
  <c r="AI93" i="7"/>
  <c r="AK93" i="7"/>
  <c r="AL93" i="7"/>
  <c r="AM93" i="7"/>
  <c r="AN93" i="7"/>
  <c r="AO93" i="7"/>
  <c r="AP93" i="7"/>
  <c r="AQ93" i="7"/>
  <c r="AR93" i="7"/>
  <c r="AS93" i="7"/>
  <c r="BB93" i="7"/>
  <c r="BC93" i="7"/>
  <c r="BD93" i="7"/>
  <c r="BE93" i="7"/>
  <c r="BF93" i="7"/>
  <c r="BG93" i="7"/>
  <c r="BH93" i="7"/>
  <c r="BI93" i="7"/>
  <c r="BJ93" i="7"/>
  <c r="BL93" i="7"/>
  <c r="BM93" i="7"/>
  <c r="BN93" i="7"/>
  <c r="BO93" i="7"/>
  <c r="BP93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AA94" i="7"/>
  <c r="AB94" i="7"/>
  <c r="AC94" i="7"/>
  <c r="AD94" i="7"/>
  <c r="AE94" i="7"/>
  <c r="AF94" i="7"/>
  <c r="AG94" i="7"/>
  <c r="AH94" i="7"/>
  <c r="AI94" i="7"/>
  <c r="AK94" i="7"/>
  <c r="AL94" i="7"/>
  <c r="AM94" i="7"/>
  <c r="AN94" i="7"/>
  <c r="AO94" i="7"/>
  <c r="AP94" i="7"/>
  <c r="AQ94" i="7"/>
  <c r="AR94" i="7"/>
  <c r="AS94" i="7"/>
  <c r="BB94" i="7"/>
  <c r="BC94" i="7"/>
  <c r="BD94" i="7"/>
  <c r="BE94" i="7"/>
  <c r="BF94" i="7"/>
  <c r="BG94" i="7"/>
  <c r="BH94" i="7"/>
  <c r="BI94" i="7"/>
  <c r="BJ94" i="7"/>
  <c r="BL94" i="7"/>
  <c r="BM94" i="7"/>
  <c r="BN94" i="7"/>
  <c r="BO94" i="7"/>
  <c r="BP94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AA95" i="7"/>
  <c r="AB95" i="7"/>
  <c r="AC95" i="7"/>
  <c r="AD95" i="7"/>
  <c r="AE95" i="7"/>
  <c r="AF95" i="7"/>
  <c r="AG95" i="7"/>
  <c r="AH95" i="7"/>
  <c r="AI95" i="7"/>
  <c r="AK95" i="7"/>
  <c r="AL95" i="7"/>
  <c r="AM95" i="7"/>
  <c r="AN95" i="7"/>
  <c r="AO95" i="7"/>
  <c r="AP95" i="7"/>
  <c r="AQ95" i="7"/>
  <c r="AR95" i="7"/>
  <c r="AS95" i="7"/>
  <c r="BB95" i="7"/>
  <c r="BC95" i="7"/>
  <c r="BD95" i="7"/>
  <c r="BE95" i="7"/>
  <c r="BF95" i="7"/>
  <c r="BG95" i="7"/>
  <c r="BH95" i="7"/>
  <c r="BI95" i="7"/>
  <c r="BJ95" i="7"/>
  <c r="BL95" i="7"/>
  <c r="BM95" i="7"/>
  <c r="BN95" i="7"/>
  <c r="BO95" i="7"/>
  <c r="BP95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AA96" i="7"/>
  <c r="AB96" i="7"/>
  <c r="AC96" i="7"/>
  <c r="AD96" i="7"/>
  <c r="AE96" i="7"/>
  <c r="AF96" i="7"/>
  <c r="AG96" i="7"/>
  <c r="AH96" i="7"/>
  <c r="AI96" i="7"/>
  <c r="AK96" i="7"/>
  <c r="AL96" i="7"/>
  <c r="AM96" i="7"/>
  <c r="AN96" i="7"/>
  <c r="AO96" i="7"/>
  <c r="AP96" i="7"/>
  <c r="AQ96" i="7"/>
  <c r="AR96" i="7"/>
  <c r="AS96" i="7"/>
  <c r="BB96" i="7"/>
  <c r="BC96" i="7"/>
  <c r="BD96" i="7"/>
  <c r="BE96" i="7"/>
  <c r="BF96" i="7"/>
  <c r="BG96" i="7"/>
  <c r="BH96" i="7"/>
  <c r="BI96" i="7"/>
  <c r="BJ96" i="7"/>
  <c r="BL96" i="7"/>
  <c r="BM96" i="7"/>
  <c r="BN96" i="7"/>
  <c r="BO96" i="7"/>
  <c r="BP96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AA97" i="7"/>
  <c r="AB97" i="7"/>
  <c r="AC97" i="7"/>
  <c r="AD97" i="7"/>
  <c r="AE97" i="7"/>
  <c r="AF97" i="7"/>
  <c r="AG97" i="7"/>
  <c r="AH97" i="7"/>
  <c r="AI97" i="7"/>
  <c r="AK97" i="7"/>
  <c r="AL97" i="7"/>
  <c r="AM97" i="7"/>
  <c r="AN97" i="7"/>
  <c r="AO97" i="7"/>
  <c r="AP97" i="7"/>
  <c r="AQ97" i="7"/>
  <c r="AR97" i="7"/>
  <c r="AS97" i="7"/>
  <c r="BB97" i="7"/>
  <c r="BC97" i="7"/>
  <c r="BD97" i="7"/>
  <c r="BE97" i="7"/>
  <c r="BF97" i="7"/>
  <c r="BG97" i="7"/>
  <c r="BH97" i="7"/>
  <c r="BI97" i="7"/>
  <c r="BJ97" i="7"/>
  <c r="BL97" i="7"/>
  <c r="BM97" i="7"/>
  <c r="BN97" i="7"/>
  <c r="BO97" i="7"/>
  <c r="BP97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AA98" i="7"/>
  <c r="AB98" i="7"/>
  <c r="AC98" i="7"/>
  <c r="AD98" i="7"/>
  <c r="AE98" i="7"/>
  <c r="AF98" i="7"/>
  <c r="AG98" i="7"/>
  <c r="AH98" i="7"/>
  <c r="AI98" i="7"/>
  <c r="AK98" i="7"/>
  <c r="AL98" i="7"/>
  <c r="AM98" i="7"/>
  <c r="AN98" i="7"/>
  <c r="AO98" i="7"/>
  <c r="AP98" i="7"/>
  <c r="AQ98" i="7"/>
  <c r="AR98" i="7"/>
  <c r="AS98" i="7"/>
  <c r="BB98" i="7"/>
  <c r="BC98" i="7"/>
  <c r="BD98" i="7"/>
  <c r="BE98" i="7"/>
  <c r="BF98" i="7"/>
  <c r="BG98" i="7"/>
  <c r="BH98" i="7"/>
  <c r="BI98" i="7"/>
  <c r="BJ98" i="7"/>
  <c r="BL98" i="7"/>
  <c r="BM98" i="7"/>
  <c r="BN98" i="7"/>
  <c r="BO98" i="7"/>
  <c r="BP98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AA99" i="7"/>
  <c r="AB99" i="7"/>
  <c r="AC99" i="7"/>
  <c r="AD99" i="7"/>
  <c r="AE99" i="7"/>
  <c r="AF99" i="7"/>
  <c r="AG99" i="7"/>
  <c r="AH99" i="7"/>
  <c r="AI99" i="7"/>
  <c r="AK99" i="7"/>
  <c r="AL99" i="7"/>
  <c r="AM99" i="7"/>
  <c r="AN99" i="7"/>
  <c r="AO99" i="7"/>
  <c r="AP99" i="7"/>
  <c r="AQ99" i="7"/>
  <c r="AR99" i="7"/>
  <c r="AS99" i="7"/>
  <c r="BB99" i="7"/>
  <c r="BC99" i="7"/>
  <c r="BD99" i="7"/>
  <c r="BE99" i="7"/>
  <c r="BF99" i="7"/>
  <c r="BG99" i="7"/>
  <c r="BH99" i="7"/>
  <c r="BI99" i="7"/>
  <c r="BJ99" i="7"/>
  <c r="BL99" i="7"/>
  <c r="BM99" i="7"/>
  <c r="BN99" i="7"/>
  <c r="BO99" i="7"/>
  <c r="BP99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AA100" i="7"/>
  <c r="AB100" i="7"/>
  <c r="AC100" i="7"/>
  <c r="AD100" i="7"/>
  <c r="AE100" i="7"/>
  <c r="AF100" i="7"/>
  <c r="AG100" i="7"/>
  <c r="AH100" i="7"/>
  <c r="AI100" i="7"/>
  <c r="AK100" i="7"/>
  <c r="AL100" i="7"/>
  <c r="AM100" i="7"/>
  <c r="AN100" i="7"/>
  <c r="AO100" i="7"/>
  <c r="AP100" i="7"/>
  <c r="AQ100" i="7"/>
  <c r="AR100" i="7"/>
  <c r="AS100" i="7"/>
  <c r="BB100" i="7"/>
  <c r="BC100" i="7"/>
  <c r="BD100" i="7"/>
  <c r="BE100" i="7"/>
  <c r="BF100" i="7"/>
  <c r="BG100" i="7"/>
  <c r="BH100" i="7"/>
  <c r="BI100" i="7"/>
  <c r="BJ100" i="7"/>
  <c r="BL100" i="7"/>
  <c r="BM100" i="7"/>
  <c r="BN100" i="7"/>
  <c r="BO100" i="7"/>
  <c r="BP100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AA101" i="7"/>
  <c r="AB101" i="7"/>
  <c r="AC101" i="7"/>
  <c r="AD101" i="7"/>
  <c r="AE101" i="7"/>
  <c r="AF101" i="7"/>
  <c r="AG101" i="7"/>
  <c r="AH101" i="7"/>
  <c r="AI101" i="7"/>
  <c r="AK101" i="7"/>
  <c r="AL101" i="7"/>
  <c r="AM101" i="7"/>
  <c r="AN101" i="7"/>
  <c r="AO101" i="7"/>
  <c r="AP101" i="7"/>
  <c r="AQ101" i="7"/>
  <c r="AR101" i="7"/>
  <c r="AS101" i="7"/>
  <c r="BB101" i="7"/>
  <c r="BC101" i="7"/>
  <c r="BD101" i="7"/>
  <c r="BE101" i="7"/>
  <c r="BF101" i="7"/>
  <c r="BG101" i="7"/>
  <c r="BH101" i="7"/>
  <c r="BI101" i="7"/>
  <c r="BJ101" i="7"/>
  <c r="BL101" i="7"/>
  <c r="BM101" i="7"/>
  <c r="BN101" i="7"/>
  <c r="BO101" i="7"/>
  <c r="BP101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AA102" i="7"/>
  <c r="AB102" i="7"/>
  <c r="AC102" i="7"/>
  <c r="AD102" i="7"/>
  <c r="AE102" i="7"/>
  <c r="AF102" i="7"/>
  <c r="AG102" i="7"/>
  <c r="AH102" i="7"/>
  <c r="AI102" i="7"/>
  <c r="AK102" i="7"/>
  <c r="AL102" i="7"/>
  <c r="AM102" i="7"/>
  <c r="AN102" i="7"/>
  <c r="AO102" i="7"/>
  <c r="AP102" i="7"/>
  <c r="AQ102" i="7"/>
  <c r="AR102" i="7"/>
  <c r="AS102" i="7"/>
  <c r="BB102" i="7"/>
  <c r="BC102" i="7"/>
  <c r="BD102" i="7"/>
  <c r="BE102" i="7"/>
  <c r="BF102" i="7"/>
  <c r="BG102" i="7"/>
  <c r="BH102" i="7"/>
  <c r="BI102" i="7"/>
  <c r="BJ102" i="7"/>
  <c r="BL102" i="7"/>
  <c r="BM102" i="7"/>
  <c r="BN102" i="7"/>
  <c r="BO102" i="7"/>
  <c r="BP102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AA103" i="7"/>
  <c r="AB103" i="7"/>
  <c r="AC103" i="7"/>
  <c r="AD103" i="7"/>
  <c r="AE103" i="7"/>
  <c r="AF103" i="7"/>
  <c r="AG103" i="7"/>
  <c r="AH103" i="7"/>
  <c r="AI103" i="7"/>
  <c r="AK103" i="7"/>
  <c r="AL103" i="7"/>
  <c r="AM103" i="7"/>
  <c r="AN103" i="7"/>
  <c r="AO103" i="7"/>
  <c r="AP103" i="7"/>
  <c r="AQ103" i="7"/>
  <c r="AR103" i="7"/>
  <c r="AS103" i="7"/>
  <c r="BB103" i="7"/>
  <c r="BC103" i="7"/>
  <c r="BD103" i="7"/>
  <c r="BE103" i="7"/>
  <c r="BF103" i="7"/>
  <c r="BG103" i="7"/>
  <c r="BH103" i="7"/>
  <c r="BI103" i="7"/>
  <c r="BJ103" i="7"/>
  <c r="BL103" i="7"/>
  <c r="BM103" i="7"/>
  <c r="BN103" i="7"/>
  <c r="BO103" i="7"/>
  <c r="BP103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AA104" i="7"/>
  <c r="AB104" i="7"/>
  <c r="AC104" i="7"/>
  <c r="AD104" i="7"/>
  <c r="AE104" i="7"/>
  <c r="AF104" i="7"/>
  <c r="AG104" i="7"/>
  <c r="AH104" i="7"/>
  <c r="AI104" i="7"/>
  <c r="AK104" i="7"/>
  <c r="AL104" i="7"/>
  <c r="AM104" i="7"/>
  <c r="AN104" i="7"/>
  <c r="AO104" i="7"/>
  <c r="AP104" i="7"/>
  <c r="AQ104" i="7"/>
  <c r="AR104" i="7"/>
  <c r="AS104" i="7"/>
  <c r="BB104" i="7"/>
  <c r="BC104" i="7"/>
  <c r="BD104" i="7"/>
  <c r="BE104" i="7"/>
  <c r="BF104" i="7"/>
  <c r="BG104" i="7"/>
  <c r="BH104" i="7"/>
  <c r="BI104" i="7"/>
  <c r="BJ104" i="7"/>
  <c r="BL104" i="7"/>
  <c r="BM104" i="7"/>
  <c r="BN104" i="7"/>
  <c r="BO104" i="7"/>
  <c r="BP104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AA105" i="7"/>
  <c r="AB105" i="7"/>
  <c r="AC105" i="7"/>
  <c r="AD105" i="7"/>
  <c r="AE105" i="7"/>
  <c r="AF105" i="7"/>
  <c r="AG105" i="7"/>
  <c r="AH105" i="7"/>
  <c r="AI105" i="7"/>
  <c r="AK105" i="7"/>
  <c r="AL105" i="7"/>
  <c r="AM105" i="7"/>
  <c r="AN105" i="7"/>
  <c r="AO105" i="7"/>
  <c r="AP105" i="7"/>
  <c r="AQ105" i="7"/>
  <c r="AR105" i="7"/>
  <c r="AS105" i="7"/>
  <c r="BB105" i="7"/>
  <c r="BC105" i="7"/>
  <c r="BD105" i="7"/>
  <c r="BE105" i="7"/>
  <c r="BF105" i="7"/>
  <c r="BG105" i="7"/>
  <c r="BH105" i="7"/>
  <c r="BI105" i="7"/>
  <c r="BJ105" i="7"/>
  <c r="BL105" i="7"/>
  <c r="BM105" i="7"/>
  <c r="BN105" i="7"/>
  <c r="BO105" i="7"/>
  <c r="BP105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AA106" i="7"/>
  <c r="AB106" i="7"/>
  <c r="AC106" i="7"/>
  <c r="AD106" i="7"/>
  <c r="AE106" i="7"/>
  <c r="AF106" i="7"/>
  <c r="AG106" i="7"/>
  <c r="AH106" i="7"/>
  <c r="AI106" i="7"/>
  <c r="AK106" i="7"/>
  <c r="AL106" i="7"/>
  <c r="AM106" i="7"/>
  <c r="AN106" i="7"/>
  <c r="AO106" i="7"/>
  <c r="AP106" i="7"/>
  <c r="AQ106" i="7"/>
  <c r="AR106" i="7"/>
  <c r="AS106" i="7"/>
  <c r="BB106" i="7"/>
  <c r="BC106" i="7"/>
  <c r="BD106" i="7"/>
  <c r="BE106" i="7"/>
  <c r="BF106" i="7"/>
  <c r="BG106" i="7"/>
  <c r="BH106" i="7"/>
  <c r="BI106" i="7"/>
  <c r="BJ106" i="7"/>
  <c r="BL106" i="7"/>
  <c r="BM106" i="7"/>
  <c r="BN106" i="7"/>
  <c r="BO106" i="7"/>
  <c r="BP106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AA107" i="7"/>
  <c r="AB107" i="7"/>
  <c r="AC107" i="7"/>
  <c r="AD107" i="7"/>
  <c r="AE107" i="7"/>
  <c r="AF107" i="7"/>
  <c r="AG107" i="7"/>
  <c r="AH107" i="7"/>
  <c r="AI107" i="7"/>
  <c r="AK107" i="7"/>
  <c r="AL107" i="7"/>
  <c r="AM107" i="7"/>
  <c r="AN107" i="7"/>
  <c r="AO107" i="7"/>
  <c r="AP107" i="7"/>
  <c r="AQ107" i="7"/>
  <c r="AR107" i="7"/>
  <c r="AS107" i="7"/>
  <c r="BB107" i="7"/>
  <c r="BC107" i="7"/>
  <c r="BD107" i="7"/>
  <c r="BE107" i="7"/>
  <c r="BF107" i="7"/>
  <c r="BG107" i="7"/>
  <c r="BH107" i="7"/>
  <c r="BI107" i="7"/>
  <c r="BJ107" i="7"/>
  <c r="BL107" i="7"/>
  <c r="BM107" i="7"/>
  <c r="BN107" i="7"/>
  <c r="BO107" i="7"/>
  <c r="BP107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AA108" i="7"/>
  <c r="AB108" i="7"/>
  <c r="AC108" i="7"/>
  <c r="AD108" i="7"/>
  <c r="AE108" i="7"/>
  <c r="AF108" i="7"/>
  <c r="AG108" i="7"/>
  <c r="AH108" i="7"/>
  <c r="AI108" i="7"/>
  <c r="AK108" i="7"/>
  <c r="AL108" i="7"/>
  <c r="AM108" i="7"/>
  <c r="AN108" i="7"/>
  <c r="AO108" i="7"/>
  <c r="AP108" i="7"/>
  <c r="AQ108" i="7"/>
  <c r="AR108" i="7"/>
  <c r="AS108" i="7"/>
  <c r="BB108" i="7"/>
  <c r="BC108" i="7"/>
  <c r="BD108" i="7"/>
  <c r="BE108" i="7"/>
  <c r="BF108" i="7"/>
  <c r="BG108" i="7"/>
  <c r="BH108" i="7"/>
  <c r="BI108" i="7"/>
  <c r="BJ108" i="7"/>
  <c r="BL108" i="7"/>
  <c r="BM108" i="7"/>
  <c r="BN108" i="7"/>
  <c r="BO108" i="7"/>
  <c r="BP108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AA109" i="7"/>
  <c r="AB109" i="7"/>
  <c r="AC109" i="7"/>
  <c r="AD109" i="7"/>
  <c r="AE109" i="7"/>
  <c r="AF109" i="7"/>
  <c r="AG109" i="7"/>
  <c r="AH109" i="7"/>
  <c r="AI109" i="7"/>
  <c r="AK109" i="7"/>
  <c r="AL109" i="7"/>
  <c r="AM109" i="7"/>
  <c r="AN109" i="7"/>
  <c r="AO109" i="7"/>
  <c r="AP109" i="7"/>
  <c r="AQ109" i="7"/>
  <c r="AR109" i="7"/>
  <c r="AS109" i="7"/>
  <c r="BB109" i="7"/>
  <c r="BC109" i="7"/>
  <c r="BD109" i="7"/>
  <c r="BE109" i="7"/>
  <c r="BF109" i="7"/>
  <c r="BG109" i="7"/>
  <c r="BH109" i="7"/>
  <c r="BI109" i="7"/>
  <c r="BJ109" i="7"/>
  <c r="BL109" i="7"/>
  <c r="BM109" i="7"/>
  <c r="BN109" i="7"/>
  <c r="BO109" i="7"/>
  <c r="BP109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AA110" i="7"/>
  <c r="AB110" i="7"/>
  <c r="AC110" i="7"/>
  <c r="AD110" i="7"/>
  <c r="AE110" i="7"/>
  <c r="AF110" i="7"/>
  <c r="AG110" i="7"/>
  <c r="AH110" i="7"/>
  <c r="AI110" i="7"/>
  <c r="AK110" i="7"/>
  <c r="AL110" i="7"/>
  <c r="AM110" i="7"/>
  <c r="AN110" i="7"/>
  <c r="AO110" i="7"/>
  <c r="AP110" i="7"/>
  <c r="AQ110" i="7"/>
  <c r="AR110" i="7"/>
  <c r="AS110" i="7"/>
  <c r="BB110" i="7"/>
  <c r="BC110" i="7"/>
  <c r="BD110" i="7"/>
  <c r="BE110" i="7"/>
  <c r="BF110" i="7"/>
  <c r="BG110" i="7"/>
  <c r="BH110" i="7"/>
  <c r="BI110" i="7"/>
  <c r="BJ110" i="7"/>
  <c r="BL110" i="7"/>
  <c r="BM110" i="7"/>
  <c r="BN110" i="7"/>
  <c r="BO110" i="7"/>
  <c r="BP110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AA111" i="7"/>
  <c r="AB111" i="7"/>
  <c r="AC111" i="7"/>
  <c r="AD111" i="7"/>
  <c r="AE111" i="7"/>
  <c r="AF111" i="7"/>
  <c r="AG111" i="7"/>
  <c r="AH111" i="7"/>
  <c r="AI111" i="7"/>
  <c r="AK111" i="7"/>
  <c r="AL111" i="7"/>
  <c r="AM111" i="7"/>
  <c r="AN111" i="7"/>
  <c r="AO111" i="7"/>
  <c r="AP111" i="7"/>
  <c r="AQ111" i="7"/>
  <c r="AR111" i="7"/>
  <c r="AS111" i="7"/>
  <c r="BB111" i="7"/>
  <c r="BC111" i="7"/>
  <c r="BD111" i="7"/>
  <c r="BE111" i="7"/>
  <c r="BF111" i="7"/>
  <c r="BG111" i="7"/>
  <c r="BH111" i="7"/>
  <c r="BI111" i="7"/>
  <c r="BJ111" i="7"/>
  <c r="BL111" i="7"/>
  <c r="BM111" i="7"/>
  <c r="BN111" i="7"/>
  <c r="BO111" i="7"/>
  <c r="BP111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AA112" i="7"/>
  <c r="AB112" i="7"/>
  <c r="AC112" i="7"/>
  <c r="AD112" i="7"/>
  <c r="AE112" i="7"/>
  <c r="AF112" i="7"/>
  <c r="AG112" i="7"/>
  <c r="AH112" i="7"/>
  <c r="AI112" i="7"/>
  <c r="AK112" i="7"/>
  <c r="AL112" i="7"/>
  <c r="AM112" i="7"/>
  <c r="AN112" i="7"/>
  <c r="AO112" i="7"/>
  <c r="AP112" i="7"/>
  <c r="AQ112" i="7"/>
  <c r="AR112" i="7"/>
  <c r="AS112" i="7"/>
  <c r="BB112" i="7"/>
  <c r="BC112" i="7"/>
  <c r="BD112" i="7"/>
  <c r="BE112" i="7"/>
  <c r="BF112" i="7"/>
  <c r="BG112" i="7"/>
  <c r="BH112" i="7"/>
  <c r="BI112" i="7"/>
  <c r="BJ112" i="7"/>
  <c r="BL112" i="7"/>
  <c r="BM112" i="7"/>
  <c r="BN112" i="7"/>
  <c r="BO112" i="7"/>
  <c r="BP112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AA113" i="7"/>
  <c r="AB113" i="7"/>
  <c r="AC113" i="7"/>
  <c r="AD113" i="7"/>
  <c r="AE113" i="7"/>
  <c r="AF113" i="7"/>
  <c r="AG113" i="7"/>
  <c r="AH113" i="7"/>
  <c r="AI113" i="7"/>
  <c r="AK113" i="7"/>
  <c r="AL113" i="7"/>
  <c r="AM113" i="7"/>
  <c r="AN113" i="7"/>
  <c r="AO113" i="7"/>
  <c r="AP113" i="7"/>
  <c r="AQ113" i="7"/>
  <c r="AR113" i="7"/>
  <c r="AS113" i="7"/>
  <c r="BB113" i="7"/>
  <c r="BC113" i="7"/>
  <c r="BD113" i="7"/>
  <c r="BE113" i="7"/>
  <c r="BF113" i="7"/>
  <c r="BG113" i="7"/>
  <c r="BH113" i="7"/>
  <c r="BI113" i="7"/>
  <c r="BJ113" i="7"/>
  <c r="BL113" i="7"/>
  <c r="BM113" i="7"/>
  <c r="BN113" i="7"/>
  <c r="BO113" i="7"/>
  <c r="BP113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AA114" i="7"/>
  <c r="AB114" i="7"/>
  <c r="AC114" i="7"/>
  <c r="AD114" i="7"/>
  <c r="AE114" i="7"/>
  <c r="AF114" i="7"/>
  <c r="AG114" i="7"/>
  <c r="AH114" i="7"/>
  <c r="AI114" i="7"/>
  <c r="AK114" i="7"/>
  <c r="AL114" i="7"/>
  <c r="AM114" i="7"/>
  <c r="AN114" i="7"/>
  <c r="AO114" i="7"/>
  <c r="AP114" i="7"/>
  <c r="AQ114" i="7"/>
  <c r="AR114" i="7"/>
  <c r="AS114" i="7"/>
  <c r="BB114" i="7"/>
  <c r="BC114" i="7"/>
  <c r="BD114" i="7"/>
  <c r="BE114" i="7"/>
  <c r="BF114" i="7"/>
  <c r="BG114" i="7"/>
  <c r="BH114" i="7"/>
  <c r="BI114" i="7"/>
  <c r="BJ114" i="7"/>
  <c r="BL114" i="7"/>
  <c r="BM114" i="7"/>
  <c r="BN114" i="7"/>
  <c r="BO114" i="7"/>
  <c r="BP114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AA115" i="7"/>
  <c r="AB115" i="7"/>
  <c r="AC115" i="7"/>
  <c r="AD115" i="7"/>
  <c r="AE115" i="7"/>
  <c r="AF115" i="7"/>
  <c r="AG115" i="7"/>
  <c r="AH115" i="7"/>
  <c r="AI115" i="7"/>
  <c r="AK115" i="7"/>
  <c r="AL115" i="7"/>
  <c r="AM115" i="7"/>
  <c r="AN115" i="7"/>
  <c r="AO115" i="7"/>
  <c r="AP115" i="7"/>
  <c r="AQ115" i="7"/>
  <c r="AR115" i="7"/>
  <c r="AS115" i="7"/>
  <c r="BB115" i="7"/>
  <c r="BC115" i="7"/>
  <c r="BD115" i="7"/>
  <c r="BE115" i="7"/>
  <c r="BF115" i="7"/>
  <c r="BG115" i="7"/>
  <c r="BH115" i="7"/>
  <c r="BI115" i="7"/>
  <c r="BJ115" i="7"/>
  <c r="BL115" i="7"/>
  <c r="BM115" i="7"/>
  <c r="BN115" i="7"/>
  <c r="BO115" i="7"/>
  <c r="BP115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AA116" i="7"/>
  <c r="AB116" i="7"/>
  <c r="AC116" i="7"/>
  <c r="AD116" i="7"/>
  <c r="AE116" i="7"/>
  <c r="AF116" i="7"/>
  <c r="AG116" i="7"/>
  <c r="AH116" i="7"/>
  <c r="AI116" i="7"/>
  <c r="AK116" i="7"/>
  <c r="AL116" i="7"/>
  <c r="AM116" i="7"/>
  <c r="AN116" i="7"/>
  <c r="AO116" i="7"/>
  <c r="AP116" i="7"/>
  <c r="AQ116" i="7"/>
  <c r="AR116" i="7"/>
  <c r="AS116" i="7"/>
  <c r="BB116" i="7"/>
  <c r="BC116" i="7"/>
  <c r="BD116" i="7"/>
  <c r="BE116" i="7"/>
  <c r="BF116" i="7"/>
  <c r="BG116" i="7"/>
  <c r="BH116" i="7"/>
  <c r="BI116" i="7"/>
  <c r="BJ116" i="7"/>
  <c r="BL116" i="7"/>
  <c r="BM116" i="7"/>
  <c r="BN116" i="7"/>
  <c r="BO116" i="7"/>
  <c r="BP116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AA117" i="7"/>
  <c r="AB117" i="7"/>
  <c r="AC117" i="7"/>
  <c r="AD117" i="7"/>
  <c r="AE117" i="7"/>
  <c r="AF117" i="7"/>
  <c r="AG117" i="7"/>
  <c r="AH117" i="7"/>
  <c r="AI117" i="7"/>
  <c r="AK117" i="7"/>
  <c r="AL117" i="7"/>
  <c r="AM117" i="7"/>
  <c r="AN117" i="7"/>
  <c r="AO117" i="7"/>
  <c r="AP117" i="7"/>
  <c r="AQ117" i="7"/>
  <c r="AR117" i="7"/>
  <c r="AS117" i="7"/>
  <c r="BB117" i="7"/>
  <c r="BC117" i="7"/>
  <c r="BD117" i="7"/>
  <c r="BE117" i="7"/>
  <c r="BF117" i="7"/>
  <c r="BG117" i="7"/>
  <c r="BH117" i="7"/>
  <c r="BI117" i="7"/>
  <c r="BJ117" i="7"/>
  <c r="BL117" i="7"/>
  <c r="BM117" i="7"/>
  <c r="BN117" i="7"/>
  <c r="BO117" i="7"/>
  <c r="BP117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AA118" i="7"/>
  <c r="AB118" i="7"/>
  <c r="AC118" i="7"/>
  <c r="AD118" i="7"/>
  <c r="AE118" i="7"/>
  <c r="AF118" i="7"/>
  <c r="AG118" i="7"/>
  <c r="AH118" i="7"/>
  <c r="AI118" i="7"/>
  <c r="AK118" i="7"/>
  <c r="AL118" i="7"/>
  <c r="AM118" i="7"/>
  <c r="AN118" i="7"/>
  <c r="AO118" i="7"/>
  <c r="AP118" i="7"/>
  <c r="AQ118" i="7"/>
  <c r="AR118" i="7"/>
  <c r="AS118" i="7"/>
  <c r="BB118" i="7"/>
  <c r="BC118" i="7"/>
  <c r="BD118" i="7"/>
  <c r="BE118" i="7"/>
  <c r="BF118" i="7"/>
  <c r="BG118" i="7"/>
  <c r="BH118" i="7"/>
  <c r="BI118" i="7"/>
  <c r="BJ118" i="7"/>
  <c r="BL118" i="7"/>
  <c r="BM118" i="7"/>
  <c r="BN118" i="7"/>
  <c r="BO118" i="7"/>
  <c r="BP118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AA119" i="7"/>
  <c r="AB119" i="7"/>
  <c r="AC119" i="7"/>
  <c r="AD119" i="7"/>
  <c r="AE119" i="7"/>
  <c r="AF119" i="7"/>
  <c r="AG119" i="7"/>
  <c r="AH119" i="7"/>
  <c r="AI119" i="7"/>
  <c r="AK119" i="7"/>
  <c r="AL119" i="7"/>
  <c r="AM119" i="7"/>
  <c r="AN119" i="7"/>
  <c r="AO119" i="7"/>
  <c r="AP119" i="7"/>
  <c r="AQ119" i="7"/>
  <c r="AR119" i="7"/>
  <c r="AS119" i="7"/>
  <c r="BB119" i="7"/>
  <c r="BC119" i="7"/>
  <c r="BD119" i="7"/>
  <c r="BE119" i="7"/>
  <c r="BF119" i="7"/>
  <c r="BG119" i="7"/>
  <c r="BH119" i="7"/>
  <c r="BI119" i="7"/>
  <c r="BJ119" i="7"/>
  <c r="BL119" i="7"/>
  <c r="BM119" i="7"/>
  <c r="BN119" i="7"/>
  <c r="BO119" i="7"/>
  <c r="BP119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AA120" i="7"/>
  <c r="AB120" i="7"/>
  <c r="AC120" i="7"/>
  <c r="AD120" i="7"/>
  <c r="AE120" i="7"/>
  <c r="AF120" i="7"/>
  <c r="AG120" i="7"/>
  <c r="AH120" i="7"/>
  <c r="AI120" i="7"/>
  <c r="AK120" i="7"/>
  <c r="AL120" i="7"/>
  <c r="AM120" i="7"/>
  <c r="AN120" i="7"/>
  <c r="AO120" i="7"/>
  <c r="AP120" i="7"/>
  <c r="AQ120" i="7"/>
  <c r="AR120" i="7"/>
  <c r="AS120" i="7"/>
  <c r="BB120" i="7"/>
  <c r="BC120" i="7"/>
  <c r="BD120" i="7"/>
  <c r="BE120" i="7"/>
  <c r="BF120" i="7"/>
  <c r="BG120" i="7"/>
  <c r="BH120" i="7"/>
  <c r="BI120" i="7"/>
  <c r="BJ120" i="7"/>
  <c r="BL120" i="7"/>
  <c r="BM120" i="7"/>
  <c r="BN120" i="7"/>
  <c r="BO120" i="7"/>
  <c r="BP120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AA121" i="7"/>
  <c r="AB121" i="7"/>
  <c r="AC121" i="7"/>
  <c r="AD121" i="7"/>
  <c r="AE121" i="7"/>
  <c r="AF121" i="7"/>
  <c r="AG121" i="7"/>
  <c r="AH121" i="7"/>
  <c r="AI121" i="7"/>
  <c r="AK121" i="7"/>
  <c r="AL121" i="7"/>
  <c r="AM121" i="7"/>
  <c r="AN121" i="7"/>
  <c r="AO121" i="7"/>
  <c r="AP121" i="7"/>
  <c r="AQ121" i="7"/>
  <c r="AR121" i="7"/>
  <c r="AS121" i="7"/>
  <c r="BB121" i="7"/>
  <c r="BC121" i="7"/>
  <c r="BD121" i="7"/>
  <c r="BE121" i="7"/>
  <c r="BF121" i="7"/>
  <c r="BG121" i="7"/>
  <c r="BH121" i="7"/>
  <c r="BI121" i="7"/>
  <c r="BJ121" i="7"/>
  <c r="BL121" i="7"/>
  <c r="BM121" i="7"/>
  <c r="BN121" i="7"/>
  <c r="BO121" i="7"/>
  <c r="BP121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AA122" i="7"/>
  <c r="AB122" i="7"/>
  <c r="AC122" i="7"/>
  <c r="AD122" i="7"/>
  <c r="AE122" i="7"/>
  <c r="AF122" i="7"/>
  <c r="AG122" i="7"/>
  <c r="AH122" i="7"/>
  <c r="AI122" i="7"/>
  <c r="AK122" i="7"/>
  <c r="AL122" i="7"/>
  <c r="AM122" i="7"/>
  <c r="AN122" i="7"/>
  <c r="AO122" i="7"/>
  <c r="AP122" i="7"/>
  <c r="AQ122" i="7"/>
  <c r="AR122" i="7"/>
  <c r="AS122" i="7"/>
  <c r="BB122" i="7"/>
  <c r="BC122" i="7"/>
  <c r="BD122" i="7"/>
  <c r="BE122" i="7"/>
  <c r="BF122" i="7"/>
  <c r="BG122" i="7"/>
  <c r="BH122" i="7"/>
  <c r="BI122" i="7"/>
  <c r="BJ122" i="7"/>
  <c r="BL122" i="7"/>
  <c r="BM122" i="7"/>
  <c r="BN122" i="7"/>
  <c r="BO122" i="7"/>
  <c r="BP122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AA123" i="7"/>
  <c r="AB123" i="7"/>
  <c r="AC123" i="7"/>
  <c r="AD123" i="7"/>
  <c r="AE123" i="7"/>
  <c r="AF123" i="7"/>
  <c r="AG123" i="7"/>
  <c r="AH123" i="7"/>
  <c r="AI123" i="7"/>
  <c r="AK123" i="7"/>
  <c r="AL123" i="7"/>
  <c r="AM123" i="7"/>
  <c r="AN123" i="7"/>
  <c r="AO123" i="7"/>
  <c r="AP123" i="7"/>
  <c r="AQ123" i="7"/>
  <c r="AR123" i="7"/>
  <c r="AS123" i="7"/>
  <c r="BB123" i="7"/>
  <c r="BC123" i="7"/>
  <c r="BD123" i="7"/>
  <c r="BE123" i="7"/>
  <c r="BF123" i="7"/>
  <c r="BG123" i="7"/>
  <c r="BH123" i="7"/>
  <c r="BI123" i="7"/>
  <c r="BJ123" i="7"/>
  <c r="BL123" i="7"/>
  <c r="BM123" i="7"/>
  <c r="BN123" i="7"/>
  <c r="BO123" i="7"/>
  <c r="BP123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AA124" i="7"/>
  <c r="AB124" i="7"/>
  <c r="AC124" i="7"/>
  <c r="AD124" i="7"/>
  <c r="AE124" i="7"/>
  <c r="AF124" i="7"/>
  <c r="AG124" i="7"/>
  <c r="AH124" i="7"/>
  <c r="AI124" i="7"/>
  <c r="AK124" i="7"/>
  <c r="AL124" i="7"/>
  <c r="AM124" i="7"/>
  <c r="AN124" i="7"/>
  <c r="AO124" i="7"/>
  <c r="AP124" i="7"/>
  <c r="AQ124" i="7"/>
  <c r="AR124" i="7"/>
  <c r="AS124" i="7"/>
  <c r="BB124" i="7"/>
  <c r="BC124" i="7"/>
  <c r="BD124" i="7"/>
  <c r="BE124" i="7"/>
  <c r="BF124" i="7"/>
  <c r="BG124" i="7"/>
  <c r="BH124" i="7"/>
  <c r="BI124" i="7"/>
  <c r="BJ124" i="7"/>
  <c r="BL124" i="7"/>
  <c r="BM124" i="7"/>
  <c r="BN124" i="7"/>
  <c r="BO124" i="7"/>
  <c r="BP124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AA125" i="7"/>
  <c r="AB125" i="7"/>
  <c r="AC125" i="7"/>
  <c r="AD125" i="7"/>
  <c r="AE125" i="7"/>
  <c r="AF125" i="7"/>
  <c r="AG125" i="7"/>
  <c r="AH125" i="7"/>
  <c r="AI125" i="7"/>
  <c r="AK125" i="7"/>
  <c r="AL125" i="7"/>
  <c r="AM125" i="7"/>
  <c r="AN125" i="7"/>
  <c r="AO125" i="7"/>
  <c r="AP125" i="7"/>
  <c r="AQ125" i="7"/>
  <c r="AR125" i="7"/>
  <c r="AS125" i="7"/>
  <c r="BB125" i="7"/>
  <c r="BC125" i="7"/>
  <c r="BD125" i="7"/>
  <c r="BE125" i="7"/>
  <c r="BF125" i="7"/>
  <c r="BG125" i="7"/>
  <c r="BH125" i="7"/>
  <c r="BI125" i="7"/>
  <c r="BJ125" i="7"/>
  <c r="BL125" i="7"/>
  <c r="BM125" i="7"/>
  <c r="BN125" i="7"/>
  <c r="BO125" i="7"/>
  <c r="BP125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AA126" i="7"/>
  <c r="AB126" i="7"/>
  <c r="AC126" i="7"/>
  <c r="AD126" i="7"/>
  <c r="AE126" i="7"/>
  <c r="AF126" i="7"/>
  <c r="AG126" i="7"/>
  <c r="AH126" i="7"/>
  <c r="AI126" i="7"/>
  <c r="AK126" i="7"/>
  <c r="AL126" i="7"/>
  <c r="AM126" i="7"/>
  <c r="AN126" i="7"/>
  <c r="AO126" i="7"/>
  <c r="AP126" i="7"/>
  <c r="AQ126" i="7"/>
  <c r="AR126" i="7"/>
  <c r="AS126" i="7"/>
  <c r="BB126" i="7"/>
  <c r="BC126" i="7"/>
  <c r="BD126" i="7"/>
  <c r="BE126" i="7"/>
  <c r="BF126" i="7"/>
  <c r="BG126" i="7"/>
  <c r="BH126" i="7"/>
  <c r="BI126" i="7"/>
  <c r="BJ126" i="7"/>
  <c r="BL126" i="7"/>
  <c r="BM126" i="7"/>
  <c r="BN126" i="7"/>
  <c r="BO126" i="7"/>
  <c r="BP126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AA127" i="7"/>
  <c r="AB127" i="7"/>
  <c r="AC127" i="7"/>
  <c r="AD127" i="7"/>
  <c r="AE127" i="7"/>
  <c r="AF127" i="7"/>
  <c r="AG127" i="7"/>
  <c r="AH127" i="7"/>
  <c r="AI127" i="7"/>
  <c r="AK127" i="7"/>
  <c r="AL127" i="7"/>
  <c r="AM127" i="7"/>
  <c r="AN127" i="7"/>
  <c r="AO127" i="7"/>
  <c r="AP127" i="7"/>
  <c r="AQ127" i="7"/>
  <c r="AR127" i="7"/>
  <c r="AS127" i="7"/>
  <c r="BB127" i="7"/>
  <c r="BC127" i="7"/>
  <c r="BD127" i="7"/>
  <c r="BE127" i="7"/>
  <c r="BF127" i="7"/>
  <c r="BG127" i="7"/>
  <c r="BH127" i="7"/>
  <c r="BI127" i="7"/>
  <c r="BJ127" i="7"/>
  <c r="BL127" i="7"/>
  <c r="BM127" i="7"/>
  <c r="BN127" i="7"/>
  <c r="BO127" i="7"/>
  <c r="BP127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AA128" i="7"/>
  <c r="AB128" i="7"/>
  <c r="AC128" i="7"/>
  <c r="AD128" i="7"/>
  <c r="AE128" i="7"/>
  <c r="AF128" i="7"/>
  <c r="AG128" i="7"/>
  <c r="AH128" i="7"/>
  <c r="AI128" i="7"/>
  <c r="AK128" i="7"/>
  <c r="AL128" i="7"/>
  <c r="AM128" i="7"/>
  <c r="AN128" i="7"/>
  <c r="AO128" i="7"/>
  <c r="AP128" i="7"/>
  <c r="AQ128" i="7"/>
  <c r="AR128" i="7"/>
  <c r="AS128" i="7"/>
  <c r="BB128" i="7"/>
  <c r="BC128" i="7"/>
  <c r="BD128" i="7"/>
  <c r="BE128" i="7"/>
  <c r="BF128" i="7"/>
  <c r="BG128" i="7"/>
  <c r="BH128" i="7"/>
  <c r="BI128" i="7"/>
  <c r="BJ128" i="7"/>
  <c r="BL128" i="7"/>
  <c r="BM128" i="7"/>
  <c r="BN128" i="7"/>
  <c r="BO128" i="7"/>
  <c r="BP128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AA129" i="7"/>
  <c r="AB129" i="7"/>
  <c r="AC129" i="7"/>
  <c r="AD129" i="7"/>
  <c r="AE129" i="7"/>
  <c r="AF129" i="7"/>
  <c r="AG129" i="7"/>
  <c r="AH129" i="7"/>
  <c r="AI129" i="7"/>
  <c r="AK129" i="7"/>
  <c r="AL129" i="7"/>
  <c r="AM129" i="7"/>
  <c r="AN129" i="7"/>
  <c r="AO129" i="7"/>
  <c r="AP129" i="7"/>
  <c r="AQ129" i="7"/>
  <c r="AR129" i="7"/>
  <c r="AS129" i="7"/>
  <c r="BB129" i="7"/>
  <c r="BC129" i="7"/>
  <c r="BD129" i="7"/>
  <c r="BE129" i="7"/>
  <c r="BF129" i="7"/>
  <c r="BG129" i="7"/>
  <c r="BH129" i="7"/>
  <c r="BI129" i="7"/>
  <c r="BJ129" i="7"/>
  <c r="BL129" i="7"/>
  <c r="BM129" i="7"/>
  <c r="BN129" i="7"/>
  <c r="BO129" i="7"/>
  <c r="BP129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AA130" i="7"/>
  <c r="AB130" i="7"/>
  <c r="AC130" i="7"/>
  <c r="AD130" i="7"/>
  <c r="AE130" i="7"/>
  <c r="AF130" i="7"/>
  <c r="AG130" i="7"/>
  <c r="AH130" i="7"/>
  <c r="AI130" i="7"/>
  <c r="AK130" i="7"/>
  <c r="AL130" i="7"/>
  <c r="AM130" i="7"/>
  <c r="AN130" i="7"/>
  <c r="AO130" i="7"/>
  <c r="AP130" i="7"/>
  <c r="AQ130" i="7"/>
  <c r="AR130" i="7"/>
  <c r="AS130" i="7"/>
  <c r="BB130" i="7"/>
  <c r="BC130" i="7"/>
  <c r="BD130" i="7"/>
  <c r="BE130" i="7"/>
  <c r="BF130" i="7"/>
  <c r="BG130" i="7"/>
  <c r="BH130" i="7"/>
  <c r="BI130" i="7"/>
  <c r="BJ130" i="7"/>
  <c r="BL130" i="7"/>
  <c r="BM130" i="7"/>
  <c r="BN130" i="7"/>
  <c r="BO130" i="7"/>
  <c r="BP130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AA131" i="7"/>
  <c r="AB131" i="7"/>
  <c r="AC131" i="7"/>
  <c r="AD131" i="7"/>
  <c r="AE131" i="7"/>
  <c r="AF131" i="7"/>
  <c r="AG131" i="7"/>
  <c r="AH131" i="7"/>
  <c r="AI131" i="7"/>
  <c r="AK131" i="7"/>
  <c r="AL131" i="7"/>
  <c r="AM131" i="7"/>
  <c r="AN131" i="7"/>
  <c r="AO131" i="7"/>
  <c r="AP131" i="7"/>
  <c r="AQ131" i="7"/>
  <c r="AR131" i="7"/>
  <c r="AS131" i="7"/>
  <c r="BB131" i="7"/>
  <c r="BC131" i="7"/>
  <c r="BD131" i="7"/>
  <c r="BE131" i="7"/>
  <c r="BF131" i="7"/>
  <c r="BG131" i="7"/>
  <c r="BH131" i="7"/>
  <c r="BI131" i="7"/>
  <c r="BJ131" i="7"/>
  <c r="BL131" i="7"/>
  <c r="BM131" i="7"/>
  <c r="BN131" i="7"/>
  <c r="BO131" i="7"/>
  <c r="BP131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AA132" i="7"/>
  <c r="AB132" i="7"/>
  <c r="AC132" i="7"/>
  <c r="AD132" i="7"/>
  <c r="AE132" i="7"/>
  <c r="AF132" i="7"/>
  <c r="AG132" i="7"/>
  <c r="AH132" i="7"/>
  <c r="AI132" i="7"/>
  <c r="AK132" i="7"/>
  <c r="AL132" i="7"/>
  <c r="AM132" i="7"/>
  <c r="AN132" i="7"/>
  <c r="AO132" i="7"/>
  <c r="AP132" i="7"/>
  <c r="AQ132" i="7"/>
  <c r="AR132" i="7"/>
  <c r="AS132" i="7"/>
  <c r="BB132" i="7"/>
  <c r="BC132" i="7"/>
  <c r="BD132" i="7"/>
  <c r="BE132" i="7"/>
  <c r="BF132" i="7"/>
  <c r="BG132" i="7"/>
  <c r="BH132" i="7"/>
  <c r="BI132" i="7"/>
  <c r="BJ132" i="7"/>
  <c r="BL132" i="7"/>
  <c r="BM132" i="7"/>
  <c r="BN132" i="7"/>
  <c r="BO132" i="7"/>
  <c r="BP132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AA133" i="7"/>
  <c r="AB133" i="7"/>
  <c r="AC133" i="7"/>
  <c r="AD133" i="7"/>
  <c r="AE133" i="7"/>
  <c r="AF133" i="7"/>
  <c r="AG133" i="7"/>
  <c r="AH133" i="7"/>
  <c r="AI133" i="7"/>
  <c r="AK133" i="7"/>
  <c r="AL133" i="7"/>
  <c r="AM133" i="7"/>
  <c r="AN133" i="7"/>
  <c r="AO133" i="7"/>
  <c r="AP133" i="7"/>
  <c r="AQ133" i="7"/>
  <c r="AR133" i="7"/>
  <c r="AS133" i="7"/>
  <c r="BB133" i="7"/>
  <c r="BC133" i="7"/>
  <c r="BD133" i="7"/>
  <c r="BE133" i="7"/>
  <c r="BF133" i="7"/>
  <c r="BG133" i="7"/>
  <c r="BH133" i="7"/>
  <c r="BI133" i="7"/>
  <c r="BJ133" i="7"/>
  <c r="BL133" i="7"/>
  <c r="BM133" i="7"/>
  <c r="BN133" i="7"/>
  <c r="BO133" i="7"/>
  <c r="BP133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AA134" i="7"/>
  <c r="AB134" i="7"/>
  <c r="AC134" i="7"/>
  <c r="AD134" i="7"/>
  <c r="AE134" i="7"/>
  <c r="AF134" i="7"/>
  <c r="AG134" i="7"/>
  <c r="AH134" i="7"/>
  <c r="AI134" i="7"/>
  <c r="AK134" i="7"/>
  <c r="AL134" i="7"/>
  <c r="AM134" i="7"/>
  <c r="AN134" i="7"/>
  <c r="AO134" i="7"/>
  <c r="AP134" i="7"/>
  <c r="AQ134" i="7"/>
  <c r="AR134" i="7"/>
  <c r="AS134" i="7"/>
  <c r="BB134" i="7"/>
  <c r="BC134" i="7"/>
  <c r="BD134" i="7"/>
  <c r="BE134" i="7"/>
  <c r="BF134" i="7"/>
  <c r="BG134" i="7"/>
  <c r="BH134" i="7"/>
  <c r="BI134" i="7"/>
  <c r="BJ134" i="7"/>
  <c r="BL134" i="7"/>
  <c r="BM134" i="7"/>
  <c r="BN134" i="7"/>
  <c r="BO134" i="7"/>
  <c r="BP134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AA135" i="7"/>
  <c r="AB135" i="7"/>
  <c r="AC135" i="7"/>
  <c r="AD135" i="7"/>
  <c r="AE135" i="7"/>
  <c r="AF135" i="7"/>
  <c r="AG135" i="7"/>
  <c r="AH135" i="7"/>
  <c r="AI135" i="7"/>
  <c r="AK135" i="7"/>
  <c r="AL135" i="7"/>
  <c r="AM135" i="7"/>
  <c r="AN135" i="7"/>
  <c r="AO135" i="7"/>
  <c r="AP135" i="7"/>
  <c r="AQ135" i="7"/>
  <c r="AR135" i="7"/>
  <c r="AS135" i="7"/>
  <c r="BB135" i="7"/>
  <c r="BC135" i="7"/>
  <c r="BD135" i="7"/>
  <c r="BE135" i="7"/>
  <c r="BF135" i="7"/>
  <c r="BG135" i="7"/>
  <c r="BH135" i="7"/>
  <c r="BI135" i="7"/>
  <c r="BJ135" i="7"/>
  <c r="BL135" i="7"/>
  <c r="BM135" i="7"/>
  <c r="BN135" i="7"/>
  <c r="BO135" i="7"/>
  <c r="BP135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AA136" i="7"/>
  <c r="AB136" i="7"/>
  <c r="AC136" i="7"/>
  <c r="AD136" i="7"/>
  <c r="AE136" i="7"/>
  <c r="AF136" i="7"/>
  <c r="AG136" i="7"/>
  <c r="AH136" i="7"/>
  <c r="AI136" i="7"/>
  <c r="AK136" i="7"/>
  <c r="AL136" i="7"/>
  <c r="AM136" i="7"/>
  <c r="AN136" i="7"/>
  <c r="AO136" i="7"/>
  <c r="AP136" i="7"/>
  <c r="AQ136" i="7"/>
  <c r="AR136" i="7"/>
  <c r="AS136" i="7"/>
  <c r="BB136" i="7"/>
  <c r="BC136" i="7"/>
  <c r="BD136" i="7"/>
  <c r="BE136" i="7"/>
  <c r="BF136" i="7"/>
  <c r="BG136" i="7"/>
  <c r="BH136" i="7"/>
  <c r="BI136" i="7"/>
  <c r="BJ136" i="7"/>
  <c r="BL136" i="7"/>
  <c r="BM136" i="7"/>
  <c r="BN136" i="7"/>
  <c r="BO136" i="7"/>
  <c r="BP136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AA137" i="7"/>
  <c r="AB137" i="7"/>
  <c r="AC137" i="7"/>
  <c r="AD137" i="7"/>
  <c r="AE137" i="7"/>
  <c r="AF137" i="7"/>
  <c r="AG137" i="7"/>
  <c r="AH137" i="7"/>
  <c r="AI137" i="7"/>
  <c r="AK137" i="7"/>
  <c r="AL137" i="7"/>
  <c r="AM137" i="7"/>
  <c r="AN137" i="7"/>
  <c r="AO137" i="7"/>
  <c r="AP137" i="7"/>
  <c r="AQ137" i="7"/>
  <c r="AR137" i="7"/>
  <c r="AS137" i="7"/>
  <c r="BB137" i="7"/>
  <c r="BC137" i="7"/>
  <c r="BD137" i="7"/>
  <c r="BE137" i="7"/>
  <c r="BF137" i="7"/>
  <c r="BG137" i="7"/>
  <c r="BH137" i="7"/>
  <c r="BI137" i="7"/>
  <c r="BJ137" i="7"/>
  <c r="BL137" i="7"/>
  <c r="BM137" i="7"/>
  <c r="BN137" i="7"/>
  <c r="BO137" i="7"/>
  <c r="BP137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AA138" i="7"/>
  <c r="AB138" i="7"/>
  <c r="AC138" i="7"/>
  <c r="AD138" i="7"/>
  <c r="AE138" i="7"/>
  <c r="AF138" i="7"/>
  <c r="AG138" i="7"/>
  <c r="AH138" i="7"/>
  <c r="AI138" i="7"/>
  <c r="AK138" i="7"/>
  <c r="AL138" i="7"/>
  <c r="AM138" i="7"/>
  <c r="AN138" i="7"/>
  <c r="AO138" i="7"/>
  <c r="AP138" i="7"/>
  <c r="AQ138" i="7"/>
  <c r="AR138" i="7"/>
  <c r="AS138" i="7"/>
  <c r="BB138" i="7"/>
  <c r="BC138" i="7"/>
  <c r="BD138" i="7"/>
  <c r="BE138" i="7"/>
  <c r="BF138" i="7"/>
  <c r="BG138" i="7"/>
  <c r="BH138" i="7"/>
  <c r="BI138" i="7"/>
  <c r="BJ138" i="7"/>
  <c r="BL138" i="7"/>
  <c r="BM138" i="7"/>
  <c r="BN138" i="7"/>
  <c r="BO138" i="7"/>
  <c r="BP138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AA139" i="7"/>
  <c r="AB139" i="7"/>
  <c r="AC139" i="7"/>
  <c r="AD139" i="7"/>
  <c r="AE139" i="7"/>
  <c r="AF139" i="7"/>
  <c r="AG139" i="7"/>
  <c r="AH139" i="7"/>
  <c r="AI139" i="7"/>
  <c r="AK139" i="7"/>
  <c r="AL139" i="7"/>
  <c r="AM139" i="7"/>
  <c r="AN139" i="7"/>
  <c r="AO139" i="7"/>
  <c r="AP139" i="7"/>
  <c r="AQ139" i="7"/>
  <c r="AR139" i="7"/>
  <c r="AS139" i="7"/>
  <c r="BB139" i="7"/>
  <c r="BC139" i="7"/>
  <c r="BD139" i="7"/>
  <c r="BE139" i="7"/>
  <c r="BF139" i="7"/>
  <c r="BG139" i="7"/>
  <c r="BH139" i="7"/>
  <c r="BI139" i="7"/>
  <c r="BJ139" i="7"/>
  <c r="BL139" i="7"/>
  <c r="BM139" i="7"/>
  <c r="BN139" i="7"/>
  <c r="BO139" i="7"/>
  <c r="BP139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AA140" i="7"/>
  <c r="AB140" i="7"/>
  <c r="AC140" i="7"/>
  <c r="AD140" i="7"/>
  <c r="AE140" i="7"/>
  <c r="AF140" i="7"/>
  <c r="AG140" i="7"/>
  <c r="AH140" i="7"/>
  <c r="AI140" i="7"/>
  <c r="AK140" i="7"/>
  <c r="AL140" i="7"/>
  <c r="AM140" i="7"/>
  <c r="AN140" i="7"/>
  <c r="AO140" i="7"/>
  <c r="AP140" i="7"/>
  <c r="AQ140" i="7"/>
  <c r="AR140" i="7"/>
  <c r="AS140" i="7"/>
  <c r="BB140" i="7"/>
  <c r="BC140" i="7"/>
  <c r="BD140" i="7"/>
  <c r="BE140" i="7"/>
  <c r="BF140" i="7"/>
  <c r="BG140" i="7"/>
  <c r="BH140" i="7"/>
  <c r="BI140" i="7"/>
  <c r="BJ140" i="7"/>
  <c r="BL140" i="7"/>
  <c r="BM140" i="7"/>
  <c r="BN140" i="7"/>
  <c r="BO140" i="7"/>
  <c r="BP140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AA141" i="7"/>
  <c r="AB141" i="7"/>
  <c r="AC141" i="7"/>
  <c r="AD141" i="7"/>
  <c r="AE141" i="7"/>
  <c r="AF141" i="7"/>
  <c r="AG141" i="7"/>
  <c r="AH141" i="7"/>
  <c r="AI141" i="7"/>
  <c r="AK141" i="7"/>
  <c r="AL141" i="7"/>
  <c r="AM141" i="7"/>
  <c r="AN141" i="7"/>
  <c r="AO141" i="7"/>
  <c r="AP141" i="7"/>
  <c r="AQ141" i="7"/>
  <c r="AR141" i="7"/>
  <c r="AS141" i="7"/>
  <c r="BB141" i="7"/>
  <c r="BC141" i="7"/>
  <c r="BD141" i="7"/>
  <c r="BE141" i="7"/>
  <c r="BF141" i="7"/>
  <c r="BG141" i="7"/>
  <c r="BH141" i="7"/>
  <c r="BI141" i="7"/>
  <c r="BJ141" i="7"/>
  <c r="BL141" i="7"/>
  <c r="BM141" i="7"/>
  <c r="BN141" i="7"/>
  <c r="BO141" i="7"/>
  <c r="BP141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AA142" i="7"/>
  <c r="AB142" i="7"/>
  <c r="AC142" i="7"/>
  <c r="AD142" i="7"/>
  <c r="AE142" i="7"/>
  <c r="AF142" i="7"/>
  <c r="AG142" i="7"/>
  <c r="AH142" i="7"/>
  <c r="AI142" i="7"/>
  <c r="AK142" i="7"/>
  <c r="AL142" i="7"/>
  <c r="AM142" i="7"/>
  <c r="AN142" i="7"/>
  <c r="AO142" i="7"/>
  <c r="AP142" i="7"/>
  <c r="AQ142" i="7"/>
  <c r="AR142" i="7"/>
  <c r="AS142" i="7"/>
  <c r="BB142" i="7"/>
  <c r="BC142" i="7"/>
  <c r="BD142" i="7"/>
  <c r="BE142" i="7"/>
  <c r="BF142" i="7"/>
  <c r="BG142" i="7"/>
  <c r="BH142" i="7"/>
  <c r="BI142" i="7"/>
  <c r="BJ142" i="7"/>
  <c r="BL142" i="7"/>
  <c r="BM142" i="7"/>
  <c r="BN142" i="7"/>
  <c r="BO142" i="7"/>
  <c r="BP142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AA143" i="7"/>
  <c r="AB143" i="7"/>
  <c r="AC143" i="7"/>
  <c r="AD143" i="7"/>
  <c r="AE143" i="7"/>
  <c r="AF143" i="7"/>
  <c r="AG143" i="7"/>
  <c r="AH143" i="7"/>
  <c r="AI143" i="7"/>
  <c r="AK143" i="7"/>
  <c r="AL143" i="7"/>
  <c r="AM143" i="7"/>
  <c r="AN143" i="7"/>
  <c r="AO143" i="7"/>
  <c r="AP143" i="7"/>
  <c r="AQ143" i="7"/>
  <c r="AR143" i="7"/>
  <c r="AS143" i="7"/>
  <c r="BB143" i="7"/>
  <c r="BC143" i="7"/>
  <c r="BD143" i="7"/>
  <c r="BE143" i="7"/>
  <c r="BF143" i="7"/>
  <c r="BG143" i="7"/>
  <c r="BH143" i="7"/>
  <c r="BI143" i="7"/>
  <c r="BJ143" i="7"/>
  <c r="BL143" i="7"/>
  <c r="BM143" i="7"/>
  <c r="BN143" i="7"/>
  <c r="BO143" i="7"/>
  <c r="BP143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AA144" i="7"/>
  <c r="AB144" i="7"/>
  <c r="AC144" i="7"/>
  <c r="AD144" i="7"/>
  <c r="AE144" i="7"/>
  <c r="AF144" i="7"/>
  <c r="AG144" i="7"/>
  <c r="AH144" i="7"/>
  <c r="AI144" i="7"/>
  <c r="AK144" i="7"/>
  <c r="AL144" i="7"/>
  <c r="AM144" i="7"/>
  <c r="AN144" i="7"/>
  <c r="AO144" i="7"/>
  <c r="AP144" i="7"/>
  <c r="AQ144" i="7"/>
  <c r="AR144" i="7"/>
  <c r="AS144" i="7"/>
  <c r="BB144" i="7"/>
  <c r="BC144" i="7"/>
  <c r="BD144" i="7"/>
  <c r="BE144" i="7"/>
  <c r="BF144" i="7"/>
  <c r="BG144" i="7"/>
  <c r="BH144" i="7"/>
  <c r="BI144" i="7"/>
  <c r="BJ144" i="7"/>
  <c r="BL144" i="7"/>
  <c r="BM144" i="7"/>
  <c r="BN144" i="7"/>
  <c r="BO144" i="7"/>
  <c r="BP144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AA145" i="7"/>
  <c r="AB145" i="7"/>
  <c r="AC145" i="7"/>
  <c r="AD145" i="7"/>
  <c r="AE145" i="7"/>
  <c r="AF145" i="7"/>
  <c r="AG145" i="7"/>
  <c r="AH145" i="7"/>
  <c r="AI145" i="7"/>
  <c r="AK145" i="7"/>
  <c r="AL145" i="7"/>
  <c r="AM145" i="7"/>
  <c r="AN145" i="7"/>
  <c r="AO145" i="7"/>
  <c r="AP145" i="7"/>
  <c r="AQ145" i="7"/>
  <c r="AR145" i="7"/>
  <c r="AS145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AA146" i="7"/>
  <c r="AB146" i="7"/>
  <c r="AC146" i="7"/>
  <c r="AD146" i="7"/>
  <c r="AE146" i="7"/>
  <c r="AF146" i="7"/>
  <c r="AG146" i="7"/>
  <c r="AH146" i="7"/>
  <c r="AI146" i="7"/>
  <c r="AK146" i="7"/>
  <c r="AL146" i="7"/>
  <c r="AM146" i="7"/>
  <c r="AN146" i="7"/>
  <c r="AO146" i="7"/>
  <c r="AP146" i="7"/>
  <c r="AQ146" i="7"/>
  <c r="AR146" i="7"/>
  <c r="AS146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AA147" i="7"/>
  <c r="AB147" i="7"/>
  <c r="AC147" i="7"/>
  <c r="AD147" i="7"/>
  <c r="AE147" i="7"/>
  <c r="AF147" i="7"/>
  <c r="AG147" i="7"/>
  <c r="AH147" i="7"/>
  <c r="AI147" i="7"/>
  <c r="AK147" i="7"/>
  <c r="AL147" i="7"/>
  <c r="AM147" i="7"/>
  <c r="AN147" i="7"/>
  <c r="AO147" i="7"/>
  <c r="AP147" i="7"/>
  <c r="AQ147" i="7"/>
  <c r="AR147" i="7"/>
  <c r="AS147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AA148" i="7"/>
  <c r="AB148" i="7"/>
  <c r="AC148" i="7"/>
  <c r="AD148" i="7"/>
  <c r="AE148" i="7"/>
  <c r="AF148" i="7"/>
  <c r="AG148" i="7"/>
  <c r="AH148" i="7"/>
  <c r="AI148" i="7"/>
  <c r="AK148" i="7"/>
  <c r="AL148" i="7"/>
  <c r="AM148" i="7"/>
  <c r="AN148" i="7"/>
  <c r="AO148" i="7"/>
  <c r="AP148" i="7"/>
  <c r="AQ148" i="7"/>
  <c r="AR148" i="7"/>
  <c r="AS148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AA149" i="7"/>
  <c r="AB149" i="7"/>
  <c r="AC149" i="7"/>
  <c r="AD149" i="7"/>
  <c r="AE149" i="7"/>
  <c r="AF149" i="7"/>
  <c r="AG149" i="7"/>
  <c r="AH149" i="7"/>
  <c r="AI149" i="7"/>
  <c r="AK149" i="7"/>
  <c r="AL149" i="7"/>
  <c r="AM149" i="7"/>
  <c r="AN149" i="7"/>
  <c r="AO149" i="7"/>
  <c r="AP149" i="7"/>
  <c r="AQ149" i="7"/>
  <c r="AR149" i="7"/>
  <c r="AS149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AA150" i="7"/>
  <c r="AB150" i="7"/>
  <c r="AC150" i="7"/>
  <c r="AD150" i="7"/>
  <c r="AE150" i="7"/>
  <c r="AF150" i="7"/>
  <c r="AG150" i="7"/>
  <c r="AH150" i="7"/>
  <c r="AI150" i="7"/>
  <c r="AK150" i="7"/>
  <c r="AL150" i="7"/>
  <c r="AM150" i="7"/>
  <c r="AN150" i="7"/>
  <c r="AO150" i="7"/>
  <c r="AP150" i="7"/>
  <c r="AQ150" i="7"/>
  <c r="AR150" i="7"/>
  <c r="AS150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AA151" i="7"/>
  <c r="AB151" i="7"/>
  <c r="AC151" i="7"/>
  <c r="AD151" i="7"/>
  <c r="AE151" i="7"/>
  <c r="AF151" i="7"/>
  <c r="AG151" i="7"/>
  <c r="AH151" i="7"/>
  <c r="AI151" i="7"/>
  <c r="AK151" i="7"/>
  <c r="AL151" i="7"/>
  <c r="AM151" i="7"/>
  <c r="AN151" i="7"/>
  <c r="AO151" i="7"/>
  <c r="AP151" i="7"/>
  <c r="AQ151" i="7"/>
  <c r="AR151" i="7"/>
  <c r="AS151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AA152" i="7"/>
  <c r="AB152" i="7"/>
  <c r="AC152" i="7"/>
  <c r="AD152" i="7"/>
  <c r="AE152" i="7"/>
  <c r="AF152" i="7"/>
  <c r="AG152" i="7"/>
  <c r="AH152" i="7"/>
  <c r="AI152" i="7"/>
  <c r="AK152" i="7"/>
  <c r="AL152" i="7"/>
  <c r="AM152" i="7"/>
  <c r="AN152" i="7"/>
  <c r="AO152" i="7"/>
  <c r="AP152" i="7"/>
  <c r="AQ152" i="7"/>
  <c r="AR152" i="7"/>
  <c r="AS152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AA153" i="7"/>
  <c r="AB153" i="7"/>
  <c r="AC153" i="7"/>
  <c r="AD153" i="7"/>
  <c r="AE153" i="7"/>
  <c r="AF153" i="7"/>
  <c r="AG153" i="7"/>
  <c r="AH153" i="7"/>
  <c r="AI153" i="7"/>
  <c r="AK153" i="7"/>
  <c r="AL153" i="7"/>
  <c r="AM153" i="7"/>
  <c r="AN153" i="7"/>
  <c r="AO153" i="7"/>
  <c r="AP153" i="7"/>
  <c r="AQ153" i="7"/>
  <c r="AR153" i="7"/>
  <c r="AS153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AA154" i="7"/>
  <c r="AB154" i="7"/>
  <c r="AC154" i="7"/>
  <c r="AD154" i="7"/>
  <c r="AE154" i="7"/>
  <c r="AF154" i="7"/>
  <c r="AG154" i="7"/>
  <c r="AH154" i="7"/>
  <c r="AI154" i="7"/>
  <c r="AK154" i="7"/>
  <c r="AL154" i="7"/>
  <c r="AM154" i="7"/>
  <c r="AN154" i="7"/>
  <c r="AO154" i="7"/>
  <c r="AP154" i="7"/>
  <c r="AQ154" i="7"/>
  <c r="AR154" i="7"/>
  <c r="AS154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AA155" i="7"/>
  <c r="AB155" i="7"/>
  <c r="AC155" i="7"/>
  <c r="AD155" i="7"/>
  <c r="AE155" i="7"/>
  <c r="AF155" i="7"/>
  <c r="AG155" i="7"/>
  <c r="AH155" i="7"/>
  <c r="AI155" i="7"/>
  <c r="AK155" i="7"/>
  <c r="AL155" i="7"/>
  <c r="AM155" i="7"/>
  <c r="AN155" i="7"/>
  <c r="AO155" i="7"/>
  <c r="AP155" i="7"/>
  <c r="AQ155" i="7"/>
  <c r="AR155" i="7"/>
  <c r="AS155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AA156" i="7"/>
  <c r="AB156" i="7"/>
  <c r="AC156" i="7"/>
  <c r="AD156" i="7"/>
  <c r="AE156" i="7"/>
  <c r="AF156" i="7"/>
  <c r="AG156" i="7"/>
  <c r="AH156" i="7"/>
  <c r="AI156" i="7"/>
  <c r="AK156" i="7"/>
  <c r="AL156" i="7"/>
  <c r="AM156" i="7"/>
  <c r="AN156" i="7"/>
  <c r="AO156" i="7"/>
  <c r="AP156" i="7"/>
  <c r="AQ156" i="7"/>
  <c r="AR156" i="7"/>
  <c r="AS156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AA157" i="7"/>
  <c r="AB157" i="7"/>
  <c r="AC157" i="7"/>
  <c r="AD157" i="7"/>
  <c r="AE157" i="7"/>
  <c r="AF157" i="7"/>
  <c r="AG157" i="7"/>
  <c r="AH157" i="7"/>
  <c r="AI157" i="7"/>
  <c r="AK157" i="7"/>
  <c r="AL157" i="7"/>
  <c r="AM157" i="7"/>
  <c r="AN157" i="7"/>
  <c r="AO157" i="7"/>
  <c r="AP157" i="7"/>
  <c r="AQ157" i="7"/>
  <c r="AR157" i="7"/>
  <c r="AS157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AA158" i="7"/>
  <c r="AB158" i="7"/>
  <c r="AC158" i="7"/>
  <c r="AD158" i="7"/>
  <c r="AE158" i="7"/>
  <c r="AF158" i="7"/>
  <c r="AG158" i="7"/>
  <c r="AH158" i="7"/>
  <c r="AI158" i="7"/>
  <c r="AK158" i="7"/>
  <c r="AL158" i="7"/>
  <c r="AM158" i="7"/>
  <c r="AN158" i="7"/>
  <c r="AO158" i="7"/>
  <c r="AP158" i="7"/>
  <c r="AQ158" i="7"/>
  <c r="AR158" i="7"/>
  <c r="AS158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AA159" i="7"/>
  <c r="AB159" i="7"/>
  <c r="AC159" i="7"/>
  <c r="AD159" i="7"/>
  <c r="AE159" i="7"/>
  <c r="AF159" i="7"/>
  <c r="AG159" i="7"/>
  <c r="AH159" i="7"/>
  <c r="AI159" i="7"/>
  <c r="AK159" i="7"/>
  <c r="AL159" i="7"/>
  <c r="AM159" i="7"/>
  <c r="AN159" i="7"/>
  <c r="AO159" i="7"/>
  <c r="AP159" i="7"/>
  <c r="AQ159" i="7"/>
  <c r="AR159" i="7"/>
  <c r="AS159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AA160" i="7"/>
  <c r="AB160" i="7"/>
  <c r="AC160" i="7"/>
  <c r="AD160" i="7"/>
  <c r="AE160" i="7"/>
  <c r="AF160" i="7"/>
  <c r="AG160" i="7"/>
  <c r="AH160" i="7"/>
  <c r="AI160" i="7"/>
  <c r="AK160" i="7"/>
  <c r="AL160" i="7"/>
  <c r="AM160" i="7"/>
  <c r="AN160" i="7"/>
  <c r="AO160" i="7"/>
  <c r="AP160" i="7"/>
  <c r="AQ160" i="7"/>
  <c r="AR160" i="7"/>
  <c r="AS160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AA161" i="7"/>
  <c r="AB161" i="7"/>
  <c r="AC161" i="7"/>
  <c r="AD161" i="7"/>
  <c r="AE161" i="7"/>
  <c r="AF161" i="7"/>
  <c r="AG161" i="7"/>
  <c r="AH161" i="7"/>
  <c r="AI161" i="7"/>
  <c r="AK161" i="7"/>
  <c r="AL161" i="7"/>
  <c r="AM161" i="7"/>
  <c r="AN161" i="7"/>
  <c r="AO161" i="7"/>
  <c r="AP161" i="7"/>
  <c r="AQ161" i="7"/>
  <c r="AR161" i="7"/>
  <c r="AS161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AA162" i="7"/>
  <c r="AB162" i="7"/>
  <c r="AC162" i="7"/>
  <c r="AD162" i="7"/>
  <c r="AE162" i="7"/>
  <c r="AF162" i="7"/>
  <c r="AG162" i="7"/>
  <c r="AH162" i="7"/>
  <c r="AI162" i="7"/>
  <c r="AK162" i="7"/>
  <c r="AL162" i="7"/>
  <c r="AM162" i="7"/>
  <c r="AN162" i="7"/>
  <c r="AO162" i="7"/>
  <c r="AP162" i="7"/>
  <c r="AQ162" i="7"/>
  <c r="AR162" i="7"/>
  <c r="AS162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AA163" i="7"/>
  <c r="AB163" i="7"/>
  <c r="AC163" i="7"/>
  <c r="AD163" i="7"/>
  <c r="AE163" i="7"/>
  <c r="AF163" i="7"/>
  <c r="AG163" i="7"/>
  <c r="AH163" i="7"/>
  <c r="AI163" i="7"/>
  <c r="AK163" i="7"/>
  <c r="AL163" i="7"/>
  <c r="AM163" i="7"/>
  <c r="AN163" i="7"/>
  <c r="AO163" i="7"/>
  <c r="AP163" i="7"/>
  <c r="AQ163" i="7"/>
  <c r="AR163" i="7"/>
  <c r="AS163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AA164" i="7"/>
  <c r="AB164" i="7"/>
  <c r="AC164" i="7"/>
  <c r="AD164" i="7"/>
  <c r="AE164" i="7"/>
  <c r="AF164" i="7"/>
  <c r="AG164" i="7"/>
  <c r="AH164" i="7"/>
  <c r="AI164" i="7"/>
  <c r="AK164" i="7"/>
  <c r="AL164" i="7"/>
  <c r="AM164" i="7"/>
  <c r="AN164" i="7"/>
  <c r="AO164" i="7"/>
  <c r="AP164" i="7"/>
  <c r="AQ164" i="7"/>
  <c r="AR164" i="7"/>
  <c r="AS164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AA165" i="7"/>
  <c r="AB165" i="7"/>
  <c r="AC165" i="7"/>
  <c r="AD165" i="7"/>
  <c r="AE165" i="7"/>
  <c r="AF165" i="7"/>
  <c r="AG165" i="7"/>
  <c r="AH165" i="7"/>
  <c r="AI165" i="7"/>
  <c r="AK165" i="7"/>
  <c r="AL165" i="7"/>
  <c r="AM165" i="7"/>
  <c r="AN165" i="7"/>
  <c r="AO165" i="7"/>
  <c r="AP165" i="7"/>
  <c r="AQ165" i="7"/>
  <c r="AR165" i="7"/>
  <c r="AS165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AA166" i="7"/>
  <c r="AB166" i="7"/>
  <c r="AC166" i="7"/>
  <c r="AD166" i="7"/>
  <c r="AE166" i="7"/>
  <c r="AF166" i="7"/>
  <c r="AG166" i="7"/>
  <c r="AH166" i="7"/>
  <c r="AI166" i="7"/>
  <c r="AK166" i="7"/>
  <c r="AL166" i="7"/>
  <c r="AM166" i="7"/>
  <c r="AN166" i="7"/>
  <c r="AO166" i="7"/>
  <c r="AP166" i="7"/>
  <c r="AQ166" i="7"/>
  <c r="AR166" i="7"/>
  <c r="AS166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AA167" i="7"/>
  <c r="AB167" i="7"/>
  <c r="AC167" i="7"/>
  <c r="AD167" i="7"/>
  <c r="AE167" i="7"/>
  <c r="AF167" i="7"/>
  <c r="AG167" i="7"/>
  <c r="AH167" i="7"/>
  <c r="AI167" i="7"/>
  <c r="AK167" i="7"/>
  <c r="AL167" i="7"/>
  <c r="AM167" i="7"/>
  <c r="AN167" i="7"/>
  <c r="AO167" i="7"/>
  <c r="AP167" i="7"/>
  <c r="AQ167" i="7"/>
  <c r="AR167" i="7"/>
  <c r="AS167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X232" i="7"/>
  <c r="X233" i="7"/>
  <c r="X234" i="7"/>
  <c r="X235" i="7"/>
  <c r="X236" i="7"/>
  <c r="X237" i="7"/>
  <c r="X238" i="7"/>
  <c r="X239" i="7"/>
  <c r="X240" i="7"/>
  <c r="X241" i="7"/>
  <c r="X250" i="7"/>
  <c r="X251" i="7"/>
  <c r="X252" i="7"/>
  <c r="X253" i="7"/>
  <c r="X254" i="7"/>
  <c r="X255" i="7"/>
  <c r="X256" i="7"/>
  <c r="X257" i="7"/>
  <c r="X258" i="7"/>
  <c r="X259" i="7"/>
  <c r="X260" i="7"/>
  <c r="X261" i="7"/>
  <c r="X262" i="7"/>
  <c r="X263" i="7"/>
  <c r="X264" i="7"/>
  <c r="X265" i="7"/>
  <c r="X266" i="7"/>
  <c r="X267" i="7"/>
  <c r="X268" i="7"/>
  <c r="X269" i="7"/>
  <c r="X270" i="7"/>
  <c r="X271" i="7"/>
  <c r="X272" i="7"/>
  <c r="X273" i="7"/>
  <c r="X274" i="7"/>
  <c r="X275" i="7"/>
  <c r="X276" i="7"/>
  <c r="X277" i="7"/>
  <c r="X278" i="7"/>
  <c r="X279" i="7"/>
  <c r="X280" i="7"/>
  <c r="X281" i="7"/>
  <c r="X282" i="7"/>
  <c r="X283" i="7"/>
  <c r="X284" i="7"/>
  <c r="X285" i="7"/>
  <c r="X286" i="7"/>
  <c r="X287" i="7"/>
  <c r="X288" i="7"/>
  <c r="X289" i="7"/>
  <c r="X290" i="7"/>
  <c r="X291" i="7"/>
  <c r="X292" i="7"/>
  <c r="X293" i="7"/>
  <c r="X294" i="7"/>
  <c r="X295" i="7"/>
  <c r="X296" i="7"/>
  <c r="X297" i="7"/>
  <c r="X298" i="7"/>
  <c r="X299" i="7"/>
  <c r="X300" i="7"/>
  <c r="X301" i="7"/>
  <c r="X302" i="7"/>
  <c r="X303" i="7"/>
  <c r="X304" i="7"/>
  <c r="X305" i="7"/>
  <c r="X306" i="7"/>
  <c r="X307" i="7"/>
  <c r="X308" i="7"/>
  <c r="X309" i="7"/>
  <c r="X310" i="7"/>
  <c r="X311" i="7"/>
  <c r="X312" i="7"/>
  <c r="X313" i="7"/>
  <c r="X314" i="7"/>
  <c r="X315" i="7"/>
  <c r="X316" i="7"/>
  <c r="X317" i="7"/>
  <c r="X318" i="7"/>
  <c r="X319" i="7"/>
  <c r="X320" i="7"/>
  <c r="X321" i="7"/>
  <c r="X322" i="7"/>
  <c r="X323" i="7"/>
  <c r="X324" i="7"/>
  <c r="X325" i="7"/>
  <c r="X326" i="7"/>
  <c r="X327" i="7"/>
  <c r="X328" i="7"/>
  <c r="X329" i="7"/>
  <c r="X330" i="7"/>
  <c r="X331" i="7"/>
  <c r="X332" i="7"/>
  <c r="X333" i="7"/>
  <c r="X334" i="7"/>
  <c r="X335" i="7"/>
  <c r="X336" i="7"/>
  <c r="X337" i="7"/>
  <c r="X338" i="7"/>
  <c r="X339" i="7"/>
  <c r="X340" i="7"/>
  <c r="X341" i="7"/>
  <c r="X342" i="7"/>
  <c r="X343" i="7"/>
  <c r="X344" i="7"/>
  <c r="X345" i="7"/>
  <c r="X346" i="7"/>
  <c r="X347" i="7"/>
  <c r="X348" i="7"/>
  <c r="X349" i="7"/>
  <c r="X350" i="7"/>
  <c r="X351" i="7"/>
  <c r="X352" i="7"/>
  <c r="X353" i="7"/>
  <c r="X354" i="7"/>
  <c r="X355" i="7"/>
  <c r="X356" i="7"/>
  <c r="X357" i="7"/>
  <c r="X358" i="7"/>
  <c r="X359" i="7"/>
  <c r="X360" i="7"/>
  <c r="X361" i="7"/>
  <c r="X362" i="7"/>
  <c r="X363" i="7"/>
  <c r="X364" i="7"/>
  <c r="X365" i="7"/>
  <c r="X366" i="7"/>
  <c r="X367" i="7"/>
  <c r="X368" i="7"/>
  <c r="X369" i="7"/>
  <c r="X370" i="7"/>
  <c r="X371" i="7"/>
  <c r="X372" i="7"/>
  <c r="X373" i="7"/>
  <c r="X374" i="7"/>
  <c r="X375" i="7"/>
  <c r="X376" i="7"/>
  <c r="X377" i="7"/>
  <c r="X378" i="7"/>
  <c r="X379" i="7"/>
  <c r="X380" i="7"/>
  <c r="X381" i="7"/>
  <c r="X382" i="7"/>
  <c r="X383" i="7"/>
  <c r="X384" i="7"/>
  <c r="X385" i="7"/>
  <c r="X386" i="7"/>
  <c r="X387" i="7"/>
  <c r="X388" i="7"/>
  <c r="X389" i="7"/>
  <c r="X390" i="7"/>
  <c r="X391" i="7"/>
  <c r="X392" i="7"/>
  <c r="B3" i="12"/>
  <c r="O3" i="12"/>
  <c r="P3" i="12"/>
  <c r="T6" i="12"/>
  <c r="I7" i="12"/>
  <c r="J7" i="12"/>
  <c r="K7" i="12"/>
  <c r="L7" i="12"/>
  <c r="M7" i="12"/>
  <c r="O7" i="12"/>
  <c r="S7" i="12"/>
  <c r="T7" i="12"/>
  <c r="I8" i="12"/>
  <c r="J8" i="12"/>
  <c r="K8" i="12"/>
  <c r="L8" i="12"/>
  <c r="M8" i="12"/>
  <c r="O8" i="12"/>
  <c r="S8" i="12"/>
  <c r="T8" i="12"/>
  <c r="I9" i="12"/>
  <c r="J9" i="12"/>
  <c r="K9" i="12"/>
  <c r="L9" i="12"/>
  <c r="M9" i="12"/>
  <c r="O9" i="12"/>
  <c r="S9" i="12"/>
  <c r="T9" i="12"/>
  <c r="I10" i="12"/>
  <c r="J10" i="12"/>
  <c r="K10" i="12"/>
  <c r="L10" i="12"/>
  <c r="M10" i="12"/>
  <c r="O10" i="12"/>
  <c r="S10" i="12"/>
  <c r="T10" i="12"/>
  <c r="I11" i="12"/>
  <c r="J11" i="12"/>
  <c r="K11" i="12"/>
  <c r="L11" i="12"/>
  <c r="M11" i="12"/>
  <c r="S11" i="12"/>
  <c r="T11" i="12"/>
  <c r="I12" i="12"/>
  <c r="J12" i="12"/>
  <c r="K12" i="12"/>
  <c r="L12" i="12"/>
  <c r="M12" i="12"/>
  <c r="S12" i="12"/>
  <c r="T12" i="12"/>
  <c r="I13" i="12"/>
  <c r="J13" i="12"/>
  <c r="K13" i="12"/>
  <c r="L13" i="12"/>
  <c r="M13" i="12"/>
  <c r="O13" i="12"/>
  <c r="S13" i="12"/>
  <c r="T13" i="12"/>
  <c r="I14" i="12"/>
  <c r="J14" i="12"/>
  <c r="K14" i="12"/>
  <c r="L14" i="12"/>
  <c r="M14" i="12"/>
  <c r="S14" i="12"/>
  <c r="T14" i="12"/>
  <c r="I15" i="12"/>
  <c r="J15" i="12"/>
  <c r="K15" i="12"/>
  <c r="L15" i="12"/>
  <c r="M15" i="12"/>
  <c r="S15" i="12"/>
  <c r="T15" i="12"/>
  <c r="I16" i="12"/>
  <c r="J16" i="12"/>
  <c r="K16" i="12"/>
  <c r="L16" i="12"/>
  <c r="M16" i="12"/>
  <c r="N16" i="12"/>
  <c r="S16" i="12"/>
  <c r="T16" i="12"/>
  <c r="I17" i="12"/>
  <c r="J17" i="12"/>
  <c r="K17" i="12"/>
  <c r="L17" i="12"/>
  <c r="M17" i="12"/>
  <c r="N17" i="12"/>
  <c r="O17" i="12"/>
  <c r="P17" i="12"/>
  <c r="S17" i="12"/>
  <c r="T17" i="12"/>
  <c r="I18" i="12"/>
  <c r="J18" i="12"/>
  <c r="K18" i="12"/>
  <c r="L18" i="12"/>
  <c r="M18" i="12"/>
  <c r="N18" i="12"/>
  <c r="O18" i="12"/>
  <c r="P18" i="12"/>
  <c r="S18" i="12"/>
  <c r="T18" i="12"/>
  <c r="S19" i="12"/>
  <c r="T19" i="12"/>
  <c r="S20" i="12"/>
  <c r="T20" i="12"/>
  <c r="S21" i="12"/>
  <c r="T21" i="12"/>
  <c r="S22" i="12"/>
  <c r="T22" i="12"/>
  <c r="S23" i="12"/>
  <c r="T23" i="12"/>
  <c r="S24" i="12"/>
  <c r="T24" i="12"/>
  <c r="S25" i="12"/>
  <c r="T25" i="12"/>
  <c r="S26" i="12"/>
  <c r="T26" i="12"/>
  <c r="S27" i="12"/>
  <c r="T27" i="12"/>
  <c r="S28" i="12"/>
  <c r="T28" i="12"/>
  <c r="S29" i="12"/>
  <c r="T29" i="12"/>
  <c r="S30" i="12"/>
  <c r="T30" i="12"/>
  <c r="S31" i="12"/>
  <c r="T31" i="12"/>
  <c r="S32" i="12"/>
  <c r="T32" i="12"/>
  <c r="S33" i="12"/>
  <c r="T33" i="12"/>
  <c r="S34" i="12"/>
  <c r="T34" i="12"/>
  <c r="S35" i="12"/>
  <c r="T35" i="12"/>
  <c r="S36" i="12"/>
  <c r="T36" i="12"/>
  <c r="S37" i="12"/>
  <c r="T37" i="12"/>
  <c r="S38" i="12"/>
  <c r="T38" i="12"/>
  <c r="S39" i="12"/>
  <c r="T39" i="12"/>
  <c r="S40" i="12"/>
  <c r="T40" i="12"/>
  <c r="S41" i="12"/>
  <c r="T41" i="12"/>
  <c r="S42" i="12"/>
  <c r="T42" i="12"/>
  <c r="S43" i="12"/>
  <c r="T43" i="12"/>
  <c r="S44" i="12"/>
  <c r="T44" i="12"/>
  <c r="S45" i="12"/>
  <c r="T45" i="12"/>
  <c r="S46" i="12"/>
  <c r="T46" i="12"/>
  <c r="S47" i="12"/>
  <c r="T47" i="12"/>
  <c r="S48" i="12"/>
  <c r="T48" i="12"/>
  <c r="S49" i="12"/>
  <c r="T49" i="12"/>
  <c r="S50" i="12"/>
  <c r="T50" i="12"/>
  <c r="S51" i="12"/>
  <c r="T51" i="12"/>
  <c r="S52" i="12"/>
  <c r="T52" i="12"/>
  <c r="S53" i="12"/>
  <c r="T53" i="12"/>
  <c r="S54" i="12"/>
  <c r="T54" i="12"/>
  <c r="S55" i="12"/>
  <c r="T55" i="12"/>
  <c r="S56" i="12"/>
  <c r="T56" i="12"/>
  <c r="S57" i="12"/>
  <c r="T57" i="12"/>
  <c r="S58" i="12"/>
  <c r="T58" i="12"/>
  <c r="S59" i="12"/>
  <c r="T59" i="12"/>
  <c r="S60" i="12"/>
  <c r="T60" i="12"/>
  <c r="S61" i="12"/>
  <c r="T61" i="12"/>
  <c r="S62" i="12"/>
  <c r="T62" i="12"/>
  <c r="S63" i="12"/>
  <c r="T63" i="12"/>
  <c r="S64" i="12"/>
  <c r="T64" i="12"/>
  <c r="S65" i="12"/>
  <c r="T65" i="12"/>
  <c r="S66" i="12"/>
  <c r="T66" i="12"/>
  <c r="S67" i="12"/>
  <c r="T67" i="12"/>
  <c r="S68" i="12"/>
  <c r="T68" i="12"/>
  <c r="S69" i="12"/>
  <c r="T69" i="12"/>
  <c r="S70" i="12"/>
  <c r="T70" i="12"/>
  <c r="S71" i="12"/>
  <c r="T71" i="12"/>
  <c r="S72" i="12"/>
  <c r="T72" i="12"/>
  <c r="S73" i="12"/>
  <c r="T73" i="12"/>
  <c r="S74" i="12"/>
  <c r="T74" i="12"/>
  <c r="S75" i="12"/>
  <c r="T75" i="12"/>
  <c r="S76" i="12"/>
  <c r="T76" i="12"/>
  <c r="S77" i="12"/>
  <c r="T77" i="12"/>
  <c r="S78" i="12"/>
  <c r="T78" i="12"/>
  <c r="S79" i="12"/>
  <c r="T79" i="12"/>
  <c r="S80" i="12"/>
  <c r="T80" i="12"/>
  <c r="S81" i="12"/>
  <c r="T81" i="12"/>
  <c r="S82" i="12"/>
  <c r="T82" i="12"/>
  <c r="S83" i="12"/>
  <c r="T83" i="12"/>
  <c r="S84" i="12"/>
  <c r="T84" i="12"/>
  <c r="S85" i="12"/>
  <c r="T85" i="12"/>
  <c r="S86" i="12"/>
  <c r="T86" i="12"/>
  <c r="S87" i="12"/>
  <c r="T87" i="12"/>
  <c r="S88" i="12"/>
  <c r="T88" i="12"/>
  <c r="S89" i="12"/>
  <c r="T89" i="12"/>
  <c r="S90" i="12"/>
  <c r="T90" i="12"/>
  <c r="S91" i="12"/>
  <c r="T91" i="12"/>
  <c r="S92" i="12"/>
  <c r="T92" i="12"/>
  <c r="S93" i="12"/>
  <c r="T93" i="12"/>
  <c r="S94" i="12"/>
  <c r="T94" i="12"/>
  <c r="S95" i="12"/>
  <c r="T95" i="12"/>
  <c r="S96" i="12"/>
  <c r="T96" i="12"/>
  <c r="S97" i="12"/>
  <c r="T97" i="12"/>
  <c r="S98" i="12"/>
  <c r="T98" i="12"/>
  <c r="S99" i="12"/>
  <c r="T99" i="12"/>
  <c r="S100" i="12"/>
  <c r="T100" i="12"/>
  <c r="S101" i="12"/>
  <c r="T101" i="12"/>
  <c r="S102" i="12"/>
  <c r="T102" i="12"/>
  <c r="S103" i="12"/>
  <c r="T103" i="12"/>
  <c r="S104" i="12"/>
  <c r="T104" i="12"/>
  <c r="S105" i="12"/>
  <c r="T105" i="12"/>
  <c r="S106" i="12"/>
  <c r="T106" i="12"/>
  <c r="S107" i="12"/>
  <c r="T107" i="12"/>
  <c r="S108" i="12"/>
  <c r="T108" i="12"/>
  <c r="S109" i="12"/>
  <c r="T109" i="12"/>
  <c r="S110" i="12"/>
  <c r="T110" i="12"/>
  <c r="S111" i="12"/>
  <c r="T111" i="12"/>
  <c r="S112" i="12"/>
  <c r="T112" i="12"/>
  <c r="S113" i="12"/>
  <c r="T113" i="12"/>
  <c r="S114" i="12"/>
  <c r="T114" i="12"/>
  <c r="S115" i="12"/>
  <c r="T115" i="12"/>
  <c r="S116" i="12"/>
  <c r="T116" i="12"/>
  <c r="S117" i="12"/>
  <c r="T117" i="12"/>
  <c r="S118" i="12"/>
  <c r="T118" i="12"/>
  <c r="S119" i="12"/>
  <c r="T119" i="12"/>
  <c r="S120" i="12"/>
  <c r="T120" i="12"/>
  <c r="S121" i="12"/>
  <c r="T121" i="12"/>
  <c r="S122" i="12"/>
  <c r="T122" i="12"/>
  <c r="S123" i="12"/>
  <c r="T123" i="12"/>
  <c r="S124" i="12"/>
  <c r="T124" i="12"/>
  <c r="S125" i="12"/>
  <c r="T125" i="12"/>
  <c r="S126" i="12"/>
  <c r="T126" i="12"/>
  <c r="S127" i="12"/>
  <c r="T127" i="12"/>
  <c r="S128" i="12"/>
  <c r="T128" i="12"/>
  <c r="S129" i="12"/>
  <c r="T129" i="12"/>
  <c r="S130" i="12"/>
  <c r="T130" i="12"/>
  <c r="S131" i="12"/>
  <c r="T131" i="12"/>
  <c r="S132" i="12"/>
  <c r="T132" i="12"/>
  <c r="S133" i="12"/>
  <c r="T133" i="12"/>
  <c r="S134" i="12"/>
  <c r="T134" i="12"/>
  <c r="S135" i="12"/>
  <c r="T135" i="12"/>
  <c r="S136" i="12"/>
  <c r="T136" i="12"/>
  <c r="S137" i="12"/>
  <c r="T137" i="12"/>
  <c r="S138" i="12"/>
  <c r="T138" i="12"/>
  <c r="S139" i="12"/>
  <c r="T139" i="12"/>
  <c r="S140" i="12"/>
  <c r="T140" i="12"/>
  <c r="S141" i="12"/>
  <c r="T141" i="12"/>
  <c r="S142" i="12"/>
  <c r="T142" i="12"/>
  <c r="S143" i="12"/>
  <c r="T143" i="12"/>
  <c r="S144" i="12"/>
  <c r="T144" i="12"/>
  <c r="S145" i="12"/>
  <c r="T145" i="12"/>
  <c r="S146" i="12"/>
  <c r="T146" i="12"/>
  <c r="S147" i="12"/>
  <c r="T147" i="12"/>
  <c r="S148" i="12"/>
  <c r="T148" i="12"/>
  <c r="S149" i="12"/>
  <c r="T149" i="12"/>
  <c r="S150" i="12"/>
  <c r="T150" i="12"/>
  <c r="S151" i="12"/>
  <c r="T151" i="12"/>
  <c r="S152" i="12"/>
  <c r="T152" i="12"/>
  <c r="S153" i="12"/>
  <c r="T153" i="12"/>
  <c r="S154" i="12"/>
  <c r="T154" i="12"/>
  <c r="S155" i="12"/>
  <c r="T155" i="12"/>
  <c r="S156" i="12"/>
  <c r="T156" i="12"/>
  <c r="S157" i="12"/>
  <c r="T157" i="12"/>
  <c r="S158" i="12"/>
  <c r="T158" i="12"/>
  <c r="S159" i="12"/>
  <c r="T159" i="12"/>
  <c r="S160" i="12"/>
  <c r="T160" i="12"/>
  <c r="S161" i="12"/>
  <c r="T161" i="12"/>
  <c r="S162" i="12"/>
  <c r="T162" i="12"/>
  <c r="S163" i="12"/>
  <c r="T163" i="12"/>
  <c r="S164" i="12"/>
  <c r="T164" i="12"/>
  <c r="S165" i="12"/>
  <c r="T165" i="12"/>
  <c r="S166" i="12"/>
  <c r="T166" i="12"/>
  <c r="C5" i="25"/>
  <c r="D5" i="25"/>
  <c r="E5" i="25"/>
  <c r="F5" i="25"/>
  <c r="I5" i="25"/>
  <c r="J5" i="25"/>
  <c r="K5" i="25"/>
  <c r="L5" i="25"/>
  <c r="M5" i="25"/>
  <c r="B6" i="25"/>
  <c r="C6" i="25"/>
  <c r="D6" i="25"/>
  <c r="E6" i="25"/>
  <c r="F6" i="25"/>
  <c r="H6" i="25"/>
  <c r="I6" i="25"/>
  <c r="J6" i="25"/>
  <c r="K6" i="25"/>
  <c r="L6" i="25"/>
  <c r="M6" i="25"/>
  <c r="B7" i="25"/>
  <c r="C7" i="25"/>
  <c r="D7" i="25"/>
  <c r="E7" i="25"/>
  <c r="F7" i="25"/>
  <c r="H7" i="25"/>
  <c r="I7" i="25"/>
  <c r="J7" i="25"/>
  <c r="K7" i="25"/>
  <c r="L7" i="25"/>
  <c r="M7" i="25"/>
  <c r="B8" i="25"/>
  <c r="C8" i="25"/>
  <c r="D8" i="25"/>
  <c r="E8" i="25"/>
  <c r="F8" i="25"/>
  <c r="H8" i="25"/>
  <c r="I8" i="25"/>
  <c r="J8" i="25"/>
  <c r="K8" i="25"/>
  <c r="L8" i="25"/>
  <c r="M8" i="25"/>
  <c r="B9" i="25"/>
  <c r="C9" i="25"/>
  <c r="D9" i="25"/>
  <c r="E9" i="25"/>
  <c r="F9" i="25"/>
  <c r="H9" i="25"/>
  <c r="I9" i="25"/>
  <c r="J9" i="25"/>
  <c r="K9" i="25"/>
  <c r="L9" i="25"/>
  <c r="M9" i="25"/>
  <c r="B10" i="25"/>
  <c r="C10" i="25"/>
  <c r="D10" i="25"/>
  <c r="E10" i="25"/>
  <c r="F10" i="25"/>
  <c r="H10" i="25"/>
  <c r="I10" i="25"/>
  <c r="J10" i="25"/>
  <c r="K10" i="25"/>
  <c r="L10" i="25"/>
  <c r="M10" i="25"/>
  <c r="B11" i="25"/>
  <c r="C11" i="25"/>
  <c r="D11" i="25"/>
  <c r="E11" i="25"/>
  <c r="F11" i="25"/>
  <c r="H11" i="25"/>
  <c r="I11" i="25"/>
  <c r="J11" i="25"/>
  <c r="K11" i="25"/>
  <c r="L11" i="25"/>
  <c r="M11" i="25"/>
  <c r="B12" i="25"/>
  <c r="C12" i="25"/>
  <c r="D12" i="25"/>
  <c r="E12" i="25"/>
  <c r="F12" i="25"/>
  <c r="H12" i="25"/>
  <c r="I12" i="25"/>
  <c r="J12" i="25"/>
  <c r="K12" i="25"/>
  <c r="L12" i="25"/>
  <c r="M12" i="25"/>
  <c r="B13" i="25"/>
  <c r="C13" i="25"/>
  <c r="D13" i="25"/>
  <c r="E13" i="25"/>
  <c r="F13" i="25"/>
  <c r="H13" i="25"/>
  <c r="I13" i="25"/>
  <c r="J13" i="25"/>
  <c r="K13" i="25"/>
  <c r="L13" i="25"/>
  <c r="M13" i="25"/>
  <c r="B14" i="25"/>
  <c r="C14" i="25"/>
  <c r="D14" i="25"/>
  <c r="E14" i="25"/>
  <c r="F14" i="25"/>
  <c r="H14" i="25"/>
  <c r="I14" i="25"/>
  <c r="J14" i="25"/>
  <c r="K14" i="25"/>
  <c r="L14" i="25"/>
  <c r="M14" i="25"/>
  <c r="B15" i="25"/>
  <c r="C15" i="25"/>
  <c r="D15" i="25"/>
  <c r="E15" i="25"/>
  <c r="F15" i="25"/>
  <c r="H15" i="25"/>
  <c r="I15" i="25"/>
  <c r="J15" i="25"/>
  <c r="K15" i="25"/>
  <c r="L15" i="25"/>
  <c r="M15" i="25"/>
  <c r="B16" i="25"/>
  <c r="C16" i="25"/>
  <c r="D16" i="25"/>
  <c r="E16" i="25"/>
  <c r="F16" i="25"/>
  <c r="H16" i="25"/>
  <c r="I16" i="25"/>
  <c r="J16" i="25"/>
  <c r="K16" i="25"/>
  <c r="L16" i="25"/>
  <c r="M16" i="25"/>
  <c r="B17" i="25"/>
  <c r="C17" i="25"/>
  <c r="D17" i="25"/>
  <c r="E17" i="25"/>
  <c r="F17" i="25"/>
  <c r="H17" i="25"/>
  <c r="I17" i="25"/>
  <c r="J17" i="25"/>
  <c r="K17" i="25"/>
  <c r="L17" i="25"/>
  <c r="M17" i="25"/>
  <c r="B18" i="25"/>
  <c r="C18" i="25"/>
  <c r="D18" i="25"/>
  <c r="E18" i="25"/>
  <c r="F18" i="25"/>
  <c r="H18" i="25"/>
  <c r="J18" i="25"/>
  <c r="K18" i="25"/>
  <c r="L18" i="25"/>
  <c r="M18" i="25"/>
  <c r="B19" i="25"/>
  <c r="C19" i="25"/>
  <c r="D19" i="25"/>
  <c r="E19" i="25"/>
  <c r="F19" i="25"/>
  <c r="H19" i="25"/>
  <c r="J19" i="25"/>
  <c r="K19" i="25"/>
  <c r="L19" i="25"/>
  <c r="M19" i="25"/>
  <c r="B20" i="25"/>
  <c r="C20" i="25"/>
  <c r="D20" i="25"/>
  <c r="E20" i="25"/>
  <c r="F20" i="25"/>
  <c r="H20" i="25"/>
  <c r="J20" i="25"/>
  <c r="K20" i="25"/>
  <c r="L20" i="25"/>
  <c r="M20" i="25"/>
  <c r="B21" i="25"/>
  <c r="C21" i="25"/>
  <c r="D21" i="25"/>
  <c r="E21" i="25"/>
  <c r="F21" i="25"/>
  <c r="H21" i="25"/>
  <c r="J21" i="25"/>
  <c r="K21" i="25"/>
  <c r="L21" i="25"/>
  <c r="M21" i="25"/>
  <c r="B22" i="25"/>
  <c r="C22" i="25"/>
  <c r="D22" i="25"/>
  <c r="E22" i="25"/>
  <c r="F22" i="25"/>
  <c r="H22" i="25"/>
  <c r="J22" i="25"/>
  <c r="K22" i="25"/>
  <c r="L22" i="25"/>
  <c r="M22" i="25"/>
  <c r="B23" i="25"/>
  <c r="C23" i="25"/>
  <c r="D23" i="25"/>
  <c r="E23" i="25"/>
  <c r="F23" i="25"/>
  <c r="H23" i="25"/>
  <c r="J23" i="25"/>
  <c r="K23" i="25"/>
  <c r="L23" i="25"/>
  <c r="M23" i="25"/>
  <c r="B24" i="25"/>
  <c r="C24" i="25"/>
  <c r="D24" i="25"/>
  <c r="E24" i="25"/>
  <c r="F24" i="25"/>
  <c r="H24" i="25"/>
  <c r="J24" i="25"/>
  <c r="K24" i="25"/>
  <c r="L24" i="25"/>
  <c r="M24" i="25"/>
  <c r="B25" i="25"/>
  <c r="C25" i="25"/>
  <c r="D25" i="25"/>
  <c r="E25" i="25"/>
  <c r="F25" i="25"/>
  <c r="H25" i="25"/>
  <c r="J25" i="25"/>
  <c r="K25" i="25"/>
  <c r="L25" i="25"/>
  <c r="M25" i="25"/>
  <c r="B26" i="25"/>
  <c r="C26" i="25"/>
  <c r="D26" i="25"/>
  <c r="E26" i="25"/>
  <c r="F26" i="25"/>
  <c r="H26" i="25"/>
  <c r="J26" i="25"/>
  <c r="K26" i="25"/>
  <c r="L26" i="25"/>
  <c r="M26" i="25"/>
  <c r="B27" i="25"/>
  <c r="C27" i="25"/>
  <c r="D27" i="25"/>
  <c r="E27" i="25"/>
  <c r="F27" i="25"/>
  <c r="H27" i="25"/>
  <c r="J27" i="25"/>
  <c r="K27" i="25"/>
  <c r="L27" i="25"/>
  <c r="M27" i="25"/>
  <c r="B28" i="25"/>
  <c r="C28" i="25"/>
  <c r="D28" i="25"/>
  <c r="E28" i="25"/>
  <c r="F28" i="25"/>
  <c r="H28" i="25"/>
  <c r="J28" i="25"/>
  <c r="K28" i="25"/>
  <c r="L28" i="25"/>
  <c r="M28" i="25"/>
  <c r="B29" i="25"/>
  <c r="C29" i="25"/>
  <c r="D29" i="25"/>
  <c r="E29" i="25"/>
  <c r="F29" i="25"/>
  <c r="H29" i="25"/>
  <c r="J29" i="25"/>
  <c r="K29" i="25"/>
  <c r="L29" i="25"/>
  <c r="M29" i="25"/>
  <c r="B30" i="25"/>
  <c r="C30" i="25"/>
  <c r="D30" i="25"/>
  <c r="E30" i="25"/>
  <c r="F30" i="25"/>
  <c r="H30" i="25"/>
  <c r="J30" i="25"/>
  <c r="K30" i="25"/>
  <c r="L30" i="25"/>
  <c r="M30" i="25"/>
  <c r="B31" i="25"/>
  <c r="C31" i="25"/>
  <c r="D31" i="25"/>
  <c r="E31" i="25"/>
  <c r="F31" i="25"/>
  <c r="H31" i="25"/>
  <c r="J31" i="25"/>
  <c r="K31" i="25"/>
  <c r="L31" i="25"/>
  <c r="M31" i="25"/>
  <c r="B32" i="25"/>
  <c r="C32" i="25"/>
  <c r="D32" i="25"/>
  <c r="E32" i="25"/>
  <c r="F32" i="25"/>
  <c r="H32" i="25"/>
  <c r="J32" i="25"/>
  <c r="K32" i="25"/>
  <c r="L32" i="25"/>
  <c r="M32" i="25"/>
  <c r="B33" i="25"/>
  <c r="C33" i="25"/>
  <c r="D33" i="25"/>
  <c r="E33" i="25"/>
  <c r="F33" i="25"/>
  <c r="H33" i="25"/>
  <c r="J33" i="25"/>
  <c r="K33" i="25"/>
  <c r="L33" i="25"/>
  <c r="M33" i="25"/>
  <c r="B34" i="25"/>
  <c r="C34" i="25"/>
  <c r="D34" i="25"/>
  <c r="E34" i="25"/>
  <c r="F34" i="25"/>
  <c r="H34" i="25"/>
  <c r="J34" i="25"/>
  <c r="K34" i="25"/>
  <c r="L34" i="25"/>
  <c r="M34" i="25"/>
  <c r="B35" i="25"/>
  <c r="C35" i="25"/>
  <c r="D35" i="25"/>
  <c r="E35" i="25"/>
  <c r="F35" i="25"/>
  <c r="H35" i="25"/>
  <c r="J35" i="25"/>
  <c r="K35" i="25"/>
  <c r="L35" i="25"/>
  <c r="M35" i="25"/>
  <c r="B36" i="25"/>
  <c r="C36" i="25"/>
  <c r="D36" i="25"/>
  <c r="E36" i="25"/>
  <c r="F36" i="25"/>
  <c r="H36" i="25"/>
  <c r="J36" i="25"/>
  <c r="K36" i="25"/>
  <c r="L36" i="25"/>
  <c r="M36" i="25"/>
  <c r="B37" i="25"/>
  <c r="C37" i="25"/>
  <c r="D37" i="25"/>
  <c r="E37" i="25"/>
  <c r="F37" i="25"/>
  <c r="H37" i="25"/>
  <c r="J37" i="25"/>
  <c r="K37" i="25"/>
  <c r="L37" i="25"/>
  <c r="M37" i="25"/>
  <c r="B4" i="8"/>
  <c r="J4" i="8"/>
  <c r="B5" i="8"/>
  <c r="J5" i="8"/>
  <c r="K5" i="8"/>
  <c r="B6" i="8"/>
  <c r="J6" i="8"/>
  <c r="K6" i="8"/>
  <c r="B7" i="8"/>
  <c r="J7" i="8"/>
  <c r="K7" i="8"/>
  <c r="B8" i="8"/>
  <c r="J8" i="8"/>
  <c r="K8" i="8"/>
  <c r="B9" i="8"/>
  <c r="J9" i="8"/>
  <c r="K9" i="8"/>
  <c r="B10" i="8"/>
  <c r="J10" i="8"/>
  <c r="K10" i="8"/>
  <c r="B11" i="8"/>
  <c r="J11" i="8"/>
  <c r="K11" i="8"/>
  <c r="B12" i="8"/>
  <c r="J12" i="8"/>
  <c r="K12" i="8"/>
  <c r="B13" i="8"/>
  <c r="J13" i="8"/>
  <c r="K13" i="8"/>
  <c r="B14" i="8"/>
  <c r="J14" i="8"/>
  <c r="K14" i="8"/>
  <c r="B15" i="8"/>
  <c r="J15" i="8"/>
  <c r="K15" i="8"/>
  <c r="B16" i="8"/>
  <c r="J16" i="8"/>
  <c r="K16" i="8"/>
  <c r="B17" i="8"/>
  <c r="J17" i="8"/>
  <c r="K17" i="8"/>
  <c r="B18" i="8"/>
  <c r="J18" i="8"/>
  <c r="K18" i="8"/>
  <c r="B19" i="8"/>
  <c r="J19" i="8"/>
  <c r="K19" i="8"/>
  <c r="B20" i="8"/>
  <c r="J20" i="8"/>
  <c r="K20" i="8"/>
  <c r="B21" i="8"/>
  <c r="J21" i="8"/>
  <c r="K21" i="8"/>
  <c r="B22" i="8"/>
  <c r="J22" i="8"/>
  <c r="K22" i="8"/>
  <c r="B23" i="8"/>
  <c r="J23" i="8"/>
  <c r="K23" i="8"/>
  <c r="B24" i="8"/>
  <c r="J24" i="8"/>
  <c r="K24" i="8"/>
  <c r="B25" i="8"/>
  <c r="J25" i="8"/>
  <c r="K25" i="8"/>
  <c r="B26" i="8"/>
  <c r="J26" i="8"/>
  <c r="K26" i="8"/>
  <c r="B27" i="8"/>
  <c r="J27" i="8"/>
  <c r="K27" i="8"/>
  <c r="B28" i="8"/>
  <c r="J28" i="8"/>
  <c r="K28" i="8"/>
  <c r="B29" i="8"/>
  <c r="J29" i="8"/>
  <c r="K29" i="8"/>
  <c r="B30" i="8"/>
  <c r="J30" i="8"/>
  <c r="K30" i="8"/>
  <c r="B31" i="8"/>
  <c r="J31" i="8"/>
  <c r="K31" i="8"/>
  <c r="B32" i="8"/>
  <c r="J32" i="8"/>
  <c r="K32" i="8"/>
  <c r="B33" i="8"/>
  <c r="J33" i="8"/>
  <c r="K33" i="8"/>
  <c r="B34" i="8"/>
  <c r="J34" i="8"/>
  <c r="K34" i="8"/>
  <c r="B35" i="8"/>
  <c r="J35" i="8"/>
  <c r="K35" i="8"/>
  <c r="B36" i="8"/>
  <c r="J36" i="8"/>
  <c r="K36" i="8"/>
  <c r="B37" i="8"/>
  <c r="J37" i="8"/>
  <c r="K37" i="8"/>
  <c r="B38" i="8"/>
  <c r="J38" i="8"/>
  <c r="K38" i="8"/>
  <c r="B39" i="8"/>
  <c r="J39" i="8"/>
  <c r="K39" i="8"/>
  <c r="B40" i="8"/>
  <c r="J40" i="8"/>
  <c r="K40" i="8"/>
  <c r="B41" i="8"/>
  <c r="J41" i="8"/>
  <c r="K41" i="8"/>
  <c r="B42" i="8"/>
  <c r="J42" i="8"/>
  <c r="K42" i="8"/>
  <c r="B43" i="8"/>
  <c r="J43" i="8"/>
  <c r="K43" i="8"/>
  <c r="B44" i="8"/>
  <c r="J44" i="8"/>
  <c r="K44" i="8"/>
  <c r="B45" i="8"/>
  <c r="J45" i="8"/>
  <c r="K45" i="8"/>
  <c r="B46" i="8"/>
  <c r="J46" i="8"/>
  <c r="K46" i="8"/>
  <c r="B47" i="8"/>
  <c r="J47" i="8"/>
  <c r="K47" i="8"/>
  <c r="B48" i="8"/>
  <c r="J48" i="8"/>
  <c r="K48" i="8"/>
  <c r="B49" i="8"/>
  <c r="J49" i="8"/>
  <c r="K49" i="8"/>
  <c r="B50" i="8"/>
  <c r="J50" i="8"/>
  <c r="K50" i="8"/>
  <c r="B51" i="8"/>
  <c r="J51" i="8"/>
  <c r="K51" i="8"/>
  <c r="B52" i="8"/>
  <c r="J52" i="8"/>
  <c r="K52" i="8"/>
  <c r="B53" i="8"/>
  <c r="J53" i="8"/>
  <c r="K53" i="8"/>
  <c r="B54" i="8"/>
  <c r="J54" i="8"/>
  <c r="K54" i="8"/>
  <c r="B55" i="8"/>
  <c r="J55" i="8"/>
  <c r="K55" i="8"/>
  <c r="B56" i="8"/>
  <c r="J56" i="8"/>
  <c r="K56" i="8"/>
  <c r="B57" i="8"/>
  <c r="J57" i="8"/>
  <c r="K57" i="8"/>
  <c r="B58" i="8"/>
  <c r="J58" i="8"/>
  <c r="K58" i="8"/>
  <c r="B59" i="8"/>
  <c r="J59" i="8"/>
  <c r="K59" i="8"/>
  <c r="B60" i="8"/>
  <c r="J60" i="8"/>
  <c r="K60" i="8"/>
  <c r="B61" i="8"/>
  <c r="J61" i="8"/>
  <c r="K61" i="8"/>
  <c r="B62" i="8"/>
  <c r="J62" i="8"/>
  <c r="K62" i="8"/>
  <c r="B63" i="8"/>
  <c r="J63" i="8"/>
  <c r="K63" i="8"/>
  <c r="B64" i="8"/>
  <c r="J64" i="8"/>
  <c r="K64" i="8"/>
  <c r="B65" i="8"/>
  <c r="J65" i="8"/>
  <c r="K65" i="8"/>
  <c r="B66" i="8"/>
  <c r="J66" i="8"/>
  <c r="K66" i="8"/>
  <c r="B67" i="8"/>
  <c r="J67" i="8"/>
  <c r="K67" i="8"/>
  <c r="B68" i="8"/>
  <c r="J68" i="8"/>
  <c r="K68" i="8"/>
  <c r="B69" i="8"/>
  <c r="J69" i="8"/>
  <c r="K69" i="8"/>
  <c r="B70" i="8"/>
  <c r="J70" i="8"/>
  <c r="K70" i="8"/>
  <c r="B71" i="8"/>
  <c r="J71" i="8"/>
  <c r="K71" i="8"/>
  <c r="B72" i="8"/>
  <c r="J72" i="8"/>
  <c r="K72" i="8"/>
  <c r="B73" i="8"/>
  <c r="J73" i="8"/>
  <c r="K73" i="8"/>
  <c r="B74" i="8"/>
  <c r="J74" i="8"/>
  <c r="K74" i="8"/>
  <c r="B75" i="8"/>
  <c r="J75" i="8"/>
  <c r="K75" i="8"/>
  <c r="B76" i="8"/>
  <c r="J76" i="8"/>
  <c r="K76" i="8"/>
  <c r="B77" i="8"/>
  <c r="J77" i="8"/>
  <c r="K77" i="8"/>
  <c r="B78" i="8"/>
  <c r="J78" i="8"/>
  <c r="K78" i="8"/>
  <c r="B79" i="8"/>
  <c r="J79" i="8"/>
  <c r="K79" i="8"/>
  <c r="B80" i="8"/>
  <c r="J80" i="8"/>
  <c r="K80" i="8"/>
  <c r="B81" i="8"/>
  <c r="J81" i="8"/>
  <c r="K81" i="8"/>
  <c r="B82" i="8"/>
  <c r="J82" i="8"/>
  <c r="K82" i="8"/>
  <c r="B83" i="8"/>
  <c r="J83" i="8"/>
  <c r="K83" i="8"/>
  <c r="B84" i="8"/>
  <c r="J84" i="8"/>
  <c r="K84" i="8"/>
  <c r="B85" i="8"/>
  <c r="J85" i="8"/>
  <c r="K85" i="8"/>
  <c r="B86" i="8"/>
  <c r="J86" i="8"/>
  <c r="K86" i="8"/>
  <c r="B87" i="8"/>
  <c r="J87" i="8"/>
  <c r="K87" i="8"/>
  <c r="B88" i="8"/>
  <c r="J88" i="8"/>
  <c r="K88" i="8"/>
  <c r="B89" i="8"/>
  <c r="J89" i="8"/>
  <c r="K89" i="8"/>
  <c r="B90" i="8"/>
  <c r="J90" i="8"/>
  <c r="K90" i="8"/>
  <c r="B91" i="8"/>
  <c r="J91" i="8"/>
  <c r="K91" i="8"/>
  <c r="B92" i="8"/>
  <c r="J92" i="8"/>
  <c r="K92" i="8"/>
  <c r="B93" i="8"/>
  <c r="J93" i="8"/>
  <c r="K93" i="8"/>
  <c r="B94" i="8"/>
  <c r="J94" i="8"/>
  <c r="K94" i="8"/>
  <c r="B95" i="8"/>
  <c r="J95" i="8"/>
  <c r="K95" i="8"/>
  <c r="B96" i="8"/>
  <c r="J96" i="8"/>
  <c r="K96" i="8"/>
  <c r="B97" i="8"/>
  <c r="J97" i="8"/>
  <c r="K97" i="8"/>
  <c r="B98" i="8"/>
  <c r="J98" i="8"/>
  <c r="K98" i="8"/>
  <c r="B99" i="8"/>
  <c r="J99" i="8"/>
  <c r="K99" i="8"/>
  <c r="B100" i="8"/>
  <c r="J100" i="8"/>
  <c r="K100" i="8"/>
  <c r="B101" i="8"/>
  <c r="J101" i="8"/>
  <c r="K101" i="8"/>
  <c r="B102" i="8"/>
  <c r="J102" i="8"/>
  <c r="K102" i="8"/>
  <c r="B103" i="8"/>
  <c r="J103" i="8"/>
  <c r="K103" i="8"/>
  <c r="B104" i="8"/>
  <c r="J104" i="8"/>
  <c r="K104" i="8"/>
  <c r="B105" i="8"/>
  <c r="J105" i="8"/>
  <c r="K105" i="8"/>
  <c r="B106" i="8"/>
  <c r="J106" i="8"/>
  <c r="K106" i="8"/>
  <c r="B107" i="8"/>
  <c r="J107" i="8"/>
  <c r="K107" i="8"/>
  <c r="B108" i="8"/>
  <c r="J108" i="8"/>
  <c r="K108" i="8"/>
  <c r="B109" i="8"/>
  <c r="J109" i="8"/>
  <c r="K109" i="8"/>
  <c r="B110" i="8"/>
  <c r="J110" i="8"/>
  <c r="K110" i="8"/>
  <c r="B111" i="8"/>
  <c r="J111" i="8"/>
  <c r="K111" i="8"/>
  <c r="B112" i="8"/>
  <c r="J112" i="8"/>
  <c r="K112" i="8"/>
  <c r="B113" i="8"/>
  <c r="J113" i="8"/>
  <c r="K113" i="8"/>
  <c r="B114" i="8"/>
  <c r="J114" i="8"/>
  <c r="K114" i="8"/>
  <c r="B115" i="8"/>
  <c r="J115" i="8"/>
  <c r="K115" i="8"/>
  <c r="B116" i="8"/>
  <c r="J116" i="8"/>
  <c r="K116" i="8"/>
  <c r="B117" i="8"/>
  <c r="J117" i="8"/>
  <c r="K117" i="8"/>
  <c r="B118" i="8"/>
  <c r="J118" i="8"/>
  <c r="K118" i="8"/>
  <c r="B119" i="8"/>
  <c r="J119" i="8"/>
  <c r="K119" i="8"/>
  <c r="B120" i="8"/>
  <c r="J120" i="8"/>
  <c r="K120" i="8"/>
  <c r="B121" i="8"/>
  <c r="J121" i="8"/>
  <c r="K121" i="8"/>
  <c r="B122" i="8"/>
  <c r="J122" i="8"/>
  <c r="K122" i="8"/>
  <c r="B123" i="8"/>
  <c r="J123" i="8"/>
  <c r="K123" i="8"/>
  <c r="B124" i="8"/>
  <c r="J124" i="8"/>
  <c r="K124" i="8"/>
  <c r="B125" i="8"/>
  <c r="J125" i="8"/>
  <c r="K125" i="8"/>
  <c r="B126" i="8"/>
  <c r="J126" i="8"/>
  <c r="K126" i="8"/>
  <c r="B127" i="8"/>
  <c r="J127" i="8"/>
  <c r="K127" i="8"/>
  <c r="B128" i="8"/>
  <c r="J128" i="8"/>
  <c r="K128" i="8"/>
  <c r="B129" i="8"/>
  <c r="J129" i="8"/>
  <c r="K129" i="8"/>
  <c r="B130" i="8"/>
  <c r="J130" i="8"/>
  <c r="K130" i="8"/>
  <c r="B131" i="8"/>
  <c r="J131" i="8"/>
  <c r="K131" i="8"/>
  <c r="B132" i="8"/>
  <c r="J132" i="8"/>
  <c r="K132" i="8"/>
  <c r="B133" i="8"/>
  <c r="J133" i="8"/>
  <c r="K133" i="8"/>
  <c r="B134" i="8"/>
  <c r="J134" i="8"/>
  <c r="K134" i="8"/>
  <c r="B135" i="8"/>
  <c r="J135" i="8"/>
  <c r="K135" i="8"/>
  <c r="B136" i="8"/>
  <c r="J136" i="8"/>
  <c r="K136" i="8"/>
  <c r="B137" i="8"/>
  <c r="J137" i="8"/>
  <c r="K137" i="8"/>
  <c r="B138" i="8"/>
  <c r="J138" i="8"/>
  <c r="K138" i="8"/>
  <c r="B139" i="8"/>
  <c r="J139" i="8"/>
  <c r="K139" i="8"/>
  <c r="B140" i="8"/>
  <c r="J140" i="8"/>
  <c r="K140" i="8"/>
  <c r="B141" i="8"/>
  <c r="J141" i="8"/>
  <c r="K141" i="8"/>
  <c r="B142" i="8"/>
  <c r="J142" i="8"/>
  <c r="K142" i="8"/>
  <c r="B143" i="8"/>
  <c r="J143" i="8"/>
  <c r="K143" i="8"/>
  <c r="B144" i="8"/>
  <c r="J144" i="8"/>
  <c r="K144" i="8"/>
  <c r="B145" i="8"/>
  <c r="J145" i="8"/>
  <c r="K145" i="8"/>
  <c r="B146" i="8"/>
  <c r="J146" i="8"/>
  <c r="K146" i="8"/>
  <c r="B147" i="8"/>
  <c r="J147" i="8"/>
  <c r="K147" i="8"/>
  <c r="B148" i="8"/>
  <c r="J148" i="8"/>
  <c r="K148" i="8"/>
  <c r="B149" i="8"/>
  <c r="J149" i="8"/>
  <c r="K149" i="8"/>
  <c r="B150" i="8"/>
  <c r="J150" i="8"/>
  <c r="K150" i="8"/>
  <c r="B151" i="8"/>
  <c r="J151" i="8"/>
  <c r="K151" i="8"/>
  <c r="B152" i="8"/>
  <c r="J152" i="8"/>
  <c r="K152" i="8"/>
  <c r="B153" i="8"/>
  <c r="J153" i="8"/>
  <c r="K153" i="8"/>
  <c r="B154" i="8"/>
  <c r="J154" i="8"/>
  <c r="K154" i="8"/>
  <c r="B155" i="8"/>
  <c r="J155" i="8"/>
  <c r="K155" i="8"/>
  <c r="B156" i="8"/>
  <c r="J156" i="8"/>
  <c r="K156" i="8"/>
  <c r="B157" i="8"/>
  <c r="J157" i="8"/>
  <c r="K157" i="8"/>
  <c r="B158" i="8"/>
  <c r="J158" i="8"/>
  <c r="K158" i="8"/>
  <c r="B159" i="8"/>
  <c r="J159" i="8"/>
  <c r="K159" i="8"/>
  <c r="B160" i="8"/>
  <c r="J160" i="8"/>
  <c r="K160" i="8"/>
  <c r="B161" i="8"/>
  <c r="J161" i="8"/>
  <c r="K161" i="8"/>
  <c r="B162" i="8"/>
  <c r="J162" i="8"/>
  <c r="K162" i="8"/>
  <c r="B163" i="8"/>
  <c r="J163" i="8"/>
  <c r="K163" i="8"/>
  <c r="B164" i="8"/>
  <c r="J164" i="8"/>
  <c r="K164" i="8"/>
  <c r="B165" i="8"/>
  <c r="J165" i="8"/>
  <c r="K165" i="8"/>
  <c r="B166" i="8"/>
  <c r="J166" i="8"/>
  <c r="K166" i="8"/>
  <c r="B167" i="8"/>
  <c r="J167" i="8"/>
  <c r="K167" i="8"/>
  <c r="B168" i="8"/>
  <c r="J168" i="8"/>
  <c r="K168" i="8"/>
  <c r="B169" i="8"/>
  <c r="J169" i="8"/>
  <c r="K169" i="8"/>
  <c r="B170" i="8"/>
  <c r="J170" i="8"/>
  <c r="K170" i="8"/>
  <c r="B171" i="8"/>
  <c r="J171" i="8"/>
  <c r="K171" i="8"/>
  <c r="B172" i="8"/>
  <c r="J172" i="8"/>
  <c r="K172" i="8"/>
  <c r="B173" i="8"/>
  <c r="J173" i="8"/>
  <c r="K173" i="8"/>
  <c r="B174" i="8"/>
  <c r="J174" i="8"/>
  <c r="K174" i="8"/>
  <c r="B175" i="8"/>
  <c r="J175" i="8"/>
  <c r="K175" i="8"/>
  <c r="B176" i="8"/>
  <c r="J176" i="8"/>
  <c r="K176" i="8"/>
  <c r="B177" i="8"/>
  <c r="J177" i="8"/>
  <c r="K177" i="8"/>
  <c r="B178" i="8"/>
  <c r="J178" i="8"/>
  <c r="K178" i="8"/>
  <c r="B179" i="8"/>
  <c r="J179" i="8"/>
  <c r="K179" i="8"/>
  <c r="B180" i="8"/>
  <c r="J180" i="8"/>
  <c r="K180" i="8"/>
  <c r="B181" i="8"/>
  <c r="J181" i="8"/>
  <c r="K181" i="8"/>
  <c r="B182" i="8"/>
  <c r="J182" i="8"/>
  <c r="K182" i="8"/>
  <c r="B183" i="8"/>
  <c r="J183" i="8"/>
  <c r="K183" i="8"/>
  <c r="B184" i="8"/>
  <c r="J184" i="8"/>
  <c r="K184" i="8"/>
  <c r="B185" i="8"/>
  <c r="J185" i="8"/>
  <c r="K185" i="8"/>
  <c r="B186" i="8"/>
  <c r="J186" i="8"/>
  <c r="K186" i="8"/>
  <c r="B187" i="8"/>
  <c r="J187" i="8"/>
  <c r="K187" i="8"/>
  <c r="B188" i="8"/>
  <c r="J188" i="8"/>
  <c r="K188" i="8"/>
  <c r="B189" i="8"/>
  <c r="J189" i="8"/>
  <c r="K189" i="8"/>
  <c r="B190" i="8"/>
  <c r="J190" i="8"/>
  <c r="K190" i="8"/>
  <c r="B191" i="8"/>
  <c r="J191" i="8"/>
  <c r="K191" i="8"/>
  <c r="B192" i="8"/>
  <c r="J192" i="8"/>
  <c r="K192" i="8"/>
  <c r="B193" i="8"/>
  <c r="J193" i="8"/>
  <c r="K193" i="8"/>
  <c r="B194" i="8"/>
  <c r="J194" i="8"/>
  <c r="K194" i="8"/>
  <c r="B195" i="8"/>
  <c r="J195" i="8"/>
  <c r="K195" i="8"/>
  <c r="B196" i="8"/>
  <c r="J196" i="8"/>
  <c r="K196" i="8"/>
  <c r="B197" i="8"/>
  <c r="J197" i="8"/>
  <c r="K197" i="8"/>
  <c r="B198" i="8"/>
  <c r="J198" i="8"/>
  <c r="K198" i="8"/>
  <c r="B199" i="8"/>
  <c r="J199" i="8"/>
  <c r="K199" i="8"/>
  <c r="B200" i="8"/>
  <c r="J200" i="8"/>
  <c r="K200" i="8"/>
  <c r="B201" i="8"/>
  <c r="J201" i="8"/>
  <c r="K201" i="8"/>
  <c r="B202" i="8"/>
  <c r="J202" i="8"/>
  <c r="K202" i="8"/>
  <c r="B203" i="8"/>
  <c r="J203" i="8"/>
  <c r="K203" i="8"/>
  <c r="B204" i="8"/>
  <c r="J204" i="8"/>
  <c r="K204" i="8"/>
  <c r="B205" i="8"/>
  <c r="J205" i="8"/>
  <c r="K205" i="8"/>
  <c r="B206" i="8"/>
  <c r="J206" i="8"/>
  <c r="K206" i="8"/>
  <c r="B207" i="8"/>
  <c r="J207" i="8"/>
  <c r="K207" i="8"/>
  <c r="B208" i="8"/>
  <c r="J208" i="8"/>
  <c r="K208" i="8"/>
  <c r="B209" i="8"/>
  <c r="J209" i="8"/>
  <c r="K209" i="8"/>
  <c r="B210" i="8"/>
  <c r="J210" i="8"/>
  <c r="K210" i="8"/>
  <c r="B211" i="8"/>
  <c r="J211" i="8"/>
  <c r="K211" i="8"/>
  <c r="B212" i="8"/>
  <c r="J212" i="8"/>
  <c r="K212" i="8"/>
  <c r="B213" i="8"/>
  <c r="J213" i="8"/>
  <c r="K213" i="8"/>
  <c r="B214" i="8"/>
  <c r="J214" i="8"/>
  <c r="K214" i="8"/>
  <c r="B215" i="8"/>
  <c r="J215" i="8"/>
  <c r="K215" i="8"/>
  <c r="B216" i="8"/>
  <c r="J216" i="8"/>
  <c r="K216" i="8"/>
  <c r="B217" i="8"/>
  <c r="J217" i="8"/>
  <c r="K217" i="8"/>
  <c r="B218" i="8"/>
  <c r="J218" i="8"/>
  <c r="K218" i="8"/>
  <c r="B219" i="8"/>
  <c r="J219" i="8"/>
  <c r="K219" i="8"/>
  <c r="B220" i="8"/>
  <c r="J220" i="8"/>
  <c r="K220" i="8"/>
  <c r="B221" i="8"/>
  <c r="J221" i="8"/>
  <c r="K221" i="8"/>
  <c r="B222" i="8"/>
  <c r="J222" i="8"/>
  <c r="K222" i="8"/>
  <c r="B223" i="8"/>
  <c r="J223" i="8"/>
  <c r="K223" i="8"/>
  <c r="B224" i="8"/>
  <c r="J224" i="8"/>
  <c r="K224" i="8"/>
  <c r="B225" i="8"/>
  <c r="J225" i="8"/>
  <c r="K225" i="8"/>
  <c r="B226" i="8"/>
  <c r="J226" i="8"/>
  <c r="K226" i="8"/>
  <c r="B227" i="8"/>
  <c r="J227" i="8"/>
  <c r="K227" i="8"/>
  <c r="B228" i="8"/>
  <c r="J228" i="8"/>
  <c r="K228" i="8"/>
  <c r="B229" i="8"/>
  <c r="J229" i="8"/>
  <c r="K229" i="8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O11" i="22"/>
  <c r="AP11" i="22"/>
  <c r="AQ11" i="22"/>
  <c r="AS11" i="22"/>
  <c r="AT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O12" i="22"/>
  <c r="AP12" i="22"/>
  <c r="AQ12" i="22"/>
  <c r="B16" i="22"/>
  <c r="AO16" i="22"/>
  <c r="AP16" i="22"/>
  <c r="AQ16" i="22"/>
  <c r="AR16" i="22"/>
  <c r="AS16" i="22"/>
  <c r="AT16" i="22"/>
  <c r="AV16" i="22"/>
  <c r="B17" i="22"/>
  <c r="AO17" i="22"/>
  <c r="AP17" i="22"/>
  <c r="AQ17" i="22"/>
  <c r="AR17" i="22"/>
  <c r="AS17" i="22"/>
  <c r="AT17" i="22"/>
  <c r="AV17" i="22"/>
  <c r="B18" i="22"/>
  <c r="AO18" i="22"/>
  <c r="AP18" i="22"/>
  <c r="AQ18" i="22"/>
  <c r="AR18" i="22"/>
  <c r="AS18" i="22"/>
  <c r="AT18" i="22"/>
  <c r="AV18" i="22"/>
  <c r="B19" i="22"/>
  <c r="AO19" i="22"/>
  <c r="AP19" i="22"/>
  <c r="AQ19" i="22"/>
  <c r="AR19" i="22"/>
  <c r="AS19" i="22"/>
  <c r="AT19" i="22"/>
  <c r="AV19" i="22"/>
  <c r="B20" i="22"/>
  <c r="AO20" i="22"/>
  <c r="AP20" i="22"/>
  <c r="AQ20" i="22"/>
  <c r="AR20" i="22"/>
  <c r="AS20" i="22"/>
  <c r="AT20" i="22"/>
  <c r="AV20" i="22"/>
  <c r="B21" i="22"/>
  <c r="AO21" i="22"/>
  <c r="AP21" i="22"/>
  <c r="AQ21" i="22"/>
  <c r="AR21" i="22"/>
  <c r="AS21" i="22"/>
  <c r="AT21" i="22"/>
  <c r="AV21" i="22"/>
  <c r="B22" i="22"/>
  <c r="AO22" i="22"/>
  <c r="AP22" i="22"/>
  <c r="AQ22" i="22"/>
  <c r="AR22" i="22"/>
  <c r="AS22" i="22"/>
  <c r="AT22" i="22"/>
  <c r="AV22" i="22"/>
  <c r="B23" i="22"/>
  <c r="AO23" i="22"/>
  <c r="AP23" i="22"/>
  <c r="AQ23" i="22"/>
  <c r="AR23" i="22"/>
  <c r="AS23" i="22"/>
  <c r="AT23" i="22"/>
  <c r="AV23" i="22"/>
  <c r="B24" i="22"/>
  <c r="AO24" i="22"/>
  <c r="AP24" i="22"/>
  <c r="AQ24" i="22"/>
  <c r="AR24" i="22"/>
  <c r="AS24" i="22"/>
  <c r="AT24" i="22"/>
  <c r="AV24" i="22"/>
  <c r="B25" i="22"/>
  <c r="AO25" i="22"/>
  <c r="AP25" i="22"/>
  <c r="AQ25" i="22"/>
  <c r="AR25" i="22"/>
  <c r="AS25" i="22"/>
  <c r="AT25" i="22"/>
  <c r="AV25" i="22"/>
  <c r="B26" i="22"/>
  <c r="AO26" i="22"/>
  <c r="AP26" i="22"/>
  <c r="AQ26" i="22"/>
  <c r="AR26" i="22"/>
  <c r="AS26" i="22"/>
  <c r="AT26" i="22"/>
  <c r="AV26" i="22"/>
  <c r="B27" i="22"/>
  <c r="AO27" i="22"/>
  <c r="AP27" i="22"/>
  <c r="AQ27" i="22"/>
  <c r="AR27" i="22"/>
  <c r="AS27" i="22"/>
  <c r="AT27" i="22"/>
  <c r="AV27" i="22"/>
  <c r="B28" i="22"/>
  <c r="AO28" i="22"/>
  <c r="AP28" i="22"/>
  <c r="AQ28" i="22"/>
  <c r="AR28" i="22"/>
  <c r="AS28" i="22"/>
  <c r="AT28" i="22"/>
  <c r="AV28" i="22"/>
  <c r="B29" i="22"/>
  <c r="AO29" i="22"/>
  <c r="AP29" i="22"/>
  <c r="AQ29" i="22"/>
  <c r="AR29" i="22"/>
  <c r="AS29" i="22"/>
  <c r="AT29" i="22"/>
  <c r="AV29" i="22"/>
  <c r="B30" i="22"/>
  <c r="AO30" i="22"/>
  <c r="AP30" i="22"/>
  <c r="AQ30" i="22"/>
  <c r="AR30" i="22"/>
  <c r="AS30" i="22"/>
  <c r="AT30" i="22"/>
  <c r="AV30" i="22"/>
  <c r="B31" i="22"/>
  <c r="AO31" i="22"/>
  <c r="AP31" i="22"/>
  <c r="AQ31" i="22"/>
  <c r="AR31" i="22"/>
  <c r="AS31" i="22"/>
  <c r="AT31" i="22"/>
  <c r="AV31" i="22"/>
  <c r="B32" i="22"/>
  <c r="AO32" i="22"/>
  <c r="AP32" i="22"/>
  <c r="AQ32" i="22"/>
  <c r="AR32" i="22"/>
  <c r="AS32" i="22"/>
  <c r="AT32" i="22"/>
  <c r="AV32" i="22"/>
  <c r="B33" i="22"/>
  <c r="AO33" i="22"/>
  <c r="AP33" i="22"/>
  <c r="AQ33" i="22"/>
  <c r="AR33" i="22"/>
  <c r="AS33" i="22"/>
  <c r="AT33" i="22"/>
  <c r="AV33" i="22"/>
  <c r="B34" i="22"/>
  <c r="AO34" i="22"/>
  <c r="AP34" i="22"/>
  <c r="AQ34" i="22"/>
  <c r="AR34" i="22"/>
  <c r="AS34" i="22"/>
  <c r="AT34" i="22"/>
  <c r="AV34" i="22"/>
  <c r="B35" i="22"/>
  <c r="AO35" i="22"/>
  <c r="AP35" i="22"/>
  <c r="AQ35" i="22"/>
  <c r="AR35" i="22"/>
  <c r="AS35" i="22"/>
  <c r="AT35" i="22"/>
  <c r="AV35" i="22"/>
  <c r="B36" i="22"/>
  <c r="AO36" i="22"/>
  <c r="AP36" i="22"/>
  <c r="AQ36" i="22"/>
  <c r="AR36" i="22"/>
  <c r="AS36" i="22"/>
  <c r="AT36" i="22"/>
  <c r="AV36" i="22"/>
  <c r="B37" i="22"/>
  <c r="AO37" i="22"/>
  <c r="AP37" i="22"/>
  <c r="AQ37" i="22"/>
  <c r="AR37" i="22"/>
  <c r="AS37" i="22"/>
  <c r="AT37" i="22"/>
  <c r="AV37" i="22"/>
  <c r="B38" i="22"/>
  <c r="AO38" i="22"/>
  <c r="AP38" i="22"/>
  <c r="AQ38" i="22"/>
  <c r="AR38" i="22"/>
  <c r="AS38" i="22"/>
  <c r="AT38" i="22"/>
  <c r="AV38" i="22"/>
  <c r="B39" i="22"/>
  <c r="AO39" i="22"/>
  <c r="AP39" i="22"/>
  <c r="AQ39" i="22"/>
  <c r="AR39" i="22"/>
  <c r="AS39" i="22"/>
  <c r="AT39" i="22"/>
  <c r="AV39" i="22"/>
  <c r="B40" i="22"/>
  <c r="AO40" i="22"/>
  <c r="AP40" i="22"/>
  <c r="AQ40" i="22"/>
  <c r="AR40" i="22"/>
  <c r="AS40" i="22"/>
  <c r="AT40" i="22"/>
  <c r="AV40" i="22"/>
  <c r="B41" i="22"/>
  <c r="AO41" i="22"/>
  <c r="AP41" i="22"/>
  <c r="AQ41" i="22"/>
  <c r="AR41" i="22"/>
  <c r="AS41" i="22"/>
  <c r="AT41" i="22"/>
  <c r="AV41" i="22"/>
  <c r="B42" i="22"/>
  <c r="AO42" i="22"/>
  <c r="AP42" i="22"/>
  <c r="AQ42" i="22"/>
  <c r="AR42" i="22"/>
  <c r="AS42" i="22"/>
  <c r="AT42" i="22"/>
  <c r="AV42" i="22"/>
  <c r="B43" i="22"/>
  <c r="AO43" i="22"/>
  <c r="AP43" i="22"/>
  <c r="AQ43" i="22"/>
  <c r="AR43" i="22"/>
  <c r="AS43" i="22"/>
  <c r="AT43" i="22"/>
  <c r="AV43" i="22"/>
  <c r="B44" i="22"/>
  <c r="AO44" i="22"/>
  <c r="AP44" i="22"/>
  <c r="AQ44" i="22"/>
  <c r="AR44" i="22"/>
  <c r="AS44" i="22"/>
  <c r="AT44" i="22"/>
  <c r="AV44" i="22"/>
  <c r="B45" i="22"/>
  <c r="AO45" i="22"/>
  <c r="AP45" i="22"/>
  <c r="AQ45" i="22"/>
  <c r="AR45" i="22"/>
  <c r="AS45" i="22"/>
  <c r="AT45" i="22"/>
  <c r="AV45" i="22"/>
  <c r="B46" i="22"/>
  <c r="AO46" i="22"/>
  <c r="AP46" i="22"/>
  <c r="AQ46" i="22"/>
  <c r="AR46" i="22"/>
  <c r="AS46" i="22"/>
  <c r="AT46" i="22"/>
  <c r="AV46" i="22"/>
  <c r="B47" i="22"/>
  <c r="AO47" i="22"/>
  <c r="AP47" i="22"/>
  <c r="AQ47" i="22"/>
  <c r="AR47" i="22"/>
  <c r="AS47" i="22"/>
  <c r="AT47" i="22"/>
  <c r="AV47" i="22"/>
  <c r="B48" i="22"/>
  <c r="AO48" i="22"/>
  <c r="AP48" i="22"/>
  <c r="AQ48" i="22"/>
  <c r="AR48" i="22"/>
  <c r="AS48" i="22"/>
  <c r="AT48" i="22"/>
  <c r="AV48" i="22"/>
  <c r="B49" i="22"/>
  <c r="AO49" i="22"/>
  <c r="AP49" i="22"/>
  <c r="AQ49" i="22"/>
  <c r="AR49" i="22"/>
  <c r="AS49" i="22"/>
  <c r="AT49" i="22"/>
  <c r="AV49" i="22"/>
  <c r="B50" i="22"/>
  <c r="AO50" i="22"/>
  <c r="AP50" i="22"/>
  <c r="AQ50" i="22"/>
  <c r="AR50" i="22"/>
  <c r="AS50" i="22"/>
  <c r="AT50" i="22"/>
  <c r="AV50" i="22"/>
  <c r="B51" i="22"/>
  <c r="AO51" i="22"/>
  <c r="AP51" i="22"/>
  <c r="AQ51" i="22"/>
  <c r="AR51" i="22"/>
  <c r="AS51" i="22"/>
  <c r="AT51" i="22"/>
  <c r="AV51" i="22"/>
  <c r="B52" i="22"/>
  <c r="AO52" i="22"/>
  <c r="AP52" i="22"/>
  <c r="AQ52" i="22"/>
  <c r="AR52" i="22"/>
  <c r="AS52" i="22"/>
  <c r="AT52" i="22"/>
  <c r="AV52" i="22"/>
  <c r="B53" i="22"/>
  <c r="AO53" i="22"/>
  <c r="AP53" i="22"/>
  <c r="AQ53" i="22"/>
  <c r="AR53" i="22"/>
  <c r="AS53" i="22"/>
  <c r="AT53" i="22"/>
  <c r="AV53" i="22"/>
  <c r="B54" i="22"/>
  <c r="AO54" i="22"/>
  <c r="AP54" i="22"/>
  <c r="AQ54" i="22"/>
  <c r="AR54" i="22"/>
  <c r="AS54" i="22"/>
  <c r="AT54" i="22"/>
  <c r="AV54" i="22"/>
  <c r="B55" i="22"/>
  <c r="AO55" i="22"/>
  <c r="AP55" i="22"/>
  <c r="AQ55" i="22"/>
  <c r="AR55" i="22"/>
  <c r="AS55" i="22"/>
  <c r="AT55" i="22"/>
  <c r="AV55" i="22"/>
  <c r="B56" i="22"/>
  <c r="AO56" i="22"/>
  <c r="AP56" i="22"/>
  <c r="AQ56" i="22"/>
  <c r="AR56" i="22"/>
  <c r="AS56" i="22"/>
  <c r="AT56" i="22"/>
  <c r="AV56" i="22"/>
  <c r="B57" i="22"/>
  <c r="AO57" i="22"/>
  <c r="AP57" i="22"/>
  <c r="AQ57" i="22"/>
  <c r="AR57" i="22"/>
  <c r="AS57" i="22"/>
  <c r="AT57" i="22"/>
  <c r="AV57" i="22"/>
  <c r="B58" i="22"/>
  <c r="AO58" i="22"/>
  <c r="AP58" i="22"/>
  <c r="AQ58" i="22"/>
  <c r="AR58" i="22"/>
  <c r="AS58" i="22"/>
  <c r="AT58" i="22"/>
  <c r="AV58" i="22"/>
  <c r="B59" i="22"/>
  <c r="AO59" i="22"/>
  <c r="AP59" i="22"/>
  <c r="AQ59" i="22"/>
  <c r="AR59" i="22"/>
  <c r="AS59" i="22"/>
  <c r="AT59" i="22"/>
  <c r="AV59" i="22"/>
  <c r="B60" i="22"/>
  <c r="AO60" i="22"/>
  <c r="AP60" i="22"/>
  <c r="AQ60" i="22"/>
  <c r="AR60" i="22"/>
  <c r="AS60" i="22"/>
  <c r="AT60" i="22"/>
  <c r="AV60" i="22"/>
  <c r="B61" i="22"/>
  <c r="AO61" i="22"/>
  <c r="AP61" i="22"/>
  <c r="AQ61" i="22"/>
  <c r="AR61" i="22"/>
  <c r="AS61" i="22"/>
  <c r="AT61" i="22"/>
  <c r="AV61" i="22"/>
  <c r="B62" i="22"/>
  <c r="AO62" i="22"/>
  <c r="AP62" i="22"/>
  <c r="AQ62" i="22"/>
  <c r="AR62" i="22"/>
  <c r="AS62" i="22"/>
  <c r="AT62" i="22"/>
  <c r="AV62" i="22"/>
  <c r="B63" i="22"/>
  <c r="AO63" i="22"/>
  <c r="AP63" i="22"/>
  <c r="AQ63" i="22"/>
  <c r="AR63" i="22"/>
  <c r="AS63" i="22"/>
  <c r="AT63" i="22"/>
  <c r="AV63" i="22"/>
  <c r="B64" i="22"/>
  <c r="AO64" i="22"/>
  <c r="AP64" i="22"/>
  <c r="AQ64" i="22"/>
  <c r="AR64" i="22"/>
  <c r="AS64" i="22"/>
  <c r="AT64" i="22"/>
  <c r="AV64" i="22"/>
  <c r="B65" i="22"/>
  <c r="AO65" i="22"/>
  <c r="AP65" i="22"/>
  <c r="AQ65" i="22"/>
  <c r="AR65" i="22"/>
  <c r="AS65" i="22"/>
  <c r="AT65" i="22"/>
  <c r="AV65" i="22"/>
  <c r="B66" i="22"/>
  <c r="AO66" i="22"/>
  <c r="AP66" i="22"/>
  <c r="AQ66" i="22"/>
  <c r="AR66" i="22"/>
  <c r="AS66" i="22"/>
  <c r="AT66" i="22"/>
  <c r="AV66" i="22"/>
  <c r="B67" i="22"/>
  <c r="AO67" i="22"/>
  <c r="AP67" i="22"/>
  <c r="AQ67" i="22"/>
  <c r="AR67" i="22"/>
  <c r="AS67" i="22"/>
  <c r="AT67" i="22"/>
  <c r="AV67" i="22"/>
  <c r="B68" i="22"/>
  <c r="AO68" i="22"/>
  <c r="AP68" i="22"/>
  <c r="AQ68" i="22"/>
  <c r="AR68" i="22"/>
  <c r="AS68" i="22"/>
  <c r="AT68" i="22"/>
  <c r="AV68" i="22"/>
  <c r="B69" i="22"/>
  <c r="AO69" i="22"/>
  <c r="AP69" i="22"/>
  <c r="AQ69" i="22"/>
  <c r="AR69" i="22"/>
  <c r="AS69" i="22"/>
  <c r="AT69" i="22"/>
  <c r="AV69" i="22"/>
  <c r="B70" i="22"/>
  <c r="AO70" i="22"/>
  <c r="AP70" i="22"/>
  <c r="AQ70" i="22"/>
  <c r="AR70" i="22"/>
  <c r="AS70" i="22"/>
  <c r="AT70" i="22"/>
  <c r="AV70" i="22"/>
  <c r="B71" i="22"/>
  <c r="AO71" i="22"/>
  <c r="AP71" i="22"/>
  <c r="AQ71" i="22"/>
  <c r="AR71" i="22"/>
  <c r="AS71" i="22"/>
  <c r="AT71" i="22"/>
  <c r="AV71" i="22"/>
  <c r="B72" i="22"/>
  <c r="AO72" i="22"/>
  <c r="AP72" i="22"/>
  <c r="AQ72" i="22"/>
  <c r="AR72" i="22"/>
  <c r="AS72" i="22"/>
  <c r="AT72" i="22"/>
  <c r="AV72" i="22"/>
  <c r="B73" i="22"/>
  <c r="AO73" i="22"/>
  <c r="AP73" i="22"/>
  <c r="AQ73" i="22"/>
  <c r="AR73" i="22"/>
  <c r="AS73" i="22"/>
  <c r="AT73" i="22"/>
  <c r="AV73" i="22"/>
  <c r="B74" i="22"/>
  <c r="AO74" i="22"/>
  <c r="AP74" i="22"/>
  <c r="AQ74" i="22"/>
  <c r="AR74" i="22"/>
  <c r="AS74" i="22"/>
  <c r="AT74" i="22"/>
  <c r="AV74" i="22"/>
  <c r="B75" i="22"/>
  <c r="AO75" i="22"/>
  <c r="AP75" i="22"/>
  <c r="AQ75" i="22"/>
  <c r="AR75" i="22"/>
  <c r="AS75" i="22"/>
  <c r="AT75" i="22"/>
  <c r="AV75" i="22"/>
  <c r="B76" i="22"/>
  <c r="AO76" i="22"/>
  <c r="AP76" i="22"/>
  <c r="AQ76" i="22"/>
  <c r="AR76" i="22"/>
  <c r="AS76" i="22"/>
  <c r="AT76" i="22"/>
  <c r="AV76" i="22"/>
  <c r="B77" i="22"/>
  <c r="AO77" i="22"/>
  <c r="AP77" i="22"/>
  <c r="AQ77" i="22"/>
  <c r="AR77" i="22"/>
  <c r="AS77" i="22"/>
  <c r="AT77" i="22"/>
  <c r="AV77" i="22"/>
  <c r="B78" i="22"/>
  <c r="AO78" i="22"/>
  <c r="AP78" i="22"/>
  <c r="AQ78" i="22"/>
  <c r="AR78" i="22"/>
  <c r="AS78" i="22"/>
  <c r="AT78" i="22"/>
  <c r="AV78" i="22"/>
  <c r="B79" i="22"/>
  <c r="AO79" i="22"/>
  <c r="AP79" i="22"/>
  <c r="AQ79" i="22"/>
  <c r="AR79" i="22"/>
  <c r="AS79" i="22"/>
  <c r="AT79" i="22"/>
  <c r="AV79" i="22"/>
  <c r="B80" i="22"/>
  <c r="AO80" i="22"/>
  <c r="AP80" i="22"/>
  <c r="AQ80" i="22"/>
  <c r="AR80" i="22"/>
  <c r="AS80" i="22"/>
  <c r="AT80" i="22"/>
  <c r="AV80" i="22"/>
  <c r="B81" i="22"/>
  <c r="AO81" i="22"/>
  <c r="AP81" i="22"/>
  <c r="AQ81" i="22"/>
  <c r="AR81" i="22"/>
  <c r="AS81" i="22"/>
  <c r="AT81" i="22"/>
  <c r="AV81" i="22"/>
  <c r="B82" i="22"/>
  <c r="AO82" i="22"/>
  <c r="AP82" i="22"/>
  <c r="AQ82" i="22"/>
  <c r="AR82" i="22"/>
  <c r="AS82" i="22"/>
  <c r="AT82" i="22"/>
  <c r="AV82" i="22"/>
  <c r="B83" i="22"/>
  <c r="AO83" i="22"/>
  <c r="AP83" i="22"/>
  <c r="AQ83" i="22"/>
  <c r="AR83" i="22"/>
  <c r="AS83" i="22"/>
  <c r="AT83" i="22"/>
  <c r="AV83" i="22"/>
  <c r="B84" i="22"/>
  <c r="AO84" i="22"/>
  <c r="AP84" i="22"/>
  <c r="AQ84" i="22"/>
  <c r="AR84" i="22"/>
  <c r="AS84" i="22"/>
  <c r="AT84" i="22"/>
  <c r="AV84" i="22"/>
  <c r="B85" i="22"/>
  <c r="AO85" i="22"/>
  <c r="AP85" i="22"/>
  <c r="AQ85" i="22"/>
  <c r="AR85" i="22"/>
  <c r="AS85" i="22"/>
  <c r="AT85" i="22"/>
  <c r="AV85" i="22"/>
  <c r="B86" i="22"/>
  <c r="AO86" i="22"/>
  <c r="AP86" i="22"/>
  <c r="AQ86" i="22"/>
  <c r="AR86" i="22"/>
  <c r="AS86" i="22"/>
  <c r="AT86" i="22"/>
  <c r="AV86" i="22"/>
  <c r="B87" i="22"/>
  <c r="AO87" i="22"/>
  <c r="AP87" i="22"/>
  <c r="AQ87" i="22"/>
  <c r="AR87" i="22"/>
  <c r="AS87" i="22"/>
  <c r="AT87" i="22"/>
  <c r="AV87" i="22"/>
  <c r="B88" i="22"/>
  <c r="AO88" i="22"/>
  <c r="AP88" i="22"/>
  <c r="AQ88" i="22"/>
  <c r="AR88" i="22"/>
  <c r="AS88" i="22"/>
  <c r="AT88" i="22"/>
  <c r="AV88" i="22"/>
  <c r="B89" i="22"/>
  <c r="AO89" i="22"/>
  <c r="AP89" i="22"/>
  <c r="AQ89" i="22"/>
  <c r="AR89" i="22"/>
  <c r="AS89" i="22"/>
  <c r="AT89" i="22"/>
  <c r="AV89" i="22"/>
  <c r="B90" i="22"/>
  <c r="AO90" i="22"/>
  <c r="AP90" i="22"/>
  <c r="AQ90" i="22"/>
  <c r="AR90" i="22"/>
  <c r="AS90" i="22"/>
  <c r="AT90" i="22"/>
  <c r="AV90" i="22"/>
  <c r="B91" i="22"/>
  <c r="AO91" i="22"/>
  <c r="AP91" i="22"/>
  <c r="AQ91" i="22"/>
  <c r="AR91" i="22"/>
  <c r="AS91" i="22"/>
  <c r="AT91" i="22"/>
  <c r="AV91" i="22"/>
  <c r="B92" i="22"/>
  <c r="AO92" i="22"/>
  <c r="AP92" i="22"/>
  <c r="AQ92" i="22"/>
  <c r="AR92" i="22"/>
  <c r="AS92" i="22"/>
  <c r="AT92" i="22"/>
  <c r="AV92" i="22"/>
  <c r="B93" i="22"/>
  <c r="AO93" i="22"/>
  <c r="AP93" i="22"/>
  <c r="AQ93" i="22"/>
  <c r="AR93" i="22"/>
  <c r="AS93" i="22"/>
  <c r="AT93" i="22"/>
  <c r="AV93" i="22"/>
  <c r="B94" i="22"/>
  <c r="AO94" i="22"/>
  <c r="AP94" i="22"/>
  <c r="AQ94" i="22"/>
  <c r="AR94" i="22"/>
  <c r="AS94" i="22"/>
  <c r="AT94" i="22"/>
  <c r="AV94" i="22"/>
  <c r="B95" i="22"/>
  <c r="AO95" i="22"/>
  <c r="AP95" i="22"/>
  <c r="AQ95" i="22"/>
  <c r="AR95" i="22"/>
  <c r="AS95" i="22"/>
  <c r="AT95" i="22"/>
  <c r="AV95" i="22"/>
  <c r="B96" i="22"/>
  <c r="AO96" i="22"/>
  <c r="AP96" i="22"/>
  <c r="AQ96" i="22"/>
  <c r="AR96" i="22"/>
  <c r="AS96" i="22"/>
  <c r="AT96" i="22"/>
  <c r="AV96" i="22"/>
  <c r="B97" i="22"/>
  <c r="AO97" i="22"/>
  <c r="AP97" i="22"/>
  <c r="AQ97" i="22"/>
  <c r="AR97" i="22"/>
  <c r="AS97" i="22"/>
  <c r="AT97" i="22"/>
  <c r="AV97" i="22"/>
  <c r="B98" i="22"/>
  <c r="AO98" i="22"/>
  <c r="AP98" i="22"/>
  <c r="AQ98" i="22"/>
  <c r="AR98" i="22"/>
  <c r="AS98" i="22"/>
  <c r="AT98" i="22"/>
  <c r="AV98" i="22"/>
  <c r="B99" i="22"/>
  <c r="AO99" i="22"/>
  <c r="AP99" i="22"/>
  <c r="AQ99" i="22"/>
  <c r="AR99" i="22"/>
  <c r="AS99" i="22"/>
  <c r="AT99" i="22"/>
  <c r="AV99" i="22"/>
  <c r="B100" i="22"/>
  <c r="AO100" i="22"/>
  <c r="AP100" i="22"/>
  <c r="AQ100" i="22"/>
  <c r="AR100" i="22"/>
  <c r="AS100" i="22"/>
  <c r="AT100" i="22"/>
  <c r="AV100" i="22"/>
  <c r="B101" i="22"/>
  <c r="AO101" i="22"/>
  <c r="AP101" i="22"/>
  <c r="AQ101" i="22"/>
  <c r="AR101" i="22"/>
  <c r="AS101" i="22"/>
  <c r="AT101" i="22"/>
  <c r="AV101" i="22"/>
  <c r="B102" i="22"/>
  <c r="AO102" i="22"/>
  <c r="AP102" i="22"/>
  <c r="AQ102" i="22"/>
  <c r="AR102" i="22"/>
  <c r="AS102" i="22"/>
  <c r="AT102" i="22"/>
  <c r="AV102" i="22"/>
  <c r="B103" i="22"/>
  <c r="AO103" i="22"/>
  <c r="AP103" i="22"/>
  <c r="AQ103" i="22"/>
  <c r="AR103" i="22"/>
  <c r="AS103" i="22"/>
  <c r="AT103" i="22"/>
  <c r="AV103" i="22"/>
  <c r="B104" i="22"/>
  <c r="AO104" i="22"/>
  <c r="AP104" i="22"/>
  <c r="AQ104" i="22"/>
  <c r="AR104" i="22"/>
  <c r="AS104" i="22"/>
  <c r="AT104" i="22"/>
  <c r="AV104" i="22"/>
  <c r="B105" i="22"/>
  <c r="AO105" i="22"/>
  <c r="AP105" i="22"/>
  <c r="AQ105" i="22"/>
  <c r="AR105" i="22"/>
  <c r="AS105" i="22"/>
  <c r="AT105" i="22"/>
  <c r="AV105" i="22"/>
  <c r="B106" i="22"/>
  <c r="AO106" i="22"/>
  <c r="AP106" i="22"/>
  <c r="AQ106" i="22"/>
  <c r="AR106" i="22"/>
  <c r="AS106" i="22"/>
  <c r="AT106" i="22"/>
  <c r="AV106" i="22"/>
  <c r="B107" i="22"/>
  <c r="AO107" i="22"/>
  <c r="AP107" i="22"/>
  <c r="AQ107" i="22"/>
  <c r="AR107" i="22"/>
  <c r="AS107" i="22"/>
  <c r="AT107" i="22"/>
  <c r="AV107" i="22"/>
  <c r="B108" i="22"/>
  <c r="AO108" i="22"/>
  <c r="AP108" i="22"/>
  <c r="AQ108" i="22"/>
  <c r="AR108" i="22"/>
  <c r="AS108" i="22"/>
  <c r="AT108" i="22"/>
  <c r="AV108" i="22"/>
  <c r="B109" i="22"/>
  <c r="AO109" i="22"/>
  <c r="AP109" i="22"/>
  <c r="AQ109" i="22"/>
  <c r="AR109" i="22"/>
  <c r="AS109" i="22"/>
  <c r="AT109" i="22"/>
  <c r="AV109" i="22"/>
  <c r="B110" i="22"/>
  <c r="AO110" i="22"/>
  <c r="AP110" i="22"/>
  <c r="AQ110" i="22"/>
  <c r="AR110" i="22"/>
  <c r="AS110" i="22"/>
  <c r="AT110" i="22"/>
  <c r="AV110" i="22"/>
  <c r="B111" i="22"/>
  <c r="AO111" i="22"/>
  <c r="AP111" i="22"/>
  <c r="AQ111" i="22"/>
  <c r="AR111" i="22"/>
  <c r="AS111" i="22"/>
  <c r="AT111" i="22"/>
  <c r="AV111" i="22"/>
  <c r="B112" i="22"/>
  <c r="AO112" i="22"/>
  <c r="AP112" i="22"/>
  <c r="AQ112" i="22"/>
  <c r="AR112" i="22"/>
  <c r="AS112" i="22"/>
  <c r="AT112" i="22"/>
  <c r="AV112" i="22"/>
  <c r="B113" i="22"/>
  <c r="AO113" i="22"/>
  <c r="AP113" i="22"/>
  <c r="AQ113" i="22"/>
  <c r="AR113" i="22"/>
  <c r="AS113" i="22"/>
  <c r="AT113" i="22"/>
  <c r="AV113" i="22"/>
  <c r="B114" i="22"/>
  <c r="AO114" i="22"/>
  <c r="AP114" i="22"/>
  <c r="AQ114" i="22"/>
  <c r="AR114" i="22"/>
  <c r="AS114" i="22"/>
  <c r="AT114" i="22"/>
  <c r="AV114" i="22"/>
  <c r="B115" i="22"/>
  <c r="AO115" i="22"/>
  <c r="AP115" i="22"/>
  <c r="AQ115" i="22"/>
  <c r="AR115" i="22"/>
  <c r="AS115" i="22"/>
  <c r="AT115" i="22"/>
  <c r="AV115" i="22"/>
  <c r="B116" i="22"/>
  <c r="AO116" i="22"/>
  <c r="AP116" i="22"/>
  <c r="AQ116" i="22"/>
  <c r="AR116" i="22"/>
  <c r="AS116" i="22"/>
  <c r="AT116" i="22"/>
  <c r="AV116" i="22"/>
  <c r="B117" i="22"/>
  <c r="AO117" i="22"/>
  <c r="AP117" i="22"/>
  <c r="AQ117" i="22"/>
  <c r="AR117" i="22"/>
  <c r="AS117" i="22"/>
  <c r="AT117" i="22"/>
  <c r="AV117" i="22"/>
  <c r="B118" i="22"/>
  <c r="AO118" i="22"/>
  <c r="AP118" i="22"/>
  <c r="AQ118" i="22"/>
  <c r="AR118" i="22"/>
  <c r="AS118" i="22"/>
  <c r="AT118" i="22"/>
  <c r="AV118" i="22"/>
  <c r="B119" i="22"/>
  <c r="AO119" i="22"/>
  <c r="AP119" i="22"/>
  <c r="AQ119" i="22"/>
  <c r="AR119" i="22"/>
  <c r="AS119" i="22"/>
  <c r="AT119" i="22"/>
  <c r="AV119" i="22"/>
  <c r="B120" i="22"/>
  <c r="AO120" i="22"/>
  <c r="AP120" i="22"/>
  <c r="AQ120" i="22"/>
  <c r="AR120" i="22"/>
  <c r="AS120" i="22"/>
  <c r="AT120" i="22"/>
  <c r="AV120" i="22"/>
  <c r="B121" i="22"/>
  <c r="AO121" i="22"/>
  <c r="AP121" i="22"/>
  <c r="AQ121" i="22"/>
  <c r="AR121" i="22"/>
  <c r="AS121" i="22"/>
  <c r="AT121" i="22"/>
  <c r="AV121" i="22"/>
  <c r="B122" i="22"/>
  <c r="AO122" i="22"/>
  <c r="AP122" i="22"/>
  <c r="AQ122" i="22"/>
  <c r="AR122" i="22"/>
  <c r="AS122" i="22"/>
  <c r="AT122" i="22"/>
  <c r="AV122" i="22"/>
  <c r="B123" i="22"/>
  <c r="AO123" i="22"/>
  <c r="AP123" i="22"/>
  <c r="AQ123" i="22"/>
  <c r="AR123" i="22"/>
  <c r="AS123" i="22"/>
  <c r="AT123" i="22"/>
  <c r="AV123" i="22"/>
  <c r="B124" i="22"/>
  <c r="AO124" i="22"/>
  <c r="AP124" i="22"/>
  <c r="AQ124" i="22"/>
  <c r="AR124" i="22"/>
  <c r="AS124" i="22"/>
  <c r="AT124" i="22"/>
  <c r="AV124" i="22"/>
  <c r="B125" i="22"/>
  <c r="AO125" i="22"/>
  <c r="AP125" i="22"/>
  <c r="AQ125" i="22"/>
  <c r="AR125" i="22"/>
  <c r="AS125" i="22"/>
  <c r="AT125" i="22"/>
  <c r="AV125" i="22"/>
  <c r="B126" i="22"/>
  <c r="AO126" i="22"/>
  <c r="AP126" i="22"/>
  <c r="AQ126" i="22"/>
  <c r="AR126" i="22"/>
  <c r="AS126" i="22"/>
  <c r="AT126" i="22"/>
  <c r="AV126" i="22"/>
  <c r="B127" i="22"/>
  <c r="AO127" i="22"/>
  <c r="AP127" i="22"/>
  <c r="AQ127" i="22"/>
  <c r="AR127" i="22"/>
  <c r="AS127" i="22"/>
  <c r="AT127" i="22"/>
  <c r="AV127" i="22"/>
  <c r="B128" i="22"/>
  <c r="AO128" i="22"/>
  <c r="AP128" i="22"/>
  <c r="AQ128" i="22"/>
  <c r="AR128" i="22"/>
  <c r="AS128" i="22"/>
  <c r="AT128" i="22"/>
  <c r="AV128" i="22"/>
  <c r="B129" i="22"/>
  <c r="AO129" i="22"/>
  <c r="AP129" i="22"/>
  <c r="AQ129" i="22"/>
  <c r="AR129" i="22"/>
  <c r="AS129" i="22"/>
  <c r="AT129" i="22"/>
  <c r="AV129" i="22"/>
  <c r="B130" i="22"/>
  <c r="AO130" i="22"/>
  <c r="AP130" i="22"/>
  <c r="AQ130" i="22"/>
  <c r="AR130" i="22"/>
  <c r="AS130" i="22"/>
  <c r="AT130" i="22"/>
  <c r="AV130" i="22"/>
  <c r="B131" i="22"/>
  <c r="AO131" i="22"/>
  <c r="AP131" i="22"/>
  <c r="AQ131" i="22"/>
  <c r="AR131" i="22"/>
  <c r="AS131" i="22"/>
  <c r="AT131" i="22"/>
  <c r="AV131" i="22"/>
  <c r="B132" i="22"/>
  <c r="AO132" i="22"/>
  <c r="AP132" i="22"/>
  <c r="AQ132" i="22"/>
  <c r="AR132" i="22"/>
  <c r="AS132" i="22"/>
  <c r="AT132" i="22"/>
  <c r="AV132" i="22"/>
  <c r="B133" i="22"/>
  <c r="AO133" i="22"/>
  <c r="AP133" i="22"/>
  <c r="AQ133" i="22"/>
  <c r="AR133" i="22"/>
  <c r="AS133" i="22"/>
  <c r="AT133" i="22"/>
  <c r="AV133" i="22"/>
  <c r="B134" i="22"/>
  <c r="AO134" i="22"/>
  <c r="AP134" i="22"/>
  <c r="AQ134" i="22"/>
  <c r="AR134" i="22"/>
  <c r="AS134" i="22"/>
  <c r="AT134" i="22"/>
  <c r="AV134" i="22"/>
  <c r="B135" i="22"/>
  <c r="AO135" i="22"/>
  <c r="AP135" i="22"/>
  <c r="AQ135" i="22"/>
  <c r="AR135" i="22"/>
  <c r="AS135" i="22"/>
  <c r="AT135" i="22"/>
  <c r="AV135" i="22"/>
  <c r="B136" i="22"/>
  <c r="AO136" i="22"/>
  <c r="AP136" i="22"/>
  <c r="AQ136" i="22"/>
  <c r="AR136" i="22"/>
  <c r="AS136" i="22"/>
  <c r="AT136" i="22"/>
  <c r="AV136" i="22"/>
  <c r="B137" i="22"/>
  <c r="AO137" i="22"/>
  <c r="AP137" i="22"/>
  <c r="AQ137" i="22"/>
  <c r="AR137" i="22"/>
  <c r="AS137" i="22"/>
  <c r="AT137" i="22"/>
  <c r="AV137" i="22"/>
  <c r="B138" i="22"/>
  <c r="AO138" i="22"/>
  <c r="AP138" i="22"/>
  <c r="AQ138" i="22"/>
  <c r="AR138" i="22"/>
  <c r="AS138" i="22"/>
  <c r="AT138" i="22"/>
  <c r="AV138" i="22"/>
  <c r="B139" i="22"/>
  <c r="AO139" i="22"/>
  <c r="AP139" i="22"/>
  <c r="AQ139" i="22"/>
  <c r="AR139" i="22"/>
  <c r="AS139" i="22"/>
  <c r="AT139" i="22"/>
  <c r="AV139" i="22"/>
  <c r="B140" i="22"/>
  <c r="AO140" i="22"/>
  <c r="AP140" i="22"/>
  <c r="AQ140" i="22"/>
  <c r="AR140" i="22"/>
  <c r="AS140" i="22"/>
  <c r="AT140" i="22"/>
  <c r="AV140" i="22"/>
  <c r="B141" i="22"/>
  <c r="AO141" i="22"/>
  <c r="AP141" i="22"/>
  <c r="AQ141" i="22"/>
  <c r="AR141" i="22"/>
  <c r="AS141" i="22"/>
  <c r="AT141" i="22"/>
  <c r="AV141" i="22"/>
  <c r="B142" i="22"/>
  <c r="AO142" i="22"/>
  <c r="AP142" i="22"/>
  <c r="AQ142" i="22"/>
  <c r="AR142" i="22"/>
  <c r="AS142" i="22"/>
  <c r="AT142" i="22"/>
  <c r="AV142" i="22"/>
  <c r="B143" i="22"/>
  <c r="AO143" i="22"/>
  <c r="AP143" i="22"/>
  <c r="AQ143" i="22"/>
  <c r="AR143" i="22"/>
  <c r="AS143" i="22"/>
  <c r="AT143" i="22"/>
  <c r="AV143" i="22"/>
  <c r="B144" i="22"/>
  <c r="AO144" i="22"/>
  <c r="AP144" i="22"/>
  <c r="AQ144" i="22"/>
  <c r="AR144" i="22"/>
  <c r="AS144" i="22"/>
  <c r="AT144" i="22"/>
  <c r="AV144" i="22"/>
  <c r="B145" i="22"/>
  <c r="AO145" i="22"/>
  <c r="AP145" i="22"/>
  <c r="AQ145" i="22"/>
  <c r="AR145" i="22"/>
  <c r="AS145" i="22"/>
  <c r="AT145" i="22"/>
  <c r="AV145" i="22"/>
  <c r="B146" i="22"/>
  <c r="AO146" i="22"/>
  <c r="AP146" i="22"/>
  <c r="AQ146" i="22"/>
  <c r="AR146" i="22"/>
  <c r="AS146" i="22"/>
  <c r="AT146" i="22"/>
  <c r="AV146" i="22"/>
  <c r="B147" i="22"/>
  <c r="AO147" i="22"/>
  <c r="AP147" i="22"/>
  <c r="AQ147" i="22"/>
  <c r="AR147" i="22"/>
  <c r="AS147" i="22"/>
  <c r="AT147" i="22"/>
  <c r="AV147" i="22"/>
  <c r="B148" i="22"/>
  <c r="AO148" i="22"/>
  <c r="AP148" i="22"/>
  <c r="AQ148" i="22"/>
  <c r="AR148" i="22"/>
  <c r="AS148" i="22"/>
  <c r="AT148" i="22"/>
  <c r="AV148" i="22"/>
  <c r="B149" i="22"/>
  <c r="AO149" i="22"/>
  <c r="AP149" i="22"/>
  <c r="AQ149" i="22"/>
  <c r="AR149" i="22"/>
  <c r="AS149" i="22"/>
  <c r="AT149" i="22"/>
  <c r="AV149" i="22"/>
  <c r="B150" i="22"/>
  <c r="AO150" i="22"/>
  <c r="AP150" i="22"/>
  <c r="AQ150" i="22"/>
  <c r="AR150" i="22"/>
  <c r="AS150" i="22"/>
  <c r="AT150" i="22"/>
  <c r="AV150" i="22"/>
  <c r="B151" i="22"/>
  <c r="AO151" i="22"/>
  <c r="AP151" i="22"/>
  <c r="AQ151" i="22"/>
  <c r="AR151" i="22"/>
  <c r="AS151" i="22"/>
  <c r="AT151" i="22"/>
  <c r="AV151" i="22"/>
  <c r="B152" i="22"/>
  <c r="AO152" i="22"/>
  <c r="AP152" i="22"/>
  <c r="AQ152" i="22"/>
  <c r="AR152" i="22"/>
  <c r="AS152" i="22"/>
  <c r="AT152" i="22"/>
  <c r="AV152" i="22"/>
  <c r="B153" i="22"/>
  <c r="AO153" i="22"/>
  <c r="AP153" i="22"/>
  <c r="AQ153" i="22"/>
  <c r="AR153" i="22"/>
  <c r="AS153" i="22"/>
  <c r="AT153" i="22"/>
  <c r="AV153" i="22"/>
  <c r="B154" i="22"/>
  <c r="AO154" i="22"/>
  <c r="AP154" i="22"/>
  <c r="AQ154" i="22"/>
  <c r="AR154" i="22"/>
  <c r="AS154" i="22"/>
  <c r="AT154" i="22"/>
  <c r="AV154" i="22"/>
  <c r="B155" i="22"/>
  <c r="AO155" i="22"/>
  <c r="AP155" i="22"/>
  <c r="AQ155" i="22"/>
  <c r="AR155" i="22"/>
  <c r="AS155" i="22"/>
  <c r="AT155" i="22"/>
  <c r="AV155" i="22"/>
  <c r="B156" i="22"/>
  <c r="AO156" i="22"/>
  <c r="AP156" i="22"/>
  <c r="AQ156" i="22"/>
  <c r="AR156" i="22"/>
  <c r="AS156" i="22"/>
  <c r="AT156" i="22"/>
  <c r="AV156" i="22"/>
  <c r="B157" i="22"/>
  <c r="AO157" i="22"/>
  <c r="AP157" i="22"/>
  <c r="AQ157" i="22"/>
  <c r="AR157" i="22"/>
  <c r="AS157" i="22"/>
  <c r="AT157" i="22"/>
  <c r="AV157" i="22"/>
  <c r="B158" i="22"/>
  <c r="AO158" i="22"/>
  <c r="AP158" i="22"/>
  <c r="AQ158" i="22"/>
  <c r="AR158" i="22"/>
  <c r="AS158" i="22"/>
  <c r="AT158" i="22"/>
  <c r="AV158" i="22"/>
  <c r="B159" i="22"/>
  <c r="AO159" i="22"/>
  <c r="AP159" i="22"/>
  <c r="AQ159" i="22"/>
  <c r="AR159" i="22"/>
  <c r="AS159" i="22"/>
  <c r="AT159" i="22"/>
  <c r="AV159" i="22"/>
  <c r="B160" i="22"/>
  <c r="AO160" i="22"/>
  <c r="AP160" i="22"/>
  <c r="AQ160" i="22"/>
  <c r="AR160" i="22"/>
  <c r="AS160" i="22"/>
  <c r="AT160" i="22"/>
  <c r="AV160" i="22"/>
  <c r="B161" i="22"/>
  <c r="AO161" i="22"/>
  <c r="AP161" i="22"/>
  <c r="AQ161" i="22"/>
  <c r="AR161" i="22"/>
  <c r="AS161" i="22"/>
  <c r="AT161" i="22"/>
  <c r="AV161" i="22"/>
  <c r="B162" i="22"/>
  <c r="AO162" i="22"/>
  <c r="AP162" i="22"/>
  <c r="AQ162" i="22"/>
  <c r="AR162" i="22"/>
  <c r="AS162" i="22"/>
  <c r="AT162" i="22"/>
  <c r="AV162" i="22"/>
  <c r="B163" i="22"/>
  <c r="AO163" i="22"/>
  <c r="AP163" i="22"/>
  <c r="AQ163" i="22"/>
  <c r="AR163" i="22"/>
  <c r="AS163" i="22"/>
  <c r="AT163" i="22"/>
  <c r="AV163" i="22"/>
  <c r="B164" i="22"/>
  <c r="AO164" i="22"/>
  <c r="AP164" i="22"/>
  <c r="AQ164" i="22"/>
  <c r="AR164" i="22"/>
  <c r="AS164" i="22"/>
  <c r="AT164" i="22"/>
  <c r="AV164" i="22"/>
  <c r="B165" i="22"/>
  <c r="AO165" i="22"/>
  <c r="AP165" i="22"/>
  <c r="AQ165" i="22"/>
  <c r="AR165" i="22"/>
  <c r="AS165" i="22"/>
  <c r="AT165" i="22"/>
  <c r="AV165" i="22"/>
  <c r="B166" i="22"/>
  <c r="AO166" i="22"/>
  <c r="AP166" i="22"/>
  <c r="AQ166" i="22"/>
  <c r="AR166" i="22"/>
  <c r="AS166" i="22"/>
  <c r="AT166" i="22"/>
  <c r="AV166" i="22"/>
  <c r="B167" i="22"/>
  <c r="AO167" i="22"/>
  <c r="AP167" i="22"/>
  <c r="AQ167" i="22"/>
  <c r="AR167" i="22"/>
  <c r="AS167" i="22"/>
  <c r="AT167" i="22"/>
  <c r="AV167" i="22"/>
  <c r="B168" i="22"/>
  <c r="AO168" i="22"/>
  <c r="AP168" i="22"/>
  <c r="AQ168" i="22"/>
  <c r="AR168" i="22"/>
  <c r="AS168" i="22"/>
  <c r="AT168" i="22"/>
  <c r="AV168" i="22"/>
  <c r="B169" i="22"/>
  <c r="AO169" i="22"/>
  <c r="AP169" i="22"/>
  <c r="AQ169" i="22"/>
  <c r="AR169" i="22"/>
  <c r="AS169" i="22"/>
  <c r="AT169" i="22"/>
  <c r="AV169" i="22"/>
  <c r="B170" i="22"/>
  <c r="AO170" i="22"/>
  <c r="AP170" i="22"/>
  <c r="AQ170" i="22"/>
  <c r="AR170" i="22"/>
  <c r="AS170" i="22"/>
  <c r="AT170" i="22"/>
  <c r="AV170" i="22"/>
  <c r="B171" i="22"/>
  <c r="AO171" i="22"/>
  <c r="AP171" i="22"/>
  <c r="AQ171" i="22"/>
  <c r="AR171" i="22"/>
  <c r="AS171" i="22"/>
  <c r="AT171" i="22"/>
  <c r="AV171" i="22"/>
  <c r="B172" i="22"/>
  <c r="AO172" i="22"/>
  <c r="AP172" i="22"/>
  <c r="AQ172" i="22"/>
  <c r="AR172" i="22"/>
  <c r="AS172" i="22"/>
  <c r="AT172" i="22"/>
  <c r="AV172" i="22"/>
  <c r="B173" i="22"/>
  <c r="AO173" i="22"/>
  <c r="AP173" i="22"/>
  <c r="AQ173" i="22"/>
  <c r="AR173" i="22"/>
  <c r="AS173" i="22"/>
  <c r="AT173" i="22"/>
  <c r="AV173" i="22"/>
  <c r="B174" i="22"/>
  <c r="AO174" i="22"/>
  <c r="AP174" i="22"/>
  <c r="AQ174" i="22"/>
  <c r="AR174" i="22"/>
  <c r="AS174" i="22"/>
  <c r="AT174" i="22"/>
  <c r="AV174" i="22"/>
  <c r="B175" i="22"/>
  <c r="AO175" i="22"/>
  <c r="AP175" i="22"/>
  <c r="AQ175" i="22"/>
  <c r="AR175" i="22"/>
  <c r="AS175" i="22"/>
  <c r="AT175" i="22"/>
  <c r="AV175" i="22"/>
  <c r="B176" i="22"/>
  <c r="AO176" i="22"/>
  <c r="AP176" i="22"/>
  <c r="AQ176" i="22"/>
  <c r="AR176" i="22"/>
  <c r="AS176" i="22"/>
  <c r="AT176" i="22"/>
  <c r="AV176" i="22"/>
  <c r="B177" i="22"/>
  <c r="AO177" i="22"/>
  <c r="AP177" i="22"/>
  <c r="AQ177" i="22"/>
  <c r="AR177" i="22"/>
  <c r="AS177" i="22"/>
  <c r="AT177" i="22"/>
  <c r="AV177" i="22"/>
  <c r="B178" i="22"/>
  <c r="AO178" i="22"/>
  <c r="AP178" i="22"/>
  <c r="AQ178" i="22"/>
  <c r="AR178" i="22"/>
  <c r="AS178" i="22"/>
  <c r="AT178" i="22"/>
  <c r="AV178" i="22"/>
  <c r="B179" i="22"/>
  <c r="AO179" i="22"/>
  <c r="AP179" i="22"/>
  <c r="AQ179" i="22"/>
  <c r="AR179" i="22"/>
  <c r="AS179" i="22"/>
  <c r="AT179" i="22"/>
  <c r="AV179" i="22"/>
  <c r="B180" i="22"/>
  <c r="AO180" i="22"/>
  <c r="AP180" i="22"/>
  <c r="AQ180" i="22"/>
  <c r="AR180" i="22"/>
  <c r="AS180" i="22"/>
  <c r="AT180" i="22"/>
  <c r="AV180" i="22"/>
  <c r="B181" i="22"/>
  <c r="AO181" i="22"/>
  <c r="AP181" i="22"/>
  <c r="AQ181" i="22"/>
  <c r="AR181" i="22"/>
  <c r="AS181" i="22"/>
  <c r="AT181" i="22"/>
  <c r="AV181" i="22"/>
  <c r="B182" i="22"/>
  <c r="AO182" i="22"/>
  <c r="AP182" i="22"/>
  <c r="AQ182" i="22"/>
  <c r="AR182" i="22"/>
  <c r="AS182" i="22"/>
  <c r="AT182" i="22"/>
  <c r="AV182" i="22"/>
  <c r="B183" i="22"/>
  <c r="AO183" i="22"/>
  <c r="AP183" i="22"/>
  <c r="AQ183" i="22"/>
  <c r="AR183" i="22"/>
  <c r="AS183" i="22"/>
  <c r="AT183" i="22"/>
  <c r="AV183" i="22"/>
  <c r="B184" i="22"/>
  <c r="AO184" i="22"/>
  <c r="AP184" i="22"/>
  <c r="AQ184" i="22"/>
  <c r="AR184" i="22"/>
  <c r="AS184" i="22"/>
  <c r="AT184" i="22"/>
  <c r="AV184" i="22"/>
  <c r="B185" i="22"/>
  <c r="AO185" i="22"/>
  <c r="AP185" i="22"/>
  <c r="AQ185" i="22"/>
  <c r="AR185" i="22"/>
  <c r="AS185" i="22"/>
  <c r="AT185" i="22"/>
  <c r="AV185" i="22"/>
  <c r="B186" i="22"/>
  <c r="AO186" i="22"/>
  <c r="AP186" i="22"/>
  <c r="AQ186" i="22"/>
  <c r="AR186" i="22"/>
  <c r="AS186" i="22"/>
  <c r="AT186" i="22"/>
  <c r="AV186" i="22"/>
  <c r="B187" i="22"/>
  <c r="AO187" i="22"/>
  <c r="AP187" i="22"/>
  <c r="AQ187" i="22"/>
  <c r="AR187" i="22"/>
  <c r="AS187" i="22"/>
  <c r="AT187" i="22"/>
  <c r="AV187" i="22"/>
  <c r="B188" i="22"/>
  <c r="AO188" i="22"/>
  <c r="AP188" i="22"/>
  <c r="AQ188" i="22"/>
  <c r="AR188" i="22"/>
  <c r="AS188" i="22"/>
  <c r="AT188" i="22"/>
  <c r="AV188" i="22"/>
  <c r="B189" i="22"/>
  <c r="AO189" i="22"/>
  <c r="AP189" i="22"/>
  <c r="AQ189" i="22"/>
  <c r="AR189" i="22"/>
  <c r="AS189" i="22"/>
  <c r="AT189" i="22"/>
  <c r="AV189" i="22"/>
  <c r="B190" i="22"/>
  <c r="AO190" i="22"/>
  <c r="AP190" i="22"/>
  <c r="AQ190" i="22"/>
  <c r="AR190" i="22"/>
  <c r="AS190" i="22"/>
  <c r="AT190" i="22"/>
  <c r="AV190" i="22"/>
  <c r="B191" i="22"/>
  <c r="AO191" i="22"/>
  <c r="AP191" i="22"/>
  <c r="AQ191" i="22"/>
  <c r="AR191" i="22"/>
  <c r="AS191" i="22"/>
  <c r="AT191" i="22"/>
  <c r="AV191" i="22"/>
  <c r="B192" i="22"/>
  <c r="AO192" i="22"/>
  <c r="AP192" i="22"/>
  <c r="AQ192" i="22"/>
  <c r="AR192" i="22"/>
  <c r="AS192" i="22"/>
  <c r="AT192" i="22"/>
  <c r="AV192" i="22"/>
  <c r="B193" i="22"/>
  <c r="AO193" i="22"/>
  <c r="AP193" i="22"/>
  <c r="AQ193" i="22"/>
  <c r="AR193" i="22"/>
  <c r="AS193" i="22"/>
  <c r="AT193" i="22"/>
  <c r="AV193" i="22"/>
  <c r="B194" i="22"/>
  <c r="AO194" i="22"/>
  <c r="AP194" i="22"/>
  <c r="AQ194" i="22"/>
  <c r="AR194" i="22"/>
  <c r="AS194" i="22"/>
  <c r="AT194" i="22"/>
  <c r="AV194" i="22"/>
  <c r="B195" i="22"/>
  <c r="AO195" i="22"/>
  <c r="AP195" i="22"/>
  <c r="AQ195" i="22"/>
  <c r="AR195" i="22"/>
  <c r="AS195" i="22"/>
  <c r="AT195" i="22"/>
  <c r="AV195" i="22"/>
  <c r="B196" i="22"/>
  <c r="AO196" i="22"/>
  <c r="AP196" i="22"/>
  <c r="AQ196" i="22"/>
  <c r="AR196" i="22"/>
  <c r="AS196" i="22"/>
  <c r="AT196" i="22"/>
  <c r="AV196" i="22"/>
  <c r="B197" i="22"/>
  <c r="AO197" i="22"/>
  <c r="AP197" i="22"/>
  <c r="AQ197" i="22"/>
  <c r="AR197" i="22"/>
  <c r="AS197" i="22"/>
  <c r="AT197" i="22"/>
  <c r="AV197" i="22"/>
  <c r="B198" i="22"/>
  <c r="AO198" i="22"/>
  <c r="AP198" i="22"/>
  <c r="AQ198" i="22"/>
  <c r="AR198" i="22"/>
  <c r="AS198" i="22"/>
  <c r="AT198" i="22"/>
  <c r="AV198" i="22"/>
  <c r="B199" i="22"/>
  <c r="AO199" i="22"/>
  <c r="AP199" i="22"/>
  <c r="AQ199" i="22"/>
  <c r="AR199" i="22"/>
  <c r="AS199" i="22"/>
  <c r="AT199" i="22"/>
  <c r="AV199" i="22"/>
  <c r="B200" i="22"/>
  <c r="AO200" i="22"/>
  <c r="AP200" i="22"/>
  <c r="AQ200" i="22"/>
  <c r="AR200" i="22"/>
  <c r="AS200" i="22"/>
  <c r="AT200" i="22"/>
  <c r="AV200" i="22"/>
  <c r="B201" i="22"/>
  <c r="AO201" i="22"/>
  <c r="AP201" i="22"/>
  <c r="AQ201" i="22"/>
  <c r="AR201" i="22"/>
  <c r="AS201" i="22"/>
  <c r="AT201" i="22"/>
  <c r="AV201" i="22"/>
  <c r="B202" i="22"/>
  <c r="AO202" i="22"/>
  <c r="AP202" i="22"/>
  <c r="AQ202" i="22"/>
  <c r="AR202" i="22"/>
  <c r="AS202" i="22"/>
  <c r="AT202" i="22"/>
  <c r="AV202" i="22"/>
  <c r="B203" i="22"/>
  <c r="AO203" i="22"/>
  <c r="AP203" i="22"/>
  <c r="AQ203" i="22"/>
  <c r="AR203" i="22"/>
  <c r="AS203" i="22"/>
  <c r="AT203" i="22"/>
  <c r="AV203" i="22"/>
  <c r="B204" i="22"/>
  <c r="AO204" i="22"/>
  <c r="AP204" i="22"/>
  <c r="AQ204" i="22"/>
  <c r="AR204" i="22"/>
  <c r="AS204" i="22"/>
  <c r="AT204" i="22"/>
  <c r="AV204" i="22"/>
  <c r="B205" i="22"/>
  <c r="AO205" i="22"/>
  <c r="AP205" i="22"/>
  <c r="AQ205" i="22"/>
  <c r="AR205" i="22"/>
  <c r="AS205" i="22"/>
  <c r="AT205" i="22"/>
  <c r="AV205" i="22"/>
  <c r="B206" i="22"/>
  <c r="AO206" i="22"/>
  <c r="AP206" i="22"/>
  <c r="AQ206" i="22"/>
  <c r="AR206" i="22"/>
  <c r="AS206" i="22"/>
  <c r="AT206" i="22"/>
  <c r="AV206" i="22"/>
  <c r="B207" i="22"/>
  <c r="AO207" i="22"/>
  <c r="AP207" i="22"/>
  <c r="AQ207" i="22"/>
  <c r="AR207" i="22"/>
  <c r="AS207" i="22"/>
  <c r="AT207" i="22"/>
  <c r="AV207" i="22"/>
  <c r="B208" i="22"/>
  <c r="AO208" i="22"/>
  <c r="AP208" i="22"/>
  <c r="AQ208" i="22"/>
  <c r="AR208" i="22"/>
  <c r="AS208" i="22"/>
  <c r="AT208" i="22"/>
  <c r="AV208" i="22"/>
  <c r="B209" i="22"/>
  <c r="AO209" i="22"/>
  <c r="AP209" i="22"/>
  <c r="AQ209" i="22"/>
  <c r="AR209" i="22"/>
  <c r="AS209" i="22"/>
  <c r="AT209" i="22"/>
  <c r="AV209" i="22"/>
  <c r="B210" i="22"/>
  <c r="AO210" i="22"/>
  <c r="AP210" i="22"/>
  <c r="AQ210" i="22"/>
  <c r="AR210" i="22"/>
  <c r="AS210" i="22"/>
  <c r="AT210" i="22"/>
  <c r="AV210" i="22"/>
  <c r="B211" i="22"/>
  <c r="AO211" i="22"/>
  <c r="AP211" i="22"/>
  <c r="AQ211" i="22"/>
  <c r="AR211" i="22"/>
  <c r="AS211" i="22"/>
  <c r="AT211" i="22"/>
  <c r="AV211" i="22"/>
  <c r="B212" i="22"/>
  <c r="AO212" i="22"/>
  <c r="AP212" i="22"/>
  <c r="AQ212" i="22"/>
  <c r="AR212" i="22"/>
  <c r="AS212" i="22"/>
  <c r="AT212" i="22"/>
  <c r="AV212" i="22"/>
  <c r="B213" i="22"/>
  <c r="AO213" i="22"/>
  <c r="AP213" i="22"/>
  <c r="AQ213" i="22"/>
  <c r="AR213" i="22"/>
  <c r="AS213" i="22"/>
  <c r="AT213" i="22"/>
  <c r="AV213" i="22"/>
  <c r="B214" i="22"/>
  <c r="AO214" i="22"/>
  <c r="AP214" i="22"/>
  <c r="AQ214" i="22"/>
  <c r="AR214" i="22"/>
  <c r="AS214" i="22"/>
  <c r="AT214" i="22"/>
  <c r="AV214" i="22"/>
  <c r="B215" i="22"/>
  <c r="AO215" i="22"/>
  <c r="AP215" i="22"/>
  <c r="AQ215" i="22"/>
  <c r="AR215" i="22"/>
  <c r="AS215" i="22"/>
  <c r="AT215" i="22"/>
  <c r="AV215" i="22"/>
  <c r="B216" i="22"/>
  <c r="AO216" i="22"/>
  <c r="AP216" i="22"/>
  <c r="AQ216" i="22"/>
  <c r="AR216" i="22"/>
  <c r="AS216" i="22"/>
  <c r="AT216" i="22"/>
  <c r="AV216" i="22"/>
  <c r="B217" i="22"/>
  <c r="AO217" i="22"/>
  <c r="AP217" i="22"/>
  <c r="AQ217" i="22"/>
  <c r="AR217" i="22"/>
  <c r="AS217" i="22"/>
  <c r="AT217" i="22"/>
  <c r="AV217" i="22"/>
  <c r="B218" i="22"/>
  <c r="AO218" i="22"/>
  <c r="AP218" i="22"/>
  <c r="AQ218" i="22"/>
  <c r="AR218" i="22"/>
  <c r="AS218" i="22"/>
  <c r="AT218" i="22"/>
  <c r="AV218" i="22"/>
  <c r="B219" i="22"/>
  <c r="AO219" i="22"/>
  <c r="AP219" i="22"/>
  <c r="AQ219" i="22"/>
  <c r="AR219" i="22"/>
  <c r="AS219" i="22"/>
  <c r="AT219" i="22"/>
  <c r="AV219" i="22"/>
  <c r="B220" i="22"/>
  <c r="AO220" i="22"/>
  <c r="AP220" i="22"/>
  <c r="AQ220" i="22"/>
  <c r="AR220" i="22"/>
  <c r="AS220" i="22"/>
  <c r="AT220" i="22"/>
  <c r="AV220" i="22"/>
  <c r="B221" i="22"/>
  <c r="AO221" i="22"/>
  <c r="AP221" i="22"/>
  <c r="AQ221" i="22"/>
  <c r="AR221" i="22"/>
  <c r="AS221" i="22"/>
  <c r="AT221" i="22"/>
  <c r="AV221" i="22"/>
  <c r="B222" i="22"/>
  <c r="AO222" i="22"/>
  <c r="AP222" i="22"/>
  <c r="AQ222" i="22"/>
  <c r="AR222" i="22"/>
  <c r="AS222" i="22"/>
  <c r="AT222" i="22"/>
  <c r="AV222" i="22"/>
  <c r="B223" i="22"/>
  <c r="AO223" i="22"/>
  <c r="AP223" i="22"/>
  <c r="AQ223" i="22"/>
  <c r="AR223" i="22"/>
  <c r="AS223" i="22"/>
  <c r="AT223" i="22"/>
  <c r="AV223" i="22"/>
  <c r="B224" i="22"/>
  <c r="AO224" i="22"/>
  <c r="AP224" i="22"/>
  <c r="AQ224" i="22"/>
  <c r="AR224" i="22"/>
  <c r="AS224" i="22"/>
  <c r="AT224" i="22"/>
  <c r="AV224" i="22"/>
  <c r="B225" i="22"/>
  <c r="AO225" i="22"/>
  <c r="AP225" i="22"/>
  <c r="AQ225" i="22"/>
  <c r="AR225" i="22"/>
  <c r="AS225" i="22"/>
  <c r="AT225" i="22"/>
  <c r="AV225" i="22"/>
  <c r="B226" i="22"/>
  <c r="AO226" i="22"/>
  <c r="AP226" i="22"/>
  <c r="AQ226" i="22"/>
  <c r="AR226" i="22"/>
  <c r="AS226" i="22"/>
  <c r="AT226" i="22"/>
  <c r="AV226" i="22"/>
  <c r="B227" i="22"/>
  <c r="AO227" i="22"/>
  <c r="AP227" i="22"/>
  <c r="AQ227" i="22"/>
  <c r="AR227" i="22"/>
  <c r="AS227" i="22"/>
  <c r="AT227" i="22"/>
  <c r="AV227" i="22"/>
  <c r="B228" i="22"/>
  <c r="AO228" i="22"/>
  <c r="AP228" i="22"/>
  <c r="AQ228" i="22"/>
  <c r="AR228" i="22"/>
  <c r="AS228" i="22"/>
  <c r="AT228" i="22"/>
  <c r="AV228" i="22"/>
  <c r="B229" i="22"/>
  <c r="AO229" i="22"/>
  <c r="AP229" i="22"/>
  <c r="AQ229" i="22"/>
  <c r="AR229" i="22"/>
  <c r="AS229" i="22"/>
  <c r="AT229" i="22"/>
  <c r="AV229" i="22"/>
  <c r="B230" i="22"/>
  <c r="AO230" i="22"/>
  <c r="AP230" i="22"/>
  <c r="AQ230" i="22"/>
  <c r="AR230" i="22"/>
  <c r="AS230" i="22"/>
  <c r="AT230" i="22"/>
  <c r="AV230" i="22"/>
  <c r="B231" i="22"/>
  <c r="AO231" i="22"/>
  <c r="AP231" i="22"/>
  <c r="AQ231" i="22"/>
  <c r="AR231" i="22"/>
  <c r="AS231" i="22"/>
  <c r="AT231" i="22"/>
  <c r="AV231" i="22"/>
  <c r="B232" i="22"/>
  <c r="AO232" i="22"/>
  <c r="AP232" i="22"/>
  <c r="AQ232" i="22"/>
  <c r="AR232" i="22"/>
  <c r="AS232" i="22"/>
  <c r="AT232" i="22"/>
  <c r="AV232" i="22"/>
  <c r="B233" i="22"/>
  <c r="AO233" i="22"/>
  <c r="AP233" i="22"/>
  <c r="AQ233" i="22"/>
  <c r="AR233" i="22"/>
  <c r="AS233" i="22"/>
  <c r="AT233" i="22"/>
  <c r="AV233" i="22"/>
  <c r="B234" i="22"/>
  <c r="AO234" i="22"/>
  <c r="AP234" i="22"/>
  <c r="AQ234" i="22"/>
  <c r="AR234" i="22"/>
  <c r="AS234" i="22"/>
  <c r="AT234" i="22"/>
  <c r="AV234" i="22"/>
  <c r="B235" i="22"/>
  <c r="AO235" i="22"/>
  <c r="AP235" i="22"/>
  <c r="AQ235" i="22"/>
  <c r="AR235" i="22"/>
  <c r="AV235" i="22"/>
  <c r="B236" i="22"/>
  <c r="AR236" i="22"/>
  <c r="AV236" i="22"/>
  <c r="B237" i="22"/>
  <c r="AR237" i="22"/>
  <c r="AV237" i="22"/>
  <c r="B238" i="22"/>
  <c r="AR238" i="22"/>
  <c r="AV238" i="22"/>
  <c r="B239" i="22"/>
  <c r="AR239" i="22"/>
  <c r="AV239" i="22"/>
  <c r="B240" i="22"/>
  <c r="AR240" i="22"/>
  <c r="AV240" i="22"/>
  <c r="B241" i="22"/>
  <c r="AR241" i="22"/>
  <c r="AV241" i="22"/>
  <c r="B242" i="22"/>
  <c r="AR242" i="22"/>
  <c r="AV242" i="22"/>
  <c r="B243" i="22"/>
  <c r="AR243" i="22"/>
  <c r="AV243" i="22"/>
  <c r="B244" i="22"/>
  <c r="AR244" i="22"/>
  <c r="AV244" i="22"/>
  <c r="B245" i="22"/>
  <c r="AR245" i="22"/>
  <c r="AV245" i="22"/>
  <c r="B246" i="22"/>
  <c r="AR246" i="22"/>
  <c r="AV246" i="22"/>
  <c r="B247" i="22"/>
  <c r="AR247" i="22"/>
  <c r="AV247" i="22"/>
  <c r="B248" i="22"/>
  <c r="AR248" i="22"/>
  <c r="AV248" i="22"/>
  <c r="B249" i="22"/>
  <c r="AR249" i="22"/>
  <c r="AV249" i="22"/>
  <c r="B250" i="22"/>
  <c r="AR250" i="22"/>
  <c r="AV250" i="22"/>
  <c r="B251" i="22"/>
  <c r="AR251" i="22"/>
  <c r="AV251" i="22"/>
  <c r="B252" i="22"/>
  <c r="AR252" i="22"/>
  <c r="AV252" i="22"/>
  <c r="B253" i="22"/>
  <c r="AR253" i="22"/>
  <c r="AV253" i="22"/>
  <c r="B254" i="22"/>
  <c r="AR254" i="22"/>
  <c r="AV254" i="22"/>
  <c r="B255" i="22"/>
  <c r="AR255" i="22"/>
  <c r="AV255" i="22"/>
  <c r="B256" i="22"/>
  <c r="AR256" i="22"/>
  <c r="AV256" i="22"/>
  <c r="B257" i="22"/>
  <c r="AR257" i="22"/>
  <c r="AV257" i="22"/>
  <c r="B258" i="22"/>
  <c r="AR258" i="22"/>
  <c r="AV258" i="22"/>
  <c r="B259" i="22"/>
  <c r="AR259" i="22"/>
  <c r="AV259" i="22"/>
  <c r="B260" i="22"/>
  <c r="AR260" i="22"/>
  <c r="AV260" i="22"/>
  <c r="B261" i="22"/>
  <c r="AR261" i="22"/>
  <c r="AV261" i="22"/>
  <c r="B262" i="22"/>
  <c r="AR262" i="22"/>
  <c r="AV262" i="22"/>
  <c r="B263" i="22"/>
  <c r="AR263" i="22"/>
  <c r="AV263" i="22"/>
  <c r="B264" i="22"/>
  <c r="AR264" i="22"/>
  <c r="AV264" i="22"/>
  <c r="B265" i="22"/>
  <c r="AR265" i="22"/>
  <c r="AV265" i="22"/>
  <c r="B266" i="22"/>
  <c r="AR266" i="22"/>
  <c r="AV266" i="22"/>
  <c r="B267" i="22"/>
  <c r="AR267" i="22"/>
  <c r="AV267" i="22"/>
  <c r="B268" i="22"/>
  <c r="AR268" i="22"/>
  <c r="AV268" i="22"/>
  <c r="B269" i="22"/>
  <c r="AR269" i="22"/>
  <c r="AV269" i="22"/>
  <c r="B270" i="22"/>
  <c r="AR270" i="22"/>
  <c r="AV270" i="22"/>
  <c r="B271" i="22"/>
  <c r="AR271" i="22"/>
  <c r="AV271" i="22"/>
  <c r="B272" i="22"/>
  <c r="AR272" i="22"/>
  <c r="AV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2" i="27"/>
  <c r="F2" i="27"/>
  <c r="K2" i="27"/>
  <c r="L2" i="27"/>
  <c r="M2" i="27"/>
  <c r="N2" i="27"/>
  <c r="O2" i="27"/>
  <c r="U2" i="27"/>
  <c r="AC2" i="27"/>
  <c r="AD2" i="27"/>
  <c r="B3" i="27"/>
  <c r="F3" i="27"/>
  <c r="K3" i="27"/>
  <c r="L3" i="27"/>
  <c r="M3" i="27"/>
  <c r="N3" i="27"/>
  <c r="O3" i="27"/>
  <c r="U3" i="27"/>
  <c r="AC3" i="27"/>
  <c r="AD3" i="27"/>
  <c r="B4" i="27"/>
  <c r="F4" i="27"/>
  <c r="K4" i="27"/>
  <c r="L4" i="27"/>
  <c r="M4" i="27"/>
  <c r="N4" i="27"/>
  <c r="O4" i="27"/>
  <c r="U4" i="27"/>
  <c r="AC4" i="27"/>
  <c r="AD4" i="27"/>
  <c r="B3" i="24"/>
  <c r="S3" i="24"/>
  <c r="J7" i="24"/>
  <c r="K7" i="24"/>
  <c r="L7" i="24"/>
  <c r="M7" i="24"/>
  <c r="N7" i="24"/>
  <c r="O7" i="24"/>
  <c r="P7" i="24"/>
  <c r="Q7" i="24"/>
  <c r="R7" i="24"/>
  <c r="S7" i="24"/>
  <c r="T7" i="24"/>
  <c r="U7" i="24"/>
  <c r="W7" i="24"/>
  <c r="X7" i="24"/>
  <c r="Y7" i="24"/>
  <c r="Z7" i="24"/>
  <c r="AB7" i="24"/>
  <c r="W8" i="24"/>
  <c r="X8" i="24"/>
  <c r="Y8" i="24"/>
  <c r="Z8" i="24"/>
  <c r="AB8" i="24"/>
  <c r="U9" i="24"/>
  <c r="W9" i="24"/>
  <c r="X9" i="24"/>
  <c r="Y9" i="24"/>
  <c r="Z9" i="24"/>
  <c r="AB9" i="24"/>
  <c r="U10" i="24"/>
  <c r="W10" i="24"/>
  <c r="X10" i="24"/>
  <c r="Y10" i="24"/>
  <c r="Z10" i="24"/>
  <c r="AB10" i="24"/>
  <c r="U11" i="24"/>
  <c r="W11" i="24"/>
  <c r="X11" i="24"/>
  <c r="Y11" i="24"/>
  <c r="Z11" i="24"/>
  <c r="AB11" i="24"/>
  <c r="W12" i="24"/>
  <c r="X12" i="24"/>
  <c r="Y12" i="24"/>
  <c r="Z12" i="24"/>
  <c r="AB12" i="24"/>
  <c r="W13" i="24"/>
  <c r="X13" i="24"/>
  <c r="Y13" i="24"/>
  <c r="Z13" i="24"/>
  <c r="AB13" i="24"/>
  <c r="W14" i="24"/>
  <c r="X14" i="24"/>
  <c r="Y14" i="24"/>
  <c r="Z14" i="24"/>
  <c r="AB14" i="24"/>
  <c r="W15" i="24"/>
  <c r="X15" i="24"/>
  <c r="Y15" i="24"/>
  <c r="Z15" i="24"/>
  <c r="AB15" i="24"/>
  <c r="W16" i="24"/>
  <c r="X16" i="24"/>
  <c r="Y16" i="24"/>
  <c r="Z16" i="24"/>
  <c r="AB16" i="24"/>
  <c r="W17" i="24"/>
  <c r="X17" i="24"/>
  <c r="Y17" i="24"/>
  <c r="Z17" i="24"/>
  <c r="AB17" i="24"/>
  <c r="W18" i="24"/>
  <c r="X18" i="24"/>
  <c r="Y18" i="24"/>
  <c r="Z18" i="24"/>
  <c r="AB18" i="24"/>
  <c r="W19" i="24"/>
  <c r="X19" i="24"/>
  <c r="Y19" i="24"/>
  <c r="Z19" i="24"/>
  <c r="AB19" i="24"/>
  <c r="W20" i="24"/>
  <c r="X20" i="24"/>
  <c r="Y20" i="24"/>
  <c r="Z20" i="24"/>
  <c r="AB20" i="24"/>
  <c r="BK1" i="9"/>
  <c r="AP2" i="9"/>
  <c r="BK2" i="9"/>
  <c r="B3" i="9"/>
  <c r="R3" i="9"/>
  <c r="U3" i="9"/>
  <c r="V3" i="9"/>
  <c r="BK3" i="9"/>
  <c r="BA4" i="9"/>
  <c r="E7" i="9"/>
  <c r="I7" i="9"/>
  <c r="J7" i="9"/>
  <c r="K7" i="9"/>
  <c r="L7" i="9"/>
  <c r="M7" i="9"/>
  <c r="O7" i="9"/>
  <c r="R7" i="9"/>
  <c r="S7" i="9"/>
  <c r="T7" i="9"/>
  <c r="U7" i="9"/>
  <c r="V7" i="9"/>
  <c r="X7" i="9"/>
  <c r="AA7" i="9"/>
  <c r="AB7" i="9"/>
  <c r="AC7" i="9"/>
  <c r="AD7" i="9"/>
  <c r="AE7" i="9"/>
  <c r="AF7" i="9"/>
  <c r="AG7" i="9"/>
  <c r="AJ7" i="9"/>
  <c r="AP7" i="9"/>
  <c r="AQ7" i="9"/>
  <c r="AR7" i="9"/>
  <c r="AS7" i="9"/>
  <c r="AU7" i="9"/>
  <c r="AV7" i="9"/>
  <c r="AW7" i="9"/>
  <c r="AX7" i="9"/>
  <c r="AY7" i="9"/>
  <c r="AZ7" i="9"/>
  <c r="BA7" i="9"/>
  <c r="BB7" i="9"/>
  <c r="I8" i="9"/>
  <c r="J8" i="9"/>
  <c r="K8" i="9"/>
  <c r="L8" i="9"/>
  <c r="M8" i="9"/>
  <c r="O8" i="9"/>
  <c r="R8" i="9"/>
  <c r="U8" i="9"/>
  <c r="X8" i="9"/>
  <c r="Z8" i="9"/>
  <c r="AA8" i="9"/>
  <c r="AB8" i="9"/>
  <c r="AC8" i="9"/>
  <c r="AD8" i="9"/>
  <c r="AE8" i="9"/>
  <c r="AF8" i="9"/>
  <c r="AG8" i="9"/>
  <c r="AI8" i="9"/>
  <c r="AJ8" i="9"/>
  <c r="AP8" i="9"/>
  <c r="AQ8" i="9"/>
  <c r="AR8" i="9"/>
  <c r="AS8" i="9"/>
  <c r="I9" i="9"/>
  <c r="J9" i="9"/>
  <c r="K9" i="9"/>
  <c r="L9" i="9"/>
  <c r="M9" i="9"/>
  <c r="O9" i="9"/>
  <c r="R9" i="9"/>
  <c r="U9" i="9"/>
  <c r="X9" i="9"/>
  <c r="Z9" i="9"/>
  <c r="AA9" i="9"/>
  <c r="AB9" i="9"/>
  <c r="AC9" i="9"/>
  <c r="AD9" i="9"/>
  <c r="AE9" i="9"/>
  <c r="AF9" i="9"/>
  <c r="AG9" i="9"/>
  <c r="AI9" i="9"/>
  <c r="AJ9" i="9"/>
  <c r="AP9" i="9"/>
  <c r="AQ9" i="9"/>
  <c r="AR9" i="9"/>
  <c r="AS9" i="9"/>
  <c r="I10" i="9"/>
  <c r="J10" i="9"/>
  <c r="K10" i="9"/>
  <c r="L10" i="9"/>
  <c r="M10" i="9"/>
  <c r="O10" i="9"/>
  <c r="R10" i="9"/>
  <c r="U10" i="9"/>
  <c r="X10" i="9"/>
  <c r="Z10" i="9"/>
  <c r="AA10" i="9"/>
  <c r="AB10" i="9"/>
  <c r="AC10" i="9"/>
  <c r="AD10" i="9"/>
  <c r="AE10" i="9"/>
  <c r="AF10" i="9"/>
  <c r="AG10" i="9"/>
  <c r="AI10" i="9"/>
  <c r="AJ10" i="9"/>
  <c r="AP10" i="9"/>
  <c r="AQ10" i="9"/>
  <c r="AR10" i="9"/>
  <c r="AS10" i="9"/>
  <c r="I11" i="9"/>
  <c r="J11" i="9"/>
  <c r="K11" i="9"/>
  <c r="L11" i="9"/>
  <c r="M11" i="9"/>
  <c r="O11" i="9"/>
  <c r="R11" i="9"/>
  <c r="U11" i="9"/>
  <c r="X11" i="9"/>
  <c r="Z11" i="9"/>
  <c r="AA11" i="9"/>
  <c r="AB11" i="9"/>
  <c r="AC11" i="9"/>
  <c r="AD11" i="9"/>
  <c r="AE11" i="9"/>
  <c r="AF11" i="9"/>
  <c r="AG11" i="9"/>
  <c r="AI11" i="9"/>
  <c r="AJ11" i="9"/>
  <c r="AP11" i="9"/>
  <c r="AQ11" i="9"/>
  <c r="AR11" i="9"/>
  <c r="AS11" i="9"/>
  <c r="I12" i="9"/>
  <c r="J12" i="9"/>
  <c r="K12" i="9"/>
  <c r="L12" i="9"/>
  <c r="M12" i="9"/>
  <c r="O12" i="9"/>
  <c r="R12" i="9"/>
  <c r="U12" i="9"/>
  <c r="X12" i="9"/>
  <c r="Z12" i="9"/>
  <c r="AA12" i="9"/>
  <c r="AB12" i="9"/>
  <c r="AC12" i="9"/>
  <c r="AD12" i="9"/>
  <c r="AE12" i="9"/>
  <c r="AF12" i="9"/>
  <c r="AG12" i="9"/>
  <c r="AI12" i="9"/>
  <c r="AJ12" i="9"/>
  <c r="AP12" i="9"/>
  <c r="AQ12" i="9"/>
  <c r="AR12" i="9"/>
  <c r="AS12" i="9"/>
  <c r="E13" i="9"/>
  <c r="I13" i="9"/>
  <c r="J13" i="9"/>
  <c r="K13" i="9"/>
  <c r="L13" i="9"/>
  <c r="M13" i="9"/>
  <c r="O13" i="9"/>
  <c r="R13" i="9"/>
  <c r="S13" i="9"/>
  <c r="T13" i="9"/>
  <c r="U13" i="9"/>
  <c r="V13" i="9"/>
  <c r="X13" i="9"/>
  <c r="Z13" i="9"/>
  <c r="AA13" i="9"/>
  <c r="AB13" i="9"/>
  <c r="AC13" i="9"/>
  <c r="AD13" i="9"/>
  <c r="AE13" i="9"/>
  <c r="AF13" i="9"/>
  <c r="AG13" i="9"/>
  <c r="AI13" i="9"/>
  <c r="AJ13" i="9"/>
  <c r="AP13" i="9"/>
  <c r="AQ13" i="9"/>
  <c r="AR13" i="9"/>
  <c r="AS13" i="9"/>
  <c r="AU13" i="9"/>
  <c r="AV13" i="9"/>
  <c r="AW13" i="9"/>
  <c r="AX13" i="9"/>
  <c r="AY13" i="9"/>
  <c r="AZ13" i="9"/>
  <c r="BA13" i="9"/>
  <c r="BB13" i="9"/>
  <c r="I14" i="9"/>
  <c r="J14" i="9"/>
  <c r="K14" i="9"/>
  <c r="L14" i="9"/>
  <c r="M14" i="9"/>
  <c r="O14" i="9"/>
  <c r="R14" i="9"/>
  <c r="U14" i="9"/>
  <c r="X14" i="9"/>
  <c r="Z14" i="9"/>
  <c r="AA14" i="9"/>
  <c r="AB14" i="9"/>
  <c r="AC14" i="9"/>
  <c r="AD14" i="9"/>
  <c r="AE14" i="9"/>
  <c r="AF14" i="9"/>
  <c r="AG14" i="9"/>
  <c r="AI14" i="9"/>
  <c r="AJ14" i="9"/>
  <c r="AP14" i="9"/>
  <c r="AQ14" i="9"/>
  <c r="AR14" i="9"/>
  <c r="AS14" i="9"/>
  <c r="I15" i="9"/>
  <c r="J15" i="9"/>
  <c r="K15" i="9"/>
  <c r="L15" i="9"/>
  <c r="M15" i="9"/>
  <c r="O15" i="9"/>
  <c r="R15" i="9"/>
  <c r="U15" i="9"/>
  <c r="X15" i="9"/>
  <c r="Z15" i="9"/>
  <c r="AA15" i="9"/>
  <c r="AB15" i="9"/>
  <c r="AC15" i="9"/>
  <c r="AD15" i="9"/>
  <c r="AE15" i="9"/>
  <c r="AF15" i="9"/>
  <c r="AG15" i="9"/>
  <c r="AI15" i="9"/>
  <c r="AJ15" i="9"/>
  <c r="AP15" i="9"/>
  <c r="AQ15" i="9"/>
  <c r="AR15" i="9"/>
  <c r="AS15" i="9"/>
  <c r="I16" i="9"/>
  <c r="J16" i="9"/>
  <c r="K16" i="9"/>
  <c r="L16" i="9"/>
  <c r="M16" i="9"/>
  <c r="O16" i="9"/>
  <c r="R16" i="9"/>
  <c r="U16" i="9"/>
  <c r="X16" i="9"/>
  <c r="Z16" i="9"/>
  <c r="AA16" i="9"/>
  <c r="AB16" i="9"/>
  <c r="AC16" i="9"/>
  <c r="AD16" i="9"/>
  <c r="AE16" i="9"/>
  <c r="AF16" i="9"/>
  <c r="AG16" i="9"/>
  <c r="AI16" i="9"/>
  <c r="AJ16" i="9"/>
  <c r="AP16" i="9"/>
  <c r="AQ16" i="9"/>
  <c r="AR16" i="9"/>
  <c r="AS16" i="9"/>
  <c r="I17" i="9"/>
  <c r="J17" i="9"/>
  <c r="K17" i="9"/>
  <c r="L17" i="9"/>
  <c r="M17" i="9"/>
  <c r="O17" i="9"/>
  <c r="R17" i="9"/>
  <c r="U17" i="9"/>
  <c r="X17" i="9"/>
  <c r="Z17" i="9"/>
  <c r="AA17" i="9"/>
  <c r="AB17" i="9"/>
  <c r="AC17" i="9"/>
  <c r="AD17" i="9"/>
  <c r="AE17" i="9"/>
  <c r="AF17" i="9"/>
  <c r="AG17" i="9"/>
  <c r="AI17" i="9"/>
  <c r="AJ17" i="9"/>
  <c r="AP17" i="9"/>
  <c r="AQ17" i="9"/>
  <c r="AR17" i="9"/>
  <c r="AS17" i="9"/>
  <c r="I18" i="9"/>
  <c r="J18" i="9"/>
  <c r="K18" i="9"/>
  <c r="L18" i="9"/>
  <c r="M18" i="9"/>
  <c r="O18" i="9"/>
  <c r="R18" i="9"/>
  <c r="U18" i="9"/>
  <c r="X18" i="9"/>
  <c r="Z18" i="9"/>
  <c r="AA18" i="9"/>
  <c r="AB18" i="9"/>
  <c r="AC18" i="9"/>
  <c r="AD18" i="9"/>
  <c r="AE18" i="9"/>
  <c r="AF18" i="9"/>
  <c r="AG18" i="9"/>
  <c r="AI18" i="9"/>
  <c r="AJ18" i="9"/>
  <c r="AP18" i="9"/>
  <c r="AQ18" i="9"/>
  <c r="AR18" i="9"/>
  <c r="AS18" i="9"/>
  <c r="E19" i="9"/>
  <c r="I19" i="9"/>
  <c r="J19" i="9"/>
  <c r="K19" i="9"/>
  <c r="L19" i="9"/>
  <c r="M19" i="9"/>
  <c r="O19" i="9"/>
  <c r="R19" i="9"/>
  <c r="S19" i="9"/>
  <c r="T19" i="9"/>
  <c r="U19" i="9"/>
  <c r="V19" i="9"/>
  <c r="X19" i="9"/>
  <c r="Z19" i="9"/>
  <c r="AA19" i="9"/>
  <c r="AB19" i="9"/>
  <c r="AC19" i="9"/>
  <c r="AD19" i="9"/>
  <c r="AE19" i="9"/>
  <c r="AF19" i="9"/>
  <c r="AG19" i="9"/>
  <c r="AI19" i="9"/>
  <c r="AJ19" i="9"/>
  <c r="AP19" i="9"/>
  <c r="AQ19" i="9"/>
  <c r="AR19" i="9"/>
  <c r="AS19" i="9"/>
  <c r="AU19" i="9"/>
  <c r="AV19" i="9"/>
  <c r="AW19" i="9"/>
  <c r="AX19" i="9"/>
  <c r="AY19" i="9"/>
  <c r="AZ19" i="9"/>
  <c r="BA19" i="9"/>
  <c r="BB19" i="9"/>
  <c r="I20" i="9"/>
  <c r="J20" i="9"/>
  <c r="K20" i="9"/>
  <c r="L20" i="9"/>
  <c r="M20" i="9"/>
  <c r="O20" i="9"/>
  <c r="R20" i="9"/>
  <c r="U20" i="9"/>
  <c r="X20" i="9"/>
  <c r="Z20" i="9"/>
  <c r="AA20" i="9"/>
  <c r="AB20" i="9"/>
  <c r="AC20" i="9"/>
  <c r="AD20" i="9"/>
  <c r="AE20" i="9"/>
  <c r="AF20" i="9"/>
  <c r="AG20" i="9"/>
  <c r="AI20" i="9"/>
  <c r="AJ20" i="9"/>
  <c r="AP20" i="9"/>
  <c r="AQ20" i="9"/>
  <c r="AR20" i="9"/>
  <c r="AS20" i="9"/>
  <c r="I21" i="9"/>
  <c r="J21" i="9"/>
  <c r="K21" i="9"/>
  <c r="L21" i="9"/>
  <c r="M21" i="9"/>
  <c r="O21" i="9"/>
  <c r="R21" i="9"/>
  <c r="U21" i="9"/>
  <c r="X21" i="9"/>
  <c r="Z21" i="9"/>
  <c r="AA21" i="9"/>
  <c r="AB21" i="9"/>
  <c r="AC21" i="9"/>
  <c r="AD21" i="9"/>
  <c r="AE21" i="9"/>
  <c r="AF21" i="9"/>
  <c r="AG21" i="9"/>
  <c r="AI21" i="9"/>
  <c r="AJ21" i="9"/>
  <c r="AP21" i="9"/>
  <c r="AQ21" i="9"/>
  <c r="AR21" i="9"/>
  <c r="AS21" i="9"/>
  <c r="I22" i="9"/>
  <c r="J22" i="9"/>
  <c r="K22" i="9"/>
  <c r="L22" i="9"/>
  <c r="M22" i="9"/>
  <c r="O22" i="9"/>
  <c r="R22" i="9"/>
  <c r="U22" i="9"/>
  <c r="X22" i="9"/>
  <c r="Z22" i="9"/>
  <c r="AA22" i="9"/>
  <c r="AB22" i="9"/>
  <c r="AC22" i="9"/>
  <c r="AD22" i="9"/>
  <c r="AE22" i="9"/>
  <c r="AF22" i="9"/>
  <c r="AG22" i="9"/>
  <c r="AI22" i="9"/>
  <c r="AJ22" i="9"/>
  <c r="AP22" i="9"/>
  <c r="AQ22" i="9"/>
  <c r="AR22" i="9"/>
  <c r="AS22" i="9"/>
  <c r="I23" i="9"/>
  <c r="J23" i="9"/>
  <c r="K23" i="9"/>
  <c r="L23" i="9"/>
  <c r="M23" i="9"/>
  <c r="O23" i="9"/>
  <c r="R23" i="9"/>
  <c r="U23" i="9"/>
  <c r="X23" i="9"/>
  <c r="Z23" i="9"/>
  <c r="AA23" i="9"/>
  <c r="AB23" i="9"/>
  <c r="AC23" i="9"/>
  <c r="AD23" i="9"/>
  <c r="AE23" i="9"/>
  <c r="AF23" i="9"/>
  <c r="AG23" i="9"/>
  <c r="AI23" i="9"/>
  <c r="AJ23" i="9"/>
  <c r="AP23" i="9"/>
  <c r="AQ23" i="9"/>
  <c r="AR23" i="9"/>
  <c r="AS23" i="9"/>
  <c r="I24" i="9"/>
  <c r="J24" i="9"/>
  <c r="K24" i="9"/>
  <c r="L24" i="9"/>
  <c r="M24" i="9"/>
  <c r="O24" i="9"/>
  <c r="R24" i="9"/>
  <c r="U24" i="9"/>
  <c r="X24" i="9"/>
  <c r="Z24" i="9"/>
  <c r="AA24" i="9"/>
  <c r="AB24" i="9"/>
  <c r="AC24" i="9"/>
  <c r="AD24" i="9"/>
  <c r="AE24" i="9"/>
  <c r="AF24" i="9"/>
  <c r="AG24" i="9"/>
  <c r="AI24" i="9"/>
  <c r="AJ24" i="9"/>
  <c r="AP24" i="9"/>
  <c r="AQ24" i="9"/>
  <c r="AR24" i="9"/>
  <c r="AS24" i="9"/>
  <c r="BL24" i="9"/>
  <c r="E25" i="9"/>
  <c r="I25" i="9"/>
  <c r="J25" i="9"/>
  <c r="K25" i="9"/>
  <c r="L25" i="9"/>
  <c r="M25" i="9"/>
  <c r="O25" i="9"/>
  <c r="R25" i="9"/>
  <c r="S25" i="9"/>
  <c r="T25" i="9"/>
  <c r="U25" i="9"/>
  <c r="V25" i="9"/>
  <c r="X25" i="9"/>
  <c r="Z25" i="9"/>
  <c r="AA25" i="9"/>
  <c r="AB25" i="9"/>
  <c r="AC25" i="9"/>
  <c r="AD25" i="9"/>
  <c r="AE25" i="9"/>
  <c r="AF25" i="9"/>
  <c r="AG25" i="9"/>
  <c r="AI25" i="9"/>
  <c r="AJ25" i="9"/>
  <c r="AP25" i="9"/>
  <c r="AQ25" i="9"/>
  <c r="AR25" i="9"/>
  <c r="AS25" i="9"/>
  <c r="AU25" i="9"/>
  <c r="AV25" i="9"/>
  <c r="AW25" i="9"/>
  <c r="AX25" i="9"/>
  <c r="AY25" i="9"/>
  <c r="AZ25" i="9"/>
  <c r="BA25" i="9"/>
  <c r="BB25" i="9"/>
  <c r="I26" i="9"/>
  <c r="J26" i="9"/>
  <c r="K26" i="9"/>
  <c r="L26" i="9"/>
  <c r="M26" i="9"/>
  <c r="O26" i="9"/>
  <c r="R26" i="9"/>
  <c r="U26" i="9"/>
  <c r="X26" i="9"/>
  <c r="Z26" i="9"/>
  <c r="AA26" i="9"/>
  <c r="AB26" i="9"/>
  <c r="AC26" i="9"/>
  <c r="AD26" i="9"/>
  <c r="AE26" i="9"/>
  <c r="AF26" i="9"/>
  <c r="AG26" i="9"/>
  <c r="AI26" i="9"/>
  <c r="AJ26" i="9"/>
  <c r="AP26" i="9"/>
  <c r="AQ26" i="9"/>
  <c r="AR26" i="9"/>
  <c r="AS26" i="9"/>
  <c r="I27" i="9"/>
  <c r="J27" i="9"/>
  <c r="K27" i="9"/>
  <c r="L27" i="9"/>
  <c r="M27" i="9"/>
  <c r="O27" i="9"/>
  <c r="R27" i="9"/>
  <c r="U27" i="9"/>
  <c r="X27" i="9"/>
  <c r="Z27" i="9"/>
  <c r="AA27" i="9"/>
  <c r="AB27" i="9"/>
  <c r="AC27" i="9"/>
  <c r="AD27" i="9"/>
  <c r="AE27" i="9"/>
  <c r="AF27" i="9"/>
  <c r="AG27" i="9"/>
  <c r="AI27" i="9"/>
  <c r="AJ27" i="9"/>
  <c r="AP27" i="9"/>
  <c r="AQ27" i="9"/>
  <c r="AR27" i="9"/>
  <c r="AS27" i="9"/>
  <c r="I28" i="9"/>
  <c r="J28" i="9"/>
  <c r="K28" i="9"/>
  <c r="L28" i="9"/>
  <c r="M28" i="9"/>
  <c r="O28" i="9"/>
  <c r="R28" i="9"/>
  <c r="U28" i="9"/>
  <c r="X28" i="9"/>
  <c r="Z28" i="9"/>
  <c r="AA28" i="9"/>
  <c r="AB28" i="9"/>
  <c r="AC28" i="9"/>
  <c r="AD28" i="9"/>
  <c r="AE28" i="9"/>
  <c r="AF28" i="9"/>
  <c r="AG28" i="9"/>
  <c r="AI28" i="9"/>
  <c r="AJ28" i="9"/>
  <c r="AP28" i="9"/>
  <c r="AQ28" i="9"/>
  <c r="AR28" i="9"/>
  <c r="AS28" i="9"/>
  <c r="I29" i="9"/>
  <c r="J29" i="9"/>
  <c r="K29" i="9"/>
  <c r="L29" i="9"/>
  <c r="M29" i="9"/>
  <c r="O29" i="9"/>
  <c r="R29" i="9"/>
  <c r="U29" i="9"/>
  <c r="X29" i="9"/>
  <c r="Z29" i="9"/>
  <c r="AA29" i="9"/>
  <c r="AB29" i="9"/>
  <c r="AC29" i="9"/>
  <c r="AD29" i="9"/>
  <c r="AE29" i="9"/>
  <c r="AF29" i="9"/>
  <c r="AG29" i="9"/>
  <c r="AI29" i="9"/>
  <c r="AJ29" i="9"/>
  <c r="AP29" i="9"/>
  <c r="AQ29" i="9"/>
  <c r="AR29" i="9"/>
  <c r="AS29" i="9"/>
  <c r="I30" i="9"/>
  <c r="J30" i="9"/>
  <c r="K30" i="9"/>
  <c r="L30" i="9"/>
  <c r="M30" i="9"/>
  <c r="O30" i="9"/>
  <c r="R30" i="9"/>
  <c r="U30" i="9"/>
  <c r="X30" i="9"/>
  <c r="Z30" i="9"/>
  <c r="AA30" i="9"/>
  <c r="AB30" i="9"/>
  <c r="AC30" i="9"/>
  <c r="AD30" i="9"/>
  <c r="AE30" i="9"/>
  <c r="AF30" i="9"/>
  <c r="AG30" i="9"/>
  <c r="AI30" i="9"/>
  <c r="AJ30" i="9"/>
  <c r="AP30" i="9"/>
  <c r="AQ30" i="9"/>
  <c r="AR30" i="9"/>
  <c r="AS30" i="9"/>
  <c r="Z31" i="9"/>
  <c r="AA31" i="9"/>
  <c r="AB31" i="9"/>
  <c r="AC31" i="9"/>
  <c r="AD31" i="9"/>
  <c r="AE31" i="9"/>
  <c r="AF31" i="9"/>
  <c r="AG31" i="9"/>
  <c r="AI31" i="9"/>
  <c r="AJ31" i="9"/>
  <c r="Z32" i="9"/>
  <c r="AA32" i="9"/>
  <c r="AB32" i="9"/>
  <c r="AC32" i="9"/>
  <c r="AD32" i="9"/>
  <c r="AE32" i="9"/>
  <c r="AF32" i="9"/>
  <c r="AG32" i="9"/>
  <c r="AI32" i="9"/>
  <c r="AJ32" i="9"/>
  <c r="Z33" i="9"/>
  <c r="AA33" i="9"/>
  <c r="AB33" i="9"/>
  <c r="AC33" i="9"/>
  <c r="AD33" i="9"/>
  <c r="AE33" i="9"/>
  <c r="AF33" i="9"/>
  <c r="AG33" i="9"/>
  <c r="AI33" i="9"/>
  <c r="AJ33" i="9"/>
  <c r="Z34" i="9"/>
  <c r="AA34" i="9"/>
  <c r="AB34" i="9"/>
  <c r="AC34" i="9"/>
  <c r="AD34" i="9"/>
  <c r="AE34" i="9"/>
  <c r="AF34" i="9"/>
  <c r="AG34" i="9"/>
  <c r="AI34" i="9"/>
  <c r="AJ34" i="9"/>
  <c r="Z35" i="9"/>
  <c r="AA35" i="9"/>
  <c r="AB35" i="9"/>
  <c r="AC35" i="9"/>
  <c r="AD35" i="9"/>
  <c r="AE35" i="9"/>
  <c r="AF35" i="9"/>
  <c r="AG35" i="9"/>
  <c r="AI35" i="9"/>
  <c r="AJ35" i="9"/>
  <c r="Z36" i="9"/>
  <c r="AA36" i="9"/>
  <c r="AB36" i="9"/>
  <c r="AC36" i="9"/>
  <c r="AD36" i="9"/>
  <c r="AE36" i="9"/>
  <c r="AF36" i="9"/>
  <c r="AG36" i="9"/>
  <c r="AI36" i="9"/>
  <c r="AJ36" i="9"/>
  <c r="Z37" i="9"/>
  <c r="AA37" i="9"/>
  <c r="AB37" i="9"/>
  <c r="AC37" i="9"/>
  <c r="AD37" i="9"/>
  <c r="AE37" i="9"/>
  <c r="AF37" i="9"/>
  <c r="AG37" i="9"/>
  <c r="AI37" i="9"/>
  <c r="AJ37" i="9"/>
  <c r="Z38" i="9"/>
  <c r="AA38" i="9"/>
  <c r="AB38" i="9"/>
  <c r="AC38" i="9"/>
  <c r="AD38" i="9"/>
  <c r="AE38" i="9"/>
  <c r="AF38" i="9"/>
  <c r="AG38" i="9"/>
  <c r="AI38" i="9"/>
  <c r="AJ38" i="9"/>
  <c r="Z39" i="9"/>
  <c r="AA39" i="9"/>
  <c r="AB39" i="9"/>
  <c r="AC39" i="9"/>
  <c r="AD39" i="9"/>
  <c r="AE39" i="9"/>
  <c r="AF39" i="9"/>
  <c r="AG39" i="9"/>
  <c r="AI39" i="9"/>
  <c r="AJ39" i="9"/>
  <c r="Z40" i="9"/>
  <c r="AA40" i="9"/>
  <c r="AB40" i="9"/>
  <c r="AC40" i="9"/>
  <c r="AD40" i="9"/>
  <c r="AE40" i="9"/>
  <c r="AF40" i="9"/>
  <c r="AG40" i="9"/>
  <c r="AI40" i="9"/>
  <c r="AJ40" i="9"/>
  <c r="Z41" i="9"/>
  <c r="AA41" i="9"/>
  <c r="AB41" i="9"/>
  <c r="AC41" i="9"/>
  <c r="AD41" i="9"/>
  <c r="AE41" i="9"/>
  <c r="AF41" i="9"/>
  <c r="AG41" i="9"/>
  <c r="AI41" i="9"/>
  <c r="AJ41" i="9"/>
  <c r="Z42" i="9"/>
  <c r="AA42" i="9"/>
  <c r="AB42" i="9"/>
  <c r="AC42" i="9"/>
  <c r="AD42" i="9"/>
  <c r="AE42" i="9"/>
  <c r="AF42" i="9"/>
  <c r="AG42" i="9"/>
  <c r="AI42" i="9"/>
  <c r="AJ42" i="9"/>
  <c r="Z43" i="9"/>
  <c r="AA43" i="9"/>
  <c r="AB43" i="9"/>
  <c r="AC43" i="9"/>
  <c r="AD43" i="9"/>
  <c r="AE43" i="9"/>
  <c r="AF43" i="9"/>
  <c r="AG43" i="9"/>
  <c r="AI43" i="9"/>
  <c r="AJ43" i="9"/>
  <c r="Z44" i="9"/>
  <c r="AA44" i="9"/>
  <c r="AB44" i="9"/>
  <c r="AC44" i="9"/>
  <c r="AD44" i="9"/>
  <c r="AE44" i="9"/>
  <c r="AF44" i="9"/>
  <c r="AG44" i="9"/>
  <c r="AI44" i="9"/>
  <c r="AJ44" i="9"/>
  <c r="Z45" i="9"/>
  <c r="AA45" i="9"/>
  <c r="AB45" i="9"/>
  <c r="AC45" i="9"/>
  <c r="AD45" i="9"/>
  <c r="AE45" i="9"/>
  <c r="AF45" i="9"/>
  <c r="AG45" i="9"/>
  <c r="AI45" i="9"/>
  <c r="AJ45" i="9"/>
  <c r="Z46" i="9"/>
  <c r="AA46" i="9"/>
  <c r="AB46" i="9"/>
  <c r="AC46" i="9"/>
  <c r="AD46" i="9"/>
  <c r="AE46" i="9"/>
  <c r="AF46" i="9"/>
  <c r="AG46" i="9"/>
  <c r="AI46" i="9"/>
  <c r="AJ46" i="9"/>
  <c r="Z47" i="9"/>
  <c r="AA47" i="9"/>
  <c r="AB47" i="9"/>
  <c r="AC47" i="9"/>
  <c r="AD47" i="9"/>
  <c r="AE47" i="9"/>
  <c r="AF47" i="9"/>
  <c r="AG47" i="9"/>
  <c r="AI47" i="9"/>
  <c r="AJ47" i="9"/>
  <c r="Z48" i="9"/>
  <c r="AA48" i="9"/>
  <c r="AB48" i="9"/>
  <c r="AC48" i="9"/>
  <c r="AD48" i="9"/>
  <c r="AE48" i="9"/>
  <c r="AF48" i="9"/>
  <c r="AG48" i="9"/>
  <c r="AI48" i="9"/>
  <c r="AJ48" i="9"/>
  <c r="Z49" i="9"/>
  <c r="AA49" i="9"/>
  <c r="AB49" i="9"/>
  <c r="AC49" i="9"/>
  <c r="AD49" i="9"/>
  <c r="AE49" i="9"/>
  <c r="AF49" i="9"/>
  <c r="AG49" i="9"/>
  <c r="AI49" i="9"/>
  <c r="AJ49" i="9"/>
  <c r="Z50" i="9"/>
  <c r="AA50" i="9"/>
  <c r="AB50" i="9"/>
  <c r="AC50" i="9"/>
  <c r="AD50" i="9"/>
  <c r="AE50" i="9"/>
  <c r="AF50" i="9"/>
  <c r="AG50" i="9"/>
  <c r="AI50" i="9"/>
  <c r="AJ50" i="9"/>
  <c r="Z51" i="9"/>
  <c r="AA51" i="9"/>
  <c r="AB51" i="9"/>
  <c r="AC51" i="9"/>
  <c r="AD51" i="9"/>
  <c r="AE51" i="9"/>
  <c r="AF51" i="9"/>
  <c r="AG51" i="9"/>
  <c r="AI51" i="9"/>
  <c r="AJ51" i="9"/>
  <c r="Z52" i="9"/>
  <c r="AA52" i="9"/>
  <c r="AB52" i="9"/>
  <c r="AC52" i="9"/>
  <c r="AD52" i="9"/>
  <c r="AE52" i="9"/>
  <c r="AF52" i="9"/>
  <c r="AG52" i="9"/>
  <c r="AI52" i="9"/>
  <c r="AJ52" i="9"/>
  <c r="Z53" i="9"/>
  <c r="AA53" i="9"/>
  <c r="AB53" i="9"/>
  <c r="AC53" i="9"/>
  <c r="AD53" i="9"/>
  <c r="AE53" i="9"/>
  <c r="AF53" i="9"/>
  <c r="AG53" i="9"/>
  <c r="AI53" i="9"/>
  <c r="AJ53" i="9"/>
  <c r="Z54" i="9"/>
  <c r="AA54" i="9"/>
  <c r="AB54" i="9"/>
  <c r="AC54" i="9"/>
  <c r="AD54" i="9"/>
  <c r="AE54" i="9"/>
  <c r="AF54" i="9"/>
  <c r="AG54" i="9"/>
  <c r="AI54" i="9"/>
  <c r="AJ54" i="9"/>
  <c r="Z55" i="9"/>
  <c r="AA55" i="9"/>
  <c r="AB55" i="9"/>
  <c r="AC55" i="9"/>
  <c r="AD55" i="9"/>
  <c r="AE55" i="9"/>
  <c r="AF55" i="9"/>
  <c r="AG55" i="9"/>
  <c r="AI55" i="9"/>
  <c r="AJ55" i="9"/>
  <c r="Z56" i="9"/>
  <c r="AA56" i="9"/>
  <c r="AB56" i="9"/>
  <c r="AC56" i="9"/>
  <c r="AD56" i="9"/>
  <c r="AE56" i="9"/>
  <c r="AF56" i="9"/>
  <c r="AG56" i="9"/>
  <c r="AI56" i="9"/>
  <c r="AJ56" i="9"/>
  <c r="Z57" i="9"/>
  <c r="AA57" i="9"/>
  <c r="AB57" i="9"/>
  <c r="AC57" i="9"/>
  <c r="AD57" i="9"/>
  <c r="AE57" i="9"/>
  <c r="AF57" i="9"/>
  <c r="AG57" i="9"/>
  <c r="AI57" i="9"/>
  <c r="AJ57" i="9"/>
  <c r="Z58" i="9"/>
  <c r="AA58" i="9"/>
  <c r="AB58" i="9"/>
  <c r="AC58" i="9"/>
  <c r="AD58" i="9"/>
  <c r="AE58" i="9"/>
  <c r="AF58" i="9"/>
  <c r="AG58" i="9"/>
  <c r="AI58" i="9"/>
  <c r="AJ58" i="9"/>
  <c r="Z59" i="9"/>
  <c r="AA59" i="9"/>
  <c r="AB59" i="9"/>
  <c r="AC59" i="9"/>
  <c r="AD59" i="9"/>
  <c r="AE59" i="9"/>
  <c r="AF59" i="9"/>
  <c r="AG59" i="9"/>
  <c r="AI59" i="9"/>
  <c r="AJ59" i="9"/>
  <c r="Z60" i="9"/>
  <c r="AA60" i="9"/>
  <c r="AB60" i="9"/>
  <c r="AC60" i="9"/>
  <c r="AD60" i="9"/>
  <c r="AE60" i="9"/>
  <c r="AF60" i="9"/>
  <c r="AG60" i="9"/>
  <c r="AI60" i="9"/>
  <c r="AJ60" i="9"/>
  <c r="Z61" i="9"/>
  <c r="AA61" i="9"/>
  <c r="AB61" i="9"/>
  <c r="AC61" i="9"/>
  <c r="AD61" i="9"/>
  <c r="AE61" i="9"/>
  <c r="AF61" i="9"/>
  <c r="AG61" i="9"/>
  <c r="AI61" i="9"/>
  <c r="AJ61" i="9"/>
  <c r="Z62" i="9"/>
  <c r="AA62" i="9"/>
  <c r="AB62" i="9"/>
  <c r="AC62" i="9"/>
  <c r="AD62" i="9"/>
  <c r="AE62" i="9"/>
  <c r="AF62" i="9"/>
  <c r="AG62" i="9"/>
  <c r="AI62" i="9"/>
  <c r="AJ62" i="9"/>
  <c r="Z63" i="9"/>
  <c r="AA63" i="9"/>
  <c r="AB63" i="9"/>
  <c r="AC63" i="9"/>
  <c r="AD63" i="9"/>
  <c r="AE63" i="9"/>
  <c r="AF63" i="9"/>
  <c r="AG63" i="9"/>
  <c r="AI63" i="9"/>
  <c r="AJ63" i="9"/>
  <c r="Z64" i="9"/>
  <c r="AA64" i="9"/>
  <c r="AB64" i="9"/>
  <c r="AC64" i="9"/>
  <c r="AD64" i="9"/>
  <c r="AE64" i="9"/>
  <c r="AF64" i="9"/>
  <c r="AG64" i="9"/>
  <c r="AI64" i="9"/>
  <c r="AJ64" i="9"/>
  <c r="Z65" i="9"/>
  <c r="AA65" i="9"/>
  <c r="AB65" i="9"/>
  <c r="AC65" i="9"/>
  <c r="AD65" i="9"/>
  <c r="AE65" i="9"/>
  <c r="AF65" i="9"/>
  <c r="AG65" i="9"/>
  <c r="AI65" i="9"/>
  <c r="AJ65" i="9"/>
  <c r="Z66" i="9"/>
  <c r="AA66" i="9"/>
  <c r="AB66" i="9"/>
  <c r="AC66" i="9"/>
  <c r="AD66" i="9"/>
  <c r="AE66" i="9"/>
  <c r="AF66" i="9"/>
  <c r="AG66" i="9"/>
  <c r="AI66" i="9"/>
  <c r="AJ66" i="9"/>
  <c r="Z67" i="9"/>
  <c r="AA67" i="9"/>
  <c r="AB67" i="9"/>
  <c r="AC67" i="9"/>
  <c r="AD67" i="9"/>
  <c r="AE67" i="9"/>
  <c r="AF67" i="9"/>
  <c r="AG67" i="9"/>
  <c r="AI67" i="9"/>
  <c r="AJ67" i="9"/>
  <c r="Z68" i="9"/>
  <c r="AA68" i="9"/>
  <c r="AB68" i="9"/>
  <c r="AC68" i="9"/>
  <c r="AD68" i="9"/>
  <c r="AE68" i="9"/>
  <c r="AF68" i="9"/>
  <c r="AG68" i="9"/>
  <c r="AI68" i="9"/>
  <c r="AJ68" i="9"/>
  <c r="Z69" i="9"/>
  <c r="AA69" i="9"/>
  <c r="AB69" i="9"/>
  <c r="AC69" i="9"/>
  <c r="AD69" i="9"/>
  <c r="AE69" i="9"/>
  <c r="AF69" i="9"/>
  <c r="AG69" i="9"/>
  <c r="AI69" i="9"/>
  <c r="AJ69" i="9"/>
  <c r="Z70" i="9"/>
  <c r="AA70" i="9"/>
  <c r="AB70" i="9"/>
  <c r="AC70" i="9"/>
  <c r="AD70" i="9"/>
  <c r="AE70" i="9"/>
  <c r="AF70" i="9"/>
  <c r="AG70" i="9"/>
  <c r="AI70" i="9"/>
  <c r="AJ70" i="9"/>
  <c r="Z71" i="9"/>
  <c r="AA71" i="9"/>
  <c r="AB71" i="9"/>
  <c r="AC71" i="9"/>
  <c r="AD71" i="9"/>
  <c r="AE71" i="9"/>
  <c r="AF71" i="9"/>
  <c r="AG71" i="9"/>
  <c r="AI71" i="9"/>
  <c r="AJ71" i="9"/>
  <c r="Z72" i="9"/>
  <c r="AA72" i="9"/>
  <c r="AB72" i="9"/>
  <c r="AC72" i="9"/>
  <c r="AD72" i="9"/>
  <c r="AE72" i="9"/>
  <c r="AF72" i="9"/>
  <c r="AG72" i="9"/>
  <c r="AI72" i="9"/>
  <c r="AJ72" i="9"/>
  <c r="Z73" i="9"/>
  <c r="AA73" i="9"/>
  <c r="AB73" i="9"/>
  <c r="AC73" i="9"/>
  <c r="AD73" i="9"/>
  <c r="AE73" i="9"/>
  <c r="AF73" i="9"/>
  <c r="AG73" i="9"/>
  <c r="AI73" i="9"/>
  <c r="AJ73" i="9"/>
  <c r="Z74" i="9"/>
  <c r="AA74" i="9"/>
  <c r="AB74" i="9"/>
  <c r="AC74" i="9"/>
  <c r="AD74" i="9"/>
  <c r="AE74" i="9"/>
  <c r="AF74" i="9"/>
  <c r="AG74" i="9"/>
  <c r="AI74" i="9"/>
  <c r="AJ74" i="9"/>
  <c r="Z75" i="9"/>
  <c r="AA75" i="9"/>
  <c r="AB75" i="9"/>
  <c r="AC75" i="9"/>
  <c r="AD75" i="9"/>
  <c r="AE75" i="9"/>
  <c r="AF75" i="9"/>
  <c r="AG75" i="9"/>
  <c r="AI75" i="9"/>
  <c r="AJ75" i="9"/>
  <c r="Z76" i="9"/>
  <c r="AA76" i="9"/>
  <c r="AB76" i="9"/>
  <c r="AC76" i="9"/>
  <c r="AD76" i="9"/>
  <c r="AE76" i="9"/>
  <c r="AF76" i="9"/>
  <c r="AG76" i="9"/>
  <c r="AI76" i="9"/>
  <c r="AJ76" i="9"/>
  <c r="Z77" i="9"/>
  <c r="AA77" i="9"/>
  <c r="AB77" i="9"/>
  <c r="AC77" i="9"/>
  <c r="AD77" i="9"/>
  <c r="AE77" i="9"/>
  <c r="AF77" i="9"/>
  <c r="AG77" i="9"/>
  <c r="AI77" i="9"/>
  <c r="AJ77" i="9"/>
  <c r="Z78" i="9"/>
  <c r="AA78" i="9"/>
  <c r="AB78" i="9"/>
  <c r="AC78" i="9"/>
  <c r="AD78" i="9"/>
  <c r="AE78" i="9"/>
  <c r="AF78" i="9"/>
  <c r="AG78" i="9"/>
  <c r="AI78" i="9"/>
  <c r="AJ78" i="9"/>
  <c r="Z79" i="9"/>
  <c r="AA79" i="9"/>
  <c r="AB79" i="9"/>
  <c r="AC79" i="9"/>
  <c r="AD79" i="9"/>
  <c r="AE79" i="9"/>
  <c r="AF79" i="9"/>
  <c r="AG79" i="9"/>
  <c r="AI79" i="9"/>
  <c r="AJ79" i="9"/>
  <c r="Z80" i="9"/>
  <c r="AA80" i="9"/>
  <c r="AB80" i="9"/>
  <c r="AC80" i="9"/>
  <c r="AD80" i="9"/>
  <c r="AE80" i="9"/>
  <c r="AF80" i="9"/>
  <c r="AG80" i="9"/>
  <c r="AI80" i="9"/>
  <c r="AJ80" i="9"/>
  <c r="Z81" i="9"/>
  <c r="AA81" i="9"/>
  <c r="AB81" i="9"/>
  <c r="AC81" i="9"/>
  <c r="AD81" i="9"/>
  <c r="AE81" i="9"/>
  <c r="AF81" i="9"/>
  <c r="AG81" i="9"/>
  <c r="AI81" i="9"/>
  <c r="AJ81" i="9"/>
  <c r="Z82" i="9"/>
  <c r="AA82" i="9"/>
  <c r="AB82" i="9"/>
  <c r="AC82" i="9"/>
  <c r="AD82" i="9"/>
  <c r="AE82" i="9"/>
  <c r="AF82" i="9"/>
  <c r="AG82" i="9"/>
  <c r="AI82" i="9"/>
  <c r="AJ82" i="9"/>
  <c r="Z83" i="9"/>
  <c r="AA83" i="9"/>
  <c r="AB83" i="9"/>
  <c r="AC83" i="9"/>
  <c r="AD83" i="9"/>
  <c r="AE83" i="9"/>
  <c r="AF83" i="9"/>
  <c r="AG83" i="9"/>
  <c r="AI83" i="9"/>
  <c r="AJ83" i="9"/>
  <c r="Z84" i="9"/>
  <c r="AA84" i="9"/>
  <c r="AB84" i="9"/>
  <c r="AC84" i="9"/>
  <c r="AD84" i="9"/>
  <c r="AE84" i="9"/>
  <c r="AF84" i="9"/>
  <c r="AG84" i="9"/>
  <c r="AI84" i="9"/>
  <c r="AJ84" i="9"/>
  <c r="Z85" i="9"/>
  <c r="AA85" i="9"/>
  <c r="AB85" i="9"/>
  <c r="AC85" i="9"/>
  <c r="AD85" i="9"/>
  <c r="AE85" i="9"/>
  <c r="AF85" i="9"/>
  <c r="AG85" i="9"/>
  <c r="AI85" i="9"/>
  <c r="AJ85" i="9"/>
  <c r="Z86" i="9"/>
  <c r="AA86" i="9"/>
  <c r="AB86" i="9"/>
  <c r="AC86" i="9"/>
  <c r="AD86" i="9"/>
  <c r="AE86" i="9"/>
  <c r="AF86" i="9"/>
  <c r="AG86" i="9"/>
  <c r="AI86" i="9"/>
  <c r="AJ86" i="9"/>
  <c r="Z87" i="9"/>
  <c r="AA87" i="9"/>
  <c r="AB87" i="9"/>
  <c r="AC87" i="9"/>
  <c r="AD87" i="9"/>
  <c r="AE87" i="9"/>
  <c r="AF87" i="9"/>
  <c r="AG87" i="9"/>
  <c r="AI87" i="9"/>
  <c r="AJ87" i="9"/>
  <c r="Z88" i="9"/>
  <c r="AA88" i="9"/>
  <c r="AB88" i="9"/>
  <c r="AC88" i="9"/>
  <c r="AD88" i="9"/>
  <c r="AE88" i="9"/>
  <c r="AF88" i="9"/>
  <c r="AG88" i="9"/>
  <c r="AI88" i="9"/>
  <c r="AJ88" i="9"/>
  <c r="Z89" i="9"/>
  <c r="AA89" i="9"/>
  <c r="AB89" i="9"/>
  <c r="AC89" i="9"/>
  <c r="AD89" i="9"/>
  <c r="AE89" i="9"/>
  <c r="AF89" i="9"/>
  <c r="AG89" i="9"/>
  <c r="AI89" i="9"/>
  <c r="AJ89" i="9"/>
  <c r="Z90" i="9"/>
  <c r="AA90" i="9"/>
  <c r="AB90" i="9"/>
  <c r="AC90" i="9"/>
  <c r="AD90" i="9"/>
  <c r="AE90" i="9"/>
  <c r="AF90" i="9"/>
  <c r="AG90" i="9"/>
  <c r="AI90" i="9"/>
  <c r="AJ90" i="9"/>
  <c r="Z91" i="9"/>
  <c r="AA91" i="9"/>
  <c r="AB91" i="9"/>
  <c r="AC91" i="9"/>
  <c r="AD91" i="9"/>
  <c r="AE91" i="9"/>
  <c r="AF91" i="9"/>
  <c r="AG91" i="9"/>
  <c r="AI91" i="9"/>
  <c r="AJ91" i="9"/>
  <c r="Z92" i="9"/>
  <c r="AA92" i="9"/>
  <c r="AB92" i="9"/>
  <c r="AC92" i="9"/>
  <c r="AD92" i="9"/>
  <c r="AE92" i="9"/>
  <c r="AF92" i="9"/>
  <c r="AG92" i="9"/>
  <c r="AI92" i="9"/>
  <c r="AJ92" i="9"/>
  <c r="Z93" i="9"/>
  <c r="AA93" i="9"/>
  <c r="AB93" i="9"/>
  <c r="AC93" i="9"/>
  <c r="AD93" i="9"/>
  <c r="AE93" i="9"/>
  <c r="AF93" i="9"/>
  <c r="AG93" i="9"/>
  <c r="AI93" i="9"/>
  <c r="AJ93" i="9"/>
  <c r="Z94" i="9"/>
  <c r="AA94" i="9"/>
  <c r="AB94" i="9"/>
  <c r="AC94" i="9"/>
  <c r="AD94" i="9"/>
  <c r="AE94" i="9"/>
  <c r="AF94" i="9"/>
  <c r="AG94" i="9"/>
  <c r="AI94" i="9"/>
  <c r="AJ94" i="9"/>
  <c r="Z95" i="9"/>
  <c r="AA95" i="9"/>
  <c r="AB95" i="9"/>
  <c r="AC95" i="9"/>
  <c r="AD95" i="9"/>
  <c r="AE95" i="9"/>
  <c r="AF95" i="9"/>
  <c r="AG95" i="9"/>
  <c r="AI95" i="9"/>
  <c r="AJ95" i="9"/>
  <c r="Z96" i="9"/>
  <c r="AA96" i="9"/>
  <c r="AB96" i="9"/>
  <c r="AC96" i="9"/>
  <c r="AD96" i="9"/>
  <c r="AE96" i="9"/>
  <c r="AF96" i="9"/>
  <c r="AG96" i="9"/>
  <c r="AI96" i="9"/>
  <c r="AJ96" i="9"/>
  <c r="Z97" i="9"/>
  <c r="AA97" i="9"/>
  <c r="AB97" i="9"/>
  <c r="AC97" i="9"/>
  <c r="AD97" i="9"/>
  <c r="AE97" i="9"/>
  <c r="AF97" i="9"/>
  <c r="AG97" i="9"/>
  <c r="AI97" i="9"/>
  <c r="AJ97" i="9"/>
  <c r="Z98" i="9"/>
  <c r="AA98" i="9"/>
  <c r="AB98" i="9"/>
  <c r="AC98" i="9"/>
  <c r="AD98" i="9"/>
  <c r="AE98" i="9"/>
  <c r="AF98" i="9"/>
  <c r="AG98" i="9"/>
  <c r="AI98" i="9"/>
  <c r="AJ98" i="9"/>
  <c r="Z99" i="9"/>
  <c r="AA99" i="9"/>
  <c r="AB99" i="9"/>
  <c r="AC99" i="9"/>
  <c r="AD99" i="9"/>
  <c r="AE99" i="9"/>
  <c r="AF99" i="9"/>
  <c r="AG99" i="9"/>
  <c r="AI99" i="9"/>
  <c r="AJ99" i="9"/>
  <c r="Z100" i="9"/>
  <c r="AA100" i="9"/>
  <c r="AB100" i="9"/>
  <c r="AC100" i="9"/>
  <c r="AD100" i="9"/>
  <c r="AE100" i="9"/>
  <c r="AF100" i="9"/>
  <c r="AG100" i="9"/>
  <c r="AI100" i="9"/>
  <c r="AJ100" i="9"/>
  <c r="Z101" i="9"/>
  <c r="AA101" i="9"/>
  <c r="AB101" i="9"/>
  <c r="AC101" i="9"/>
  <c r="AD101" i="9"/>
  <c r="AE101" i="9"/>
  <c r="AF101" i="9"/>
  <c r="AG101" i="9"/>
  <c r="AI101" i="9"/>
  <c r="AJ101" i="9"/>
  <c r="Z102" i="9"/>
  <c r="AA102" i="9"/>
  <c r="AB102" i="9"/>
  <c r="AC102" i="9"/>
  <c r="AD102" i="9"/>
  <c r="AE102" i="9"/>
  <c r="AF102" i="9"/>
  <c r="AG102" i="9"/>
  <c r="AI102" i="9"/>
  <c r="AJ102" i="9"/>
  <c r="Z103" i="9"/>
  <c r="AA103" i="9"/>
  <c r="AB103" i="9"/>
  <c r="AC103" i="9"/>
  <c r="AD103" i="9"/>
  <c r="AE103" i="9"/>
  <c r="AF103" i="9"/>
  <c r="AG103" i="9"/>
  <c r="AI103" i="9"/>
  <c r="AJ103" i="9"/>
  <c r="Z104" i="9"/>
  <c r="AA104" i="9"/>
  <c r="AB104" i="9"/>
  <c r="AC104" i="9"/>
  <c r="AD104" i="9"/>
  <c r="AE104" i="9"/>
  <c r="AF104" i="9"/>
  <c r="AG104" i="9"/>
  <c r="AI104" i="9"/>
  <c r="AJ104" i="9"/>
  <c r="Z105" i="9"/>
  <c r="AA105" i="9"/>
  <c r="AB105" i="9"/>
  <c r="AC105" i="9"/>
  <c r="AD105" i="9"/>
  <c r="AE105" i="9"/>
  <c r="AF105" i="9"/>
  <c r="AG105" i="9"/>
  <c r="AI105" i="9"/>
  <c r="AJ105" i="9"/>
  <c r="Z106" i="9"/>
  <c r="AA106" i="9"/>
  <c r="AB106" i="9"/>
  <c r="AC106" i="9"/>
  <c r="AD106" i="9"/>
  <c r="AE106" i="9"/>
  <c r="AF106" i="9"/>
  <c r="AG106" i="9"/>
  <c r="AI106" i="9"/>
  <c r="AJ106" i="9"/>
  <c r="Z107" i="9"/>
  <c r="AA107" i="9"/>
  <c r="AB107" i="9"/>
  <c r="AC107" i="9"/>
  <c r="AD107" i="9"/>
  <c r="AE107" i="9"/>
  <c r="AF107" i="9"/>
  <c r="AG107" i="9"/>
  <c r="AI107" i="9"/>
  <c r="AJ107" i="9"/>
  <c r="Z108" i="9"/>
  <c r="AA108" i="9"/>
  <c r="AB108" i="9"/>
  <c r="AC108" i="9"/>
  <c r="AD108" i="9"/>
  <c r="AE108" i="9"/>
  <c r="AF108" i="9"/>
  <c r="AG108" i="9"/>
  <c r="AI108" i="9"/>
  <c r="AJ108" i="9"/>
  <c r="Z109" i="9"/>
  <c r="AA109" i="9"/>
  <c r="AB109" i="9"/>
  <c r="AC109" i="9"/>
  <c r="AD109" i="9"/>
  <c r="AE109" i="9"/>
  <c r="AF109" i="9"/>
  <c r="AG109" i="9"/>
  <c r="AI109" i="9"/>
  <c r="AJ109" i="9"/>
  <c r="Z110" i="9"/>
  <c r="AA110" i="9"/>
  <c r="AB110" i="9"/>
  <c r="AC110" i="9"/>
  <c r="AD110" i="9"/>
  <c r="AE110" i="9"/>
  <c r="AF110" i="9"/>
  <c r="AG110" i="9"/>
  <c r="AI110" i="9"/>
  <c r="AJ110" i="9"/>
  <c r="Z111" i="9"/>
  <c r="AA111" i="9"/>
  <c r="AB111" i="9"/>
  <c r="AC111" i="9"/>
  <c r="AD111" i="9"/>
  <c r="AE111" i="9"/>
  <c r="AF111" i="9"/>
  <c r="AG111" i="9"/>
  <c r="AI111" i="9"/>
  <c r="AJ111" i="9"/>
  <c r="Z112" i="9"/>
  <c r="AA112" i="9"/>
  <c r="AB112" i="9"/>
  <c r="AC112" i="9"/>
  <c r="AD112" i="9"/>
  <c r="AE112" i="9"/>
  <c r="AF112" i="9"/>
  <c r="AG112" i="9"/>
  <c r="AI112" i="9"/>
  <c r="AJ112" i="9"/>
  <c r="Z113" i="9"/>
  <c r="AA113" i="9"/>
  <c r="AB113" i="9"/>
  <c r="AC113" i="9"/>
  <c r="AD113" i="9"/>
  <c r="AE113" i="9"/>
  <c r="AF113" i="9"/>
  <c r="AG113" i="9"/>
  <c r="AI113" i="9"/>
  <c r="AJ113" i="9"/>
  <c r="Z114" i="9"/>
  <c r="AA114" i="9"/>
  <c r="AB114" i="9"/>
  <c r="AC114" i="9"/>
  <c r="AD114" i="9"/>
  <c r="AE114" i="9"/>
  <c r="AF114" i="9"/>
  <c r="AG114" i="9"/>
  <c r="AI114" i="9"/>
  <c r="AJ114" i="9"/>
  <c r="Z115" i="9"/>
  <c r="AA115" i="9"/>
  <c r="AB115" i="9"/>
  <c r="AC115" i="9"/>
  <c r="AD115" i="9"/>
  <c r="AE115" i="9"/>
  <c r="AF115" i="9"/>
  <c r="AG115" i="9"/>
  <c r="AI115" i="9"/>
  <c r="AJ115" i="9"/>
  <c r="Z116" i="9"/>
  <c r="AA116" i="9"/>
  <c r="AB116" i="9"/>
  <c r="AC116" i="9"/>
  <c r="AD116" i="9"/>
  <c r="AE116" i="9"/>
  <c r="AF116" i="9"/>
  <c r="AG116" i="9"/>
  <c r="AI116" i="9"/>
  <c r="AJ116" i="9"/>
  <c r="Z117" i="9"/>
  <c r="AA117" i="9"/>
  <c r="AB117" i="9"/>
  <c r="AC117" i="9"/>
  <c r="AD117" i="9"/>
  <c r="AE117" i="9"/>
  <c r="AF117" i="9"/>
  <c r="AG117" i="9"/>
  <c r="AI117" i="9"/>
  <c r="AJ117" i="9"/>
  <c r="Z118" i="9"/>
  <c r="AA118" i="9"/>
  <c r="AB118" i="9"/>
  <c r="AC118" i="9"/>
  <c r="AD118" i="9"/>
  <c r="AE118" i="9"/>
  <c r="AF118" i="9"/>
  <c r="AG118" i="9"/>
  <c r="AI118" i="9"/>
  <c r="AJ118" i="9"/>
  <c r="Z119" i="9"/>
  <c r="AA119" i="9"/>
  <c r="AB119" i="9"/>
  <c r="AC119" i="9"/>
  <c r="AD119" i="9"/>
  <c r="AE119" i="9"/>
  <c r="AF119" i="9"/>
  <c r="AG119" i="9"/>
  <c r="AI119" i="9"/>
  <c r="AJ119" i="9"/>
  <c r="Z120" i="9"/>
  <c r="AA120" i="9"/>
  <c r="AB120" i="9"/>
  <c r="AC120" i="9"/>
  <c r="AD120" i="9"/>
  <c r="AE120" i="9"/>
  <c r="AF120" i="9"/>
  <c r="AG120" i="9"/>
  <c r="AI120" i="9"/>
  <c r="AJ120" i="9"/>
  <c r="Z121" i="9"/>
  <c r="AA121" i="9"/>
  <c r="AB121" i="9"/>
  <c r="AC121" i="9"/>
  <c r="AD121" i="9"/>
  <c r="AE121" i="9"/>
  <c r="AF121" i="9"/>
  <c r="AG121" i="9"/>
  <c r="AI121" i="9"/>
  <c r="AJ121" i="9"/>
  <c r="Z122" i="9"/>
  <c r="AA122" i="9"/>
  <c r="AB122" i="9"/>
  <c r="AC122" i="9"/>
  <c r="AD122" i="9"/>
  <c r="AE122" i="9"/>
  <c r="AF122" i="9"/>
  <c r="AG122" i="9"/>
  <c r="AI122" i="9"/>
  <c r="AJ122" i="9"/>
  <c r="Z123" i="9"/>
  <c r="AA123" i="9"/>
  <c r="AB123" i="9"/>
  <c r="AC123" i="9"/>
  <c r="AD123" i="9"/>
  <c r="AE123" i="9"/>
  <c r="AF123" i="9"/>
  <c r="AG123" i="9"/>
  <c r="AI123" i="9"/>
  <c r="AJ123" i="9"/>
  <c r="Z124" i="9"/>
  <c r="AA124" i="9"/>
  <c r="AB124" i="9"/>
  <c r="AC124" i="9"/>
  <c r="AD124" i="9"/>
  <c r="AE124" i="9"/>
  <c r="AF124" i="9"/>
  <c r="AG124" i="9"/>
  <c r="AI124" i="9"/>
  <c r="AJ124" i="9"/>
  <c r="Z125" i="9"/>
  <c r="AA125" i="9"/>
  <c r="AB125" i="9"/>
  <c r="AC125" i="9"/>
  <c r="AD125" i="9"/>
  <c r="AE125" i="9"/>
  <c r="AF125" i="9"/>
  <c r="AG125" i="9"/>
  <c r="AI125" i="9"/>
  <c r="AJ125" i="9"/>
  <c r="Z126" i="9"/>
  <c r="AA126" i="9"/>
  <c r="AB126" i="9"/>
  <c r="AC126" i="9"/>
  <c r="AD126" i="9"/>
  <c r="AE126" i="9"/>
  <c r="AF126" i="9"/>
  <c r="AG126" i="9"/>
  <c r="AI126" i="9"/>
  <c r="AJ126" i="9"/>
  <c r="Z127" i="9"/>
  <c r="AA127" i="9"/>
  <c r="AB127" i="9"/>
  <c r="AC127" i="9"/>
  <c r="AD127" i="9"/>
  <c r="AE127" i="9"/>
  <c r="AF127" i="9"/>
  <c r="AG127" i="9"/>
  <c r="AI127" i="9"/>
  <c r="AJ127" i="9"/>
  <c r="Z128" i="9"/>
  <c r="AA128" i="9"/>
  <c r="AB128" i="9"/>
  <c r="AC128" i="9"/>
  <c r="AD128" i="9"/>
  <c r="AE128" i="9"/>
  <c r="AF128" i="9"/>
  <c r="AG128" i="9"/>
  <c r="AI128" i="9"/>
  <c r="AJ128" i="9"/>
  <c r="Z129" i="9"/>
  <c r="AA129" i="9"/>
  <c r="AB129" i="9"/>
  <c r="AC129" i="9"/>
  <c r="AD129" i="9"/>
  <c r="AE129" i="9"/>
  <c r="AF129" i="9"/>
  <c r="AG129" i="9"/>
  <c r="AI129" i="9"/>
  <c r="AJ129" i="9"/>
  <c r="Z130" i="9"/>
  <c r="AA130" i="9"/>
  <c r="AB130" i="9"/>
  <c r="AC130" i="9"/>
  <c r="AD130" i="9"/>
  <c r="AE130" i="9"/>
  <c r="AF130" i="9"/>
  <c r="AG130" i="9"/>
  <c r="AI130" i="9"/>
  <c r="AJ130" i="9"/>
  <c r="Z131" i="9"/>
  <c r="AA131" i="9"/>
  <c r="AB131" i="9"/>
  <c r="AC131" i="9"/>
  <c r="AD131" i="9"/>
  <c r="AE131" i="9"/>
  <c r="AF131" i="9"/>
  <c r="AG131" i="9"/>
  <c r="AI131" i="9"/>
  <c r="AJ131" i="9"/>
  <c r="Z132" i="9"/>
  <c r="AA132" i="9"/>
  <c r="AB132" i="9"/>
  <c r="AC132" i="9"/>
  <c r="AD132" i="9"/>
  <c r="AE132" i="9"/>
  <c r="AF132" i="9"/>
  <c r="AG132" i="9"/>
  <c r="AI132" i="9"/>
  <c r="AJ132" i="9"/>
  <c r="Z133" i="9"/>
  <c r="AA133" i="9"/>
  <c r="AB133" i="9"/>
  <c r="AC133" i="9"/>
  <c r="AD133" i="9"/>
  <c r="AE133" i="9"/>
  <c r="AF133" i="9"/>
  <c r="AG133" i="9"/>
  <c r="AI133" i="9"/>
  <c r="AJ133" i="9"/>
  <c r="Z134" i="9"/>
  <c r="AA134" i="9"/>
  <c r="AB134" i="9"/>
  <c r="AC134" i="9"/>
  <c r="AD134" i="9"/>
  <c r="AE134" i="9"/>
  <c r="AF134" i="9"/>
  <c r="AG134" i="9"/>
  <c r="AI134" i="9"/>
  <c r="AJ134" i="9"/>
  <c r="Z135" i="9"/>
  <c r="AA135" i="9"/>
  <c r="AB135" i="9"/>
  <c r="AC135" i="9"/>
  <c r="AD135" i="9"/>
  <c r="AE135" i="9"/>
  <c r="AF135" i="9"/>
  <c r="AG135" i="9"/>
  <c r="AI135" i="9"/>
  <c r="AJ135" i="9"/>
  <c r="Z136" i="9"/>
  <c r="AA136" i="9"/>
  <c r="AB136" i="9"/>
  <c r="AC136" i="9"/>
  <c r="AD136" i="9"/>
  <c r="AE136" i="9"/>
  <c r="AF136" i="9"/>
  <c r="AG136" i="9"/>
  <c r="AI136" i="9"/>
  <c r="AJ136" i="9"/>
  <c r="Z137" i="9"/>
  <c r="AA137" i="9"/>
  <c r="AB137" i="9"/>
  <c r="AC137" i="9"/>
  <c r="AD137" i="9"/>
  <c r="AE137" i="9"/>
  <c r="AF137" i="9"/>
  <c r="AG137" i="9"/>
  <c r="AI137" i="9"/>
  <c r="AJ137" i="9"/>
  <c r="Z138" i="9"/>
  <c r="AA138" i="9"/>
  <c r="AB138" i="9"/>
  <c r="AC138" i="9"/>
  <c r="AD138" i="9"/>
  <c r="AE138" i="9"/>
  <c r="AF138" i="9"/>
  <c r="AG138" i="9"/>
  <c r="AI138" i="9"/>
  <c r="AJ138" i="9"/>
  <c r="Z139" i="9"/>
  <c r="AA139" i="9"/>
  <c r="AB139" i="9"/>
  <c r="AC139" i="9"/>
  <c r="AD139" i="9"/>
  <c r="AE139" i="9"/>
  <c r="AF139" i="9"/>
  <c r="AG139" i="9"/>
  <c r="AI139" i="9"/>
  <c r="AJ139" i="9"/>
  <c r="Z140" i="9"/>
  <c r="AA140" i="9"/>
  <c r="AB140" i="9"/>
  <c r="AC140" i="9"/>
  <c r="AD140" i="9"/>
  <c r="AE140" i="9"/>
  <c r="AF140" i="9"/>
  <c r="AG140" i="9"/>
  <c r="AI140" i="9"/>
  <c r="AJ140" i="9"/>
  <c r="Z141" i="9"/>
  <c r="AA141" i="9"/>
  <c r="AB141" i="9"/>
  <c r="AC141" i="9"/>
  <c r="AD141" i="9"/>
  <c r="AE141" i="9"/>
  <c r="AF141" i="9"/>
  <c r="AG141" i="9"/>
  <c r="AI141" i="9"/>
  <c r="AJ141" i="9"/>
  <c r="Z142" i="9"/>
  <c r="AA142" i="9"/>
  <c r="AB142" i="9"/>
  <c r="AC142" i="9"/>
  <c r="AD142" i="9"/>
  <c r="AE142" i="9"/>
  <c r="AF142" i="9"/>
  <c r="AG142" i="9"/>
  <c r="AI142" i="9"/>
  <c r="AJ142" i="9"/>
  <c r="Z143" i="9"/>
  <c r="AA143" i="9"/>
  <c r="AB143" i="9"/>
  <c r="AC143" i="9"/>
  <c r="AD143" i="9"/>
  <c r="AE143" i="9"/>
  <c r="AF143" i="9"/>
  <c r="AG143" i="9"/>
  <c r="AI143" i="9"/>
  <c r="AJ143" i="9"/>
  <c r="Z144" i="9"/>
  <c r="AA144" i="9"/>
  <c r="AB144" i="9"/>
  <c r="AC144" i="9"/>
  <c r="AD144" i="9"/>
  <c r="AE144" i="9"/>
  <c r="AF144" i="9"/>
  <c r="AG144" i="9"/>
  <c r="AI144" i="9"/>
  <c r="AJ144" i="9"/>
  <c r="Z145" i="9"/>
  <c r="AA145" i="9"/>
  <c r="AB145" i="9"/>
  <c r="AC145" i="9"/>
  <c r="AD145" i="9"/>
  <c r="AE145" i="9"/>
  <c r="AF145" i="9"/>
  <c r="AG145" i="9"/>
  <c r="AI145" i="9"/>
  <c r="AJ145" i="9"/>
  <c r="Z146" i="9"/>
  <c r="AA146" i="9"/>
  <c r="AB146" i="9"/>
  <c r="AC146" i="9"/>
  <c r="AD146" i="9"/>
  <c r="AE146" i="9"/>
  <c r="AF146" i="9"/>
  <c r="AG146" i="9"/>
  <c r="AI146" i="9"/>
  <c r="AJ146" i="9"/>
  <c r="Z147" i="9"/>
  <c r="AA147" i="9"/>
  <c r="AB147" i="9"/>
  <c r="AC147" i="9"/>
  <c r="AD147" i="9"/>
  <c r="AE147" i="9"/>
  <c r="AF147" i="9"/>
  <c r="AG147" i="9"/>
  <c r="AI147" i="9"/>
  <c r="AJ147" i="9"/>
  <c r="Z148" i="9"/>
  <c r="AA148" i="9"/>
  <c r="AB148" i="9"/>
  <c r="AC148" i="9"/>
  <c r="AD148" i="9"/>
  <c r="AE148" i="9"/>
  <c r="AF148" i="9"/>
  <c r="AG148" i="9"/>
  <c r="AI148" i="9"/>
  <c r="AJ148" i="9"/>
  <c r="Z149" i="9"/>
  <c r="AA149" i="9"/>
  <c r="AB149" i="9"/>
  <c r="AC149" i="9"/>
  <c r="AD149" i="9"/>
  <c r="AE149" i="9"/>
  <c r="AF149" i="9"/>
  <c r="AG149" i="9"/>
  <c r="AI149" i="9"/>
  <c r="AJ149" i="9"/>
  <c r="Z150" i="9"/>
  <c r="AA150" i="9"/>
  <c r="AB150" i="9"/>
  <c r="AC150" i="9"/>
  <c r="AD150" i="9"/>
  <c r="AE150" i="9"/>
  <c r="AF150" i="9"/>
  <c r="AG150" i="9"/>
  <c r="AI150" i="9"/>
  <c r="AJ150" i="9"/>
  <c r="Z151" i="9"/>
  <c r="AA151" i="9"/>
  <c r="AB151" i="9"/>
  <c r="AC151" i="9"/>
  <c r="AD151" i="9"/>
  <c r="AE151" i="9"/>
  <c r="AF151" i="9"/>
  <c r="AG151" i="9"/>
  <c r="AI151" i="9"/>
  <c r="AJ151" i="9"/>
  <c r="Z152" i="9"/>
  <c r="AA152" i="9"/>
  <c r="AB152" i="9"/>
  <c r="AC152" i="9"/>
  <c r="AD152" i="9"/>
  <c r="AE152" i="9"/>
  <c r="AF152" i="9"/>
  <c r="AG152" i="9"/>
  <c r="AI152" i="9"/>
  <c r="AJ152" i="9"/>
  <c r="Z153" i="9"/>
  <c r="AA153" i="9"/>
  <c r="AB153" i="9"/>
  <c r="AC153" i="9"/>
  <c r="AD153" i="9"/>
  <c r="AE153" i="9"/>
  <c r="AF153" i="9"/>
  <c r="AG153" i="9"/>
  <c r="AI153" i="9"/>
  <c r="AJ153" i="9"/>
  <c r="Z154" i="9"/>
  <c r="AA154" i="9"/>
  <c r="AB154" i="9"/>
  <c r="AC154" i="9"/>
  <c r="AD154" i="9"/>
  <c r="AE154" i="9"/>
  <c r="AF154" i="9"/>
  <c r="AG154" i="9"/>
  <c r="AI154" i="9"/>
  <c r="AJ154" i="9"/>
  <c r="Z155" i="9"/>
  <c r="AA155" i="9"/>
  <c r="AB155" i="9"/>
  <c r="AC155" i="9"/>
  <c r="AD155" i="9"/>
  <c r="AE155" i="9"/>
  <c r="AF155" i="9"/>
  <c r="AG155" i="9"/>
  <c r="AI155" i="9"/>
  <c r="AJ155" i="9"/>
  <c r="Z156" i="9"/>
  <c r="AA156" i="9"/>
  <c r="AB156" i="9"/>
  <c r="AC156" i="9"/>
  <c r="AD156" i="9"/>
  <c r="AE156" i="9"/>
  <c r="AF156" i="9"/>
  <c r="AG156" i="9"/>
  <c r="AI156" i="9"/>
  <c r="AJ156" i="9"/>
  <c r="Z157" i="9"/>
  <c r="AA157" i="9"/>
  <c r="AB157" i="9"/>
  <c r="AC157" i="9"/>
  <c r="AD157" i="9"/>
  <c r="AE157" i="9"/>
  <c r="AF157" i="9"/>
  <c r="AG157" i="9"/>
  <c r="AI157" i="9"/>
  <c r="AJ157" i="9"/>
  <c r="Z158" i="9"/>
  <c r="AA158" i="9"/>
  <c r="AB158" i="9"/>
  <c r="AC158" i="9"/>
  <c r="AD158" i="9"/>
  <c r="AE158" i="9"/>
  <c r="AF158" i="9"/>
  <c r="AG158" i="9"/>
  <c r="AI158" i="9"/>
  <c r="AJ158" i="9"/>
  <c r="Z159" i="9"/>
  <c r="AA159" i="9"/>
  <c r="AB159" i="9"/>
  <c r="AC159" i="9"/>
  <c r="AD159" i="9"/>
  <c r="AE159" i="9"/>
  <c r="AF159" i="9"/>
  <c r="AG159" i="9"/>
  <c r="AI159" i="9"/>
  <c r="AJ159" i="9"/>
  <c r="Z160" i="9"/>
  <c r="AA160" i="9"/>
  <c r="AB160" i="9"/>
  <c r="AC160" i="9"/>
  <c r="AD160" i="9"/>
  <c r="AE160" i="9"/>
  <c r="AF160" i="9"/>
  <c r="AG160" i="9"/>
  <c r="AI160" i="9"/>
  <c r="AJ160" i="9"/>
  <c r="Z161" i="9"/>
  <c r="AA161" i="9"/>
  <c r="AB161" i="9"/>
  <c r="AC161" i="9"/>
  <c r="AD161" i="9"/>
  <c r="AE161" i="9"/>
  <c r="AF161" i="9"/>
  <c r="AG161" i="9"/>
  <c r="AI161" i="9"/>
  <c r="AJ161" i="9"/>
  <c r="Z162" i="9"/>
  <c r="AA162" i="9"/>
  <c r="AB162" i="9"/>
  <c r="AC162" i="9"/>
  <c r="AD162" i="9"/>
  <c r="AE162" i="9"/>
  <c r="AF162" i="9"/>
  <c r="AG162" i="9"/>
  <c r="AI162" i="9"/>
  <c r="AJ162" i="9"/>
  <c r="Z163" i="9"/>
  <c r="AA163" i="9"/>
  <c r="AB163" i="9"/>
  <c r="AC163" i="9"/>
  <c r="AD163" i="9"/>
  <c r="AE163" i="9"/>
  <c r="AF163" i="9"/>
  <c r="AG163" i="9"/>
  <c r="AI163" i="9"/>
  <c r="AJ163" i="9"/>
  <c r="Z164" i="9"/>
  <c r="AA164" i="9"/>
  <c r="AB164" i="9"/>
  <c r="AC164" i="9"/>
  <c r="AD164" i="9"/>
  <c r="AE164" i="9"/>
  <c r="AF164" i="9"/>
  <c r="AG164" i="9"/>
  <c r="AI164" i="9"/>
  <c r="AJ164" i="9"/>
  <c r="Z165" i="9"/>
  <c r="AA165" i="9"/>
  <c r="AB165" i="9"/>
  <c r="AC165" i="9"/>
  <c r="AD165" i="9"/>
  <c r="AE165" i="9"/>
  <c r="AF165" i="9"/>
  <c r="AG165" i="9"/>
  <c r="AI165" i="9"/>
  <c r="AJ165" i="9"/>
  <c r="Z166" i="9"/>
  <c r="AA166" i="9"/>
  <c r="AB166" i="9"/>
  <c r="AC166" i="9"/>
  <c r="AD166" i="9"/>
  <c r="AE166" i="9"/>
  <c r="AF166" i="9"/>
  <c r="AG166" i="9"/>
  <c r="AI166" i="9"/>
  <c r="AJ166" i="9"/>
  <c r="Z167" i="9"/>
  <c r="AA167" i="9"/>
  <c r="AB167" i="9"/>
  <c r="AC167" i="9"/>
  <c r="AD167" i="9"/>
  <c r="AE167" i="9"/>
  <c r="AF167" i="9"/>
  <c r="AG167" i="9"/>
  <c r="AI167" i="9"/>
  <c r="AJ167" i="9"/>
  <c r="Z168" i="9"/>
  <c r="AA168" i="9"/>
  <c r="AB168" i="9"/>
  <c r="AC168" i="9"/>
  <c r="AD168" i="9"/>
  <c r="AE168" i="9"/>
  <c r="AF168" i="9"/>
  <c r="AG168" i="9"/>
  <c r="AI168" i="9"/>
  <c r="AJ168" i="9"/>
  <c r="Z169" i="9"/>
  <c r="AA169" i="9"/>
  <c r="AB169" i="9"/>
  <c r="AC169" i="9"/>
  <c r="AD169" i="9"/>
  <c r="AE169" i="9"/>
  <c r="AF169" i="9"/>
  <c r="AG169" i="9"/>
  <c r="AI169" i="9"/>
  <c r="AJ169" i="9"/>
  <c r="GT1" i="23"/>
  <c r="GX1" i="23"/>
  <c r="HC1" i="23"/>
  <c r="HD1" i="23"/>
  <c r="HE1" i="23"/>
  <c r="B2" i="23"/>
  <c r="F2" i="23"/>
  <c r="K2" i="23"/>
  <c r="L2" i="23"/>
  <c r="M2" i="23"/>
  <c r="N2" i="23"/>
  <c r="O2" i="23"/>
  <c r="U2" i="23"/>
  <c r="AC2" i="23"/>
  <c r="AD2" i="23"/>
  <c r="AH2" i="23"/>
  <c r="B3" i="23"/>
  <c r="F3" i="23"/>
  <c r="K3" i="23"/>
  <c r="L3" i="23"/>
  <c r="M3" i="23"/>
  <c r="N3" i="23"/>
  <c r="O3" i="23"/>
  <c r="U3" i="23"/>
  <c r="AC3" i="23"/>
  <c r="AD3" i="23"/>
  <c r="AH3" i="23"/>
  <c r="B4" i="23"/>
  <c r="F4" i="23"/>
  <c r="K4" i="23"/>
  <c r="L4" i="23"/>
  <c r="M4" i="23"/>
  <c r="N4" i="23"/>
  <c r="O4" i="23"/>
  <c r="U4" i="23"/>
  <c r="AC4" i="23"/>
  <c r="AD4" i="23"/>
  <c r="AH4" i="23"/>
  <c r="B5" i="23"/>
  <c r="F5" i="23"/>
  <c r="K5" i="23"/>
  <c r="L5" i="23"/>
  <c r="M5" i="23"/>
  <c r="N5" i="23"/>
  <c r="O5" i="23"/>
  <c r="U5" i="23"/>
  <c r="AC5" i="23"/>
  <c r="AD5" i="23"/>
  <c r="AH5" i="23"/>
  <c r="B6" i="23"/>
  <c r="F6" i="23"/>
  <c r="K6" i="23"/>
  <c r="L6" i="23"/>
  <c r="M6" i="23"/>
  <c r="N6" i="23"/>
  <c r="O6" i="23"/>
  <c r="U6" i="23"/>
  <c r="AC6" i="23"/>
  <c r="AD6" i="23"/>
  <c r="AH6" i="23"/>
  <c r="B7" i="23"/>
  <c r="F7" i="23"/>
  <c r="K7" i="23"/>
  <c r="L7" i="23"/>
  <c r="M7" i="23"/>
  <c r="N7" i="23"/>
  <c r="O7" i="23"/>
  <c r="U7" i="23"/>
  <c r="AC7" i="23"/>
  <c r="AD7" i="23"/>
  <c r="AH7" i="23"/>
  <c r="B8" i="23"/>
  <c r="F8" i="23"/>
  <c r="K8" i="23"/>
  <c r="L8" i="23"/>
  <c r="M8" i="23"/>
  <c r="N8" i="23"/>
  <c r="O8" i="23"/>
  <c r="U8" i="23"/>
  <c r="AC8" i="23"/>
  <c r="AD8" i="23"/>
  <c r="AH8" i="23"/>
  <c r="B9" i="23"/>
  <c r="F9" i="23"/>
  <c r="K9" i="23"/>
  <c r="L9" i="23"/>
  <c r="M9" i="23"/>
  <c r="N9" i="23"/>
  <c r="O9" i="23"/>
  <c r="U9" i="23"/>
  <c r="AC9" i="23"/>
  <c r="AD9" i="23"/>
  <c r="AH9" i="23"/>
  <c r="B10" i="23"/>
  <c r="F10" i="23"/>
  <c r="K10" i="23"/>
  <c r="L10" i="23"/>
  <c r="M10" i="23"/>
  <c r="N10" i="23"/>
  <c r="O10" i="23"/>
  <c r="U10" i="23"/>
  <c r="AC10" i="23"/>
  <c r="AD10" i="23"/>
  <c r="AH10" i="23"/>
  <c r="B11" i="23"/>
  <c r="F11" i="23"/>
  <c r="K11" i="23"/>
  <c r="L11" i="23"/>
  <c r="M11" i="23"/>
  <c r="N11" i="23"/>
  <c r="O11" i="23"/>
  <c r="U11" i="23"/>
  <c r="AC11" i="23"/>
  <c r="AD11" i="23"/>
  <c r="AH11" i="23"/>
  <c r="B12" i="23"/>
  <c r="F12" i="23"/>
  <c r="K12" i="23"/>
  <c r="L12" i="23"/>
  <c r="M12" i="23"/>
  <c r="N12" i="23"/>
  <c r="O12" i="23"/>
  <c r="U12" i="23"/>
  <c r="AC12" i="23"/>
  <c r="AD12" i="23"/>
  <c r="AH12" i="23"/>
  <c r="B13" i="23"/>
  <c r="F13" i="23"/>
  <c r="K13" i="23"/>
  <c r="L13" i="23"/>
  <c r="M13" i="23"/>
  <c r="N13" i="23"/>
  <c r="O13" i="23"/>
  <c r="U13" i="23"/>
  <c r="AC13" i="23"/>
  <c r="AD13" i="23"/>
  <c r="AH13" i="23"/>
  <c r="B14" i="23"/>
  <c r="F14" i="23"/>
  <c r="K14" i="23"/>
  <c r="L14" i="23"/>
  <c r="M14" i="23"/>
  <c r="N14" i="23"/>
  <c r="O14" i="23"/>
  <c r="U14" i="23"/>
  <c r="AC14" i="23"/>
  <c r="AD14" i="23"/>
  <c r="AH14" i="23"/>
  <c r="B15" i="23"/>
  <c r="F15" i="23"/>
  <c r="K15" i="23"/>
  <c r="L15" i="23"/>
  <c r="M15" i="23"/>
  <c r="N15" i="23"/>
  <c r="O15" i="23"/>
  <c r="U15" i="23"/>
  <c r="AC15" i="23"/>
  <c r="AD15" i="23"/>
  <c r="AH15" i="23"/>
  <c r="B16" i="23"/>
  <c r="F16" i="23"/>
  <c r="K16" i="23"/>
  <c r="L16" i="23"/>
  <c r="M16" i="23"/>
  <c r="N16" i="23"/>
  <c r="O16" i="23"/>
  <c r="U16" i="23"/>
  <c r="AC16" i="23"/>
  <c r="AD16" i="23"/>
  <c r="AH16" i="23"/>
  <c r="B17" i="23"/>
  <c r="F17" i="23"/>
  <c r="K17" i="23"/>
  <c r="L17" i="23"/>
  <c r="M17" i="23"/>
  <c r="N17" i="23"/>
  <c r="O17" i="23"/>
  <c r="U17" i="23"/>
  <c r="AC17" i="23"/>
  <c r="AD17" i="23"/>
  <c r="AH17" i="23"/>
  <c r="B18" i="23"/>
  <c r="F18" i="23"/>
  <c r="K18" i="23"/>
  <c r="L18" i="23"/>
  <c r="M18" i="23"/>
  <c r="N18" i="23"/>
  <c r="O18" i="23"/>
  <c r="U18" i="23"/>
  <c r="AC18" i="23"/>
  <c r="AD18" i="23"/>
  <c r="AH18" i="23"/>
  <c r="B19" i="23"/>
  <c r="F19" i="23"/>
  <c r="K19" i="23"/>
  <c r="L19" i="23"/>
  <c r="M19" i="23"/>
  <c r="N19" i="23"/>
  <c r="O19" i="23"/>
  <c r="U19" i="23"/>
  <c r="AC19" i="23"/>
  <c r="AD19" i="23"/>
  <c r="AH19" i="23"/>
  <c r="B20" i="23"/>
  <c r="F20" i="23"/>
  <c r="K20" i="23"/>
  <c r="L20" i="23"/>
  <c r="M20" i="23"/>
  <c r="N20" i="23"/>
  <c r="O20" i="23"/>
  <c r="U20" i="23"/>
  <c r="AC20" i="23"/>
  <c r="AD20" i="23"/>
  <c r="AH20" i="23"/>
  <c r="B21" i="23"/>
  <c r="F21" i="23"/>
  <c r="K21" i="23"/>
  <c r="L21" i="23"/>
  <c r="M21" i="23"/>
  <c r="N21" i="23"/>
  <c r="O21" i="23"/>
  <c r="U21" i="23"/>
  <c r="AC21" i="23"/>
  <c r="AD21" i="23"/>
  <c r="AH21" i="23"/>
  <c r="B22" i="23"/>
  <c r="F22" i="23"/>
  <c r="K22" i="23"/>
  <c r="L22" i="23"/>
  <c r="M22" i="23"/>
  <c r="N22" i="23"/>
  <c r="O22" i="23"/>
  <c r="U22" i="23"/>
  <c r="AC22" i="23"/>
  <c r="AD22" i="23"/>
  <c r="AH22" i="23"/>
  <c r="B23" i="23"/>
  <c r="F23" i="23"/>
  <c r="K23" i="23"/>
  <c r="L23" i="23"/>
  <c r="M23" i="23"/>
  <c r="N23" i="23"/>
  <c r="O23" i="23"/>
  <c r="U23" i="23"/>
  <c r="AC23" i="23"/>
  <c r="AD23" i="23"/>
  <c r="AH23" i="23"/>
  <c r="B24" i="23"/>
  <c r="F24" i="23"/>
  <c r="K24" i="23"/>
  <c r="L24" i="23"/>
  <c r="M24" i="23"/>
  <c r="N24" i="23"/>
  <c r="O24" i="23"/>
  <c r="U24" i="23"/>
  <c r="AC24" i="23"/>
  <c r="AD24" i="23"/>
  <c r="AH24" i="23"/>
  <c r="B25" i="23"/>
  <c r="F25" i="23"/>
  <c r="K25" i="23"/>
  <c r="L25" i="23"/>
  <c r="M25" i="23"/>
  <c r="N25" i="23"/>
  <c r="O25" i="23"/>
  <c r="U25" i="23"/>
  <c r="AC25" i="23"/>
  <c r="AD25" i="23"/>
  <c r="AH25" i="23"/>
  <c r="B26" i="23"/>
  <c r="F26" i="23"/>
  <c r="K26" i="23"/>
  <c r="L26" i="23"/>
  <c r="M26" i="23"/>
  <c r="N26" i="23"/>
  <c r="O26" i="23"/>
  <c r="U26" i="23"/>
  <c r="AC26" i="23"/>
  <c r="AD26" i="23"/>
  <c r="AH26" i="23"/>
  <c r="B27" i="23"/>
  <c r="F27" i="23"/>
  <c r="K27" i="23"/>
  <c r="L27" i="23"/>
  <c r="M27" i="23"/>
  <c r="N27" i="23"/>
  <c r="O27" i="23"/>
  <c r="U27" i="23"/>
  <c r="AC27" i="23"/>
  <c r="AD27" i="23"/>
  <c r="AH27" i="23"/>
  <c r="B28" i="23"/>
  <c r="F28" i="23"/>
  <c r="K28" i="23"/>
  <c r="L28" i="23"/>
  <c r="M28" i="23"/>
  <c r="N28" i="23"/>
  <c r="O28" i="23"/>
  <c r="U28" i="23"/>
  <c r="AC28" i="23"/>
  <c r="AD28" i="23"/>
  <c r="AH28" i="23"/>
  <c r="B29" i="23"/>
  <c r="F29" i="23"/>
  <c r="K29" i="23"/>
  <c r="L29" i="23"/>
  <c r="M29" i="23"/>
  <c r="N29" i="23"/>
  <c r="O29" i="23"/>
  <c r="U29" i="23"/>
  <c r="AC29" i="23"/>
  <c r="AD29" i="23"/>
  <c r="AH29" i="23"/>
  <c r="B30" i="23"/>
  <c r="F30" i="23"/>
  <c r="K30" i="23"/>
  <c r="L30" i="23"/>
  <c r="M30" i="23"/>
  <c r="N30" i="23"/>
  <c r="O30" i="23"/>
  <c r="U30" i="23"/>
  <c r="AC30" i="23"/>
  <c r="AD30" i="23"/>
  <c r="AH30" i="23"/>
  <c r="B31" i="23"/>
  <c r="F31" i="23"/>
  <c r="K31" i="23"/>
  <c r="L31" i="23"/>
  <c r="M31" i="23"/>
  <c r="N31" i="23"/>
  <c r="O31" i="23"/>
  <c r="U31" i="23"/>
  <c r="AC31" i="23"/>
  <c r="AD31" i="23"/>
  <c r="AH31" i="23"/>
  <c r="B32" i="23"/>
  <c r="F32" i="23"/>
  <c r="K32" i="23"/>
  <c r="L32" i="23"/>
  <c r="M32" i="23"/>
  <c r="N32" i="23"/>
  <c r="O32" i="23"/>
  <c r="U32" i="23"/>
  <c r="AC32" i="23"/>
  <c r="AD32" i="23"/>
  <c r="AH32" i="23"/>
  <c r="B33" i="23"/>
  <c r="F33" i="23"/>
  <c r="K33" i="23"/>
  <c r="L33" i="23"/>
  <c r="M33" i="23"/>
  <c r="N33" i="23"/>
  <c r="O33" i="23"/>
  <c r="U33" i="23"/>
  <c r="AC33" i="23"/>
  <c r="AD33" i="23"/>
  <c r="AH33" i="23"/>
  <c r="B34" i="23"/>
  <c r="F34" i="23"/>
  <c r="K34" i="23"/>
  <c r="L34" i="23"/>
  <c r="M34" i="23"/>
  <c r="N34" i="23"/>
  <c r="O34" i="23"/>
  <c r="U34" i="23"/>
  <c r="AC34" i="23"/>
  <c r="AD34" i="23"/>
  <c r="AH34" i="23"/>
  <c r="B35" i="23"/>
  <c r="F35" i="23"/>
  <c r="K35" i="23"/>
  <c r="L35" i="23"/>
  <c r="M35" i="23"/>
  <c r="N35" i="23"/>
  <c r="O35" i="23"/>
  <c r="U35" i="23"/>
  <c r="AC35" i="23"/>
  <c r="AD35" i="23"/>
  <c r="AH35" i="23"/>
  <c r="B36" i="23"/>
  <c r="F36" i="23"/>
  <c r="K36" i="23"/>
  <c r="L36" i="23"/>
  <c r="M36" i="23"/>
  <c r="N36" i="23"/>
  <c r="O36" i="23"/>
  <c r="U36" i="23"/>
  <c r="AC36" i="23"/>
  <c r="AD36" i="23"/>
  <c r="AH36" i="23"/>
  <c r="B37" i="23"/>
  <c r="F37" i="23"/>
  <c r="K37" i="23"/>
  <c r="L37" i="23"/>
  <c r="M37" i="23"/>
  <c r="N37" i="23"/>
  <c r="O37" i="23"/>
  <c r="U37" i="23"/>
  <c r="AC37" i="23"/>
  <c r="AD37" i="23"/>
  <c r="AH37" i="23"/>
  <c r="B38" i="23"/>
  <c r="F38" i="23"/>
  <c r="K38" i="23"/>
  <c r="L38" i="23"/>
  <c r="M38" i="23"/>
  <c r="N38" i="23"/>
  <c r="O38" i="23"/>
  <c r="U38" i="23"/>
  <c r="AC38" i="23"/>
  <c r="AD38" i="23"/>
  <c r="AH38" i="23"/>
  <c r="B39" i="23"/>
  <c r="F39" i="23"/>
  <c r="K39" i="23"/>
  <c r="L39" i="23"/>
  <c r="M39" i="23"/>
  <c r="N39" i="23"/>
  <c r="O39" i="23"/>
  <c r="U39" i="23"/>
  <c r="AC39" i="23"/>
  <c r="AD39" i="23"/>
  <c r="AH39" i="23"/>
  <c r="B40" i="23"/>
  <c r="F40" i="23"/>
  <c r="K40" i="23"/>
  <c r="L40" i="23"/>
  <c r="M40" i="23"/>
  <c r="N40" i="23"/>
  <c r="O40" i="23"/>
  <c r="U40" i="23"/>
  <c r="AC40" i="23"/>
  <c r="AD40" i="23"/>
  <c r="AH40" i="23"/>
  <c r="B41" i="23"/>
  <c r="F41" i="23"/>
  <c r="K41" i="23"/>
  <c r="L41" i="23"/>
  <c r="M41" i="23"/>
  <c r="N41" i="23"/>
  <c r="O41" i="23"/>
  <c r="U41" i="23"/>
  <c r="AC41" i="23"/>
  <c r="AD41" i="23"/>
  <c r="AH41" i="23"/>
  <c r="B42" i="23"/>
  <c r="F42" i="23"/>
  <c r="K42" i="23"/>
  <c r="L42" i="23"/>
  <c r="M42" i="23"/>
  <c r="N42" i="23"/>
  <c r="O42" i="23"/>
  <c r="U42" i="23"/>
  <c r="AC42" i="23"/>
  <c r="AD42" i="23"/>
  <c r="AH42" i="23"/>
  <c r="B43" i="23"/>
  <c r="F43" i="23"/>
  <c r="K43" i="23"/>
  <c r="L43" i="23"/>
  <c r="M43" i="23"/>
  <c r="N43" i="23"/>
  <c r="O43" i="23"/>
  <c r="U43" i="23"/>
  <c r="AC43" i="23"/>
  <c r="AD43" i="23"/>
  <c r="AH43" i="23"/>
  <c r="B44" i="23"/>
  <c r="F44" i="23"/>
  <c r="K44" i="23"/>
  <c r="L44" i="23"/>
  <c r="M44" i="23"/>
  <c r="N44" i="23"/>
  <c r="O44" i="23"/>
  <c r="U44" i="23"/>
  <c r="AC44" i="23"/>
  <c r="AD44" i="23"/>
  <c r="AH44" i="23"/>
  <c r="B45" i="23"/>
  <c r="F45" i="23"/>
  <c r="K45" i="23"/>
  <c r="L45" i="23"/>
  <c r="M45" i="23"/>
  <c r="N45" i="23"/>
  <c r="O45" i="23"/>
  <c r="U45" i="23"/>
  <c r="AC45" i="23"/>
  <c r="AD45" i="23"/>
  <c r="AH45" i="23"/>
  <c r="B46" i="23"/>
  <c r="F46" i="23"/>
  <c r="K46" i="23"/>
  <c r="L46" i="23"/>
  <c r="M46" i="23"/>
  <c r="N46" i="23"/>
  <c r="O46" i="23"/>
  <c r="U46" i="23"/>
  <c r="AC46" i="23"/>
  <c r="AD46" i="23"/>
  <c r="AH46" i="23"/>
  <c r="B47" i="23"/>
  <c r="F47" i="23"/>
  <c r="K47" i="23"/>
  <c r="L47" i="23"/>
  <c r="M47" i="23"/>
  <c r="N47" i="23"/>
  <c r="O47" i="23"/>
  <c r="U47" i="23"/>
  <c r="AC47" i="23"/>
  <c r="AD47" i="23"/>
  <c r="AH47" i="23"/>
  <c r="B48" i="23"/>
  <c r="F48" i="23"/>
  <c r="K48" i="23"/>
  <c r="L48" i="23"/>
  <c r="M48" i="23"/>
  <c r="N48" i="23"/>
  <c r="O48" i="23"/>
  <c r="U48" i="23"/>
  <c r="AC48" i="23"/>
  <c r="AD48" i="23"/>
  <c r="AH48" i="23"/>
  <c r="B49" i="23"/>
  <c r="F49" i="23"/>
  <c r="K49" i="23"/>
  <c r="L49" i="23"/>
  <c r="M49" i="23"/>
  <c r="N49" i="23"/>
  <c r="O49" i="23"/>
  <c r="U49" i="23"/>
  <c r="AC49" i="23"/>
  <c r="AD49" i="23"/>
  <c r="AH49" i="23"/>
  <c r="B50" i="23"/>
  <c r="F50" i="23"/>
  <c r="K50" i="23"/>
  <c r="L50" i="23"/>
  <c r="M50" i="23"/>
  <c r="N50" i="23"/>
  <c r="O50" i="23"/>
  <c r="U50" i="23"/>
  <c r="AC50" i="23"/>
  <c r="AD50" i="23"/>
  <c r="AH50" i="23"/>
  <c r="B51" i="23"/>
  <c r="F51" i="23"/>
  <c r="K51" i="23"/>
  <c r="L51" i="23"/>
  <c r="M51" i="23"/>
  <c r="N51" i="23"/>
  <c r="O51" i="23"/>
  <c r="U51" i="23"/>
  <c r="AC51" i="23"/>
  <c r="AD51" i="23"/>
  <c r="AH51" i="23"/>
  <c r="B52" i="23"/>
  <c r="F52" i="23"/>
  <c r="K52" i="23"/>
  <c r="L52" i="23"/>
  <c r="M52" i="23"/>
  <c r="N52" i="23"/>
  <c r="O52" i="23"/>
  <c r="U52" i="23"/>
  <c r="AC52" i="23"/>
  <c r="AD52" i="23"/>
  <c r="AH52" i="23"/>
  <c r="B53" i="23"/>
  <c r="F53" i="23"/>
  <c r="K53" i="23"/>
  <c r="L53" i="23"/>
  <c r="M53" i="23"/>
  <c r="N53" i="23"/>
  <c r="O53" i="23"/>
  <c r="U53" i="23"/>
  <c r="AC53" i="23"/>
  <c r="AD53" i="23"/>
  <c r="AH53" i="23"/>
  <c r="B54" i="23"/>
  <c r="F54" i="23"/>
  <c r="K54" i="23"/>
  <c r="L54" i="23"/>
  <c r="M54" i="23"/>
  <c r="N54" i="23"/>
  <c r="O54" i="23"/>
  <c r="U54" i="23"/>
  <c r="AC54" i="23"/>
  <c r="AD54" i="23"/>
  <c r="AH54" i="23"/>
  <c r="B55" i="23"/>
  <c r="F55" i="23"/>
  <c r="K55" i="23"/>
  <c r="L55" i="23"/>
  <c r="M55" i="23"/>
  <c r="N55" i="23"/>
  <c r="O55" i="23"/>
  <c r="U55" i="23"/>
  <c r="AC55" i="23"/>
  <c r="AD55" i="23"/>
  <c r="AH55" i="23"/>
  <c r="B56" i="23"/>
  <c r="F56" i="23"/>
  <c r="K56" i="23"/>
  <c r="L56" i="23"/>
  <c r="M56" i="23"/>
  <c r="N56" i="23"/>
  <c r="O56" i="23"/>
  <c r="U56" i="23"/>
  <c r="AC56" i="23"/>
  <c r="AD56" i="23"/>
  <c r="AH56" i="23"/>
  <c r="B57" i="23"/>
  <c r="F57" i="23"/>
  <c r="K57" i="23"/>
  <c r="L57" i="23"/>
  <c r="M57" i="23"/>
  <c r="N57" i="23"/>
  <c r="O57" i="23"/>
  <c r="U57" i="23"/>
  <c r="AC57" i="23"/>
  <c r="AD57" i="23"/>
  <c r="AH57" i="23"/>
  <c r="B58" i="23"/>
  <c r="F58" i="23"/>
  <c r="K58" i="23"/>
  <c r="L58" i="23"/>
  <c r="M58" i="23"/>
  <c r="N58" i="23"/>
  <c r="O58" i="23"/>
  <c r="U58" i="23"/>
  <c r="AC58" i="23"/>
  <c r="AD58" i="23"/>
  <c r="AH58" i="23"/>
  <c r="B59" i="23"/>
  <c r="F59" i="23"/>
  <c r="K59" i="23"/>
  <c r="L59" i="23"/>
  <c r="M59" i="23"/>
  <c r="N59" i="23"/>
  <c r="O59" i="23"/>
  <c r="U59" i="23"/>
  <c r="AC59" i="23"/>
  <c r="AD59" i="23"/>
  <c r="AH59" i="23"/>
  <c r="B60" i="23"/>
  <c r="F60" i="23"/>
  <c r="K60" i="23"/>
  <c r="L60" i="23"/>
  <c r="M60" i="23"/>
  <c r="N60" i="23"/>
  <c r="O60" i="23"/>
  <c r="U60" i="23"/>
  <c r="AC60" i="23"/>
  <c r="AD60" i="23"/>
  <c r="AH60" i="23"/>
  <c r="B61" i="23"/>
  <c r="F61" i="23"/>
  <c r="K61" i="23"/>
  <c r="L61" i="23"/>
  <c r="M61" i="23"/>
  <c r="N61" i="23"/>
  <c r="O61" i="23"/>
  <c r="U61" i="23"/>
  <c r="AC61" i="23"/>
  <c r="AD61" i="23"/>
  <c r="AH61" i="23"/>
  <c r="B62" i="23"/>
  <c r="F62" i="23"/>
  <c r="K62" i="23"/>
  <c r="L62" i="23"/>
  <c r="M62" i="23"/>
  <c r="N62" i="23"/>
  <c r="O62" i="23"/>
  <c r="U62" i="23"/>
  <c r="AC62" i="23"/>
  <c r="AD62" i="23"/>
  <c r="AH62" i="23"/>
  <c r="B63" i="23"/>
  <c r="F63" i="23"/>
  <c r="K63" i="23"/>
  <c r="L63" i="23"/>
  <c r="M63" i="23"/>
  <c r="N63" i="23"/>
  <c r="O63" i="23"/>
  <c r="U63" i="23"/>
  <c r="AC63" i="23"/>
  <c r="AD63" i="23"/>
  <c r="AH63" i="23"/>
  <c r="B64" i="23"/>
  <c r="F64" i="23"/>
  <c r="K64" i="23"/>
  <c r="L64" i="23"/>
  <c r="M64" i="23"/>
  <c r="N64" i="23"/>
  <c r="O64" i="23"/>
  <c r="U64" i="23"/>
  <c r="AC64" i="23"/>
  <c r="AD64" i="23"/>
  <c r="AH64" i="23"/>
  <c r="B65" i="23"/>
  <c r="F65" i="23"/>
  <c r="K65" i="23"/>
  <c r="L65" i="23"/>
  <c r="M65" i="23"/>
  <c r="N65" i="23"/>
  <c r="O65" i="23"/>
  <c r="U65" i="23"/>
  <c r="AC65" i="23"/>
  <c r="AD65" i="23"/>
  <c r="AH65" i="23"/>
  <c r="B66" i="23"/>
  <c r="F66" i="23"/>
  <c r="K66" i="23"/>
  <c r="L66" i="23"/>
  <c r="M66" i="23"/>
  <c r="N66" i="23"/>
  <c r="O66" i="23"/>
  <c r="U66" i="23"/>
  <c r="AC66" i="23"/>
  <c r="AD66" i="23"/>
  <c r="AH66" i="23"/>
  <c r="B67" i="23"/>
  <c r="F67" i="23"/>
  <c r="K67" i="23"/>
  <c r="L67" i="23"/>
  <c r="M67" i="23"/>
  <c r="N67" i="23"/>
  <c r="O67" i="23"/>
  <c r="U67" i="23"/>
  <c r="AC67" i="23"/>
  <c r="AD67" i="23"/>
  <c r="AH67" i="23"/>
  <c r="B68" i="23"/>
  <c r="F68" i="23"/>
  <c r="K68" i="23"/>
  <c r="L68" i="23"/>
  <c r="M68" i="23"/>
  <c r="N68" i="23"/>
  <c r="O68" i="23"/>
  <c r="U68" i="23"/>
  <c r="AC68" i="23"/>
  <c r="AD68" i="23"/>
  <c r="AH68" i="23"/>
  <c r="B69" i="23"/>
  <c r="F69" i="23"/>
  <c r="K69" i="23"/>
  <c r="L69" i="23"/>
  <c r="M69" i="23"/>
  <c r="N69" i="23"/>
  <c r="O69" i="23"/>
  <c r="U69" i="23"/>
  <c r="AC69" i="23"/>
  <c r="AD69" i="23"/>
  <c r="AH69" i="23"/>
  <c r="B70" i="23"/>
  <c r="F70" i="23"/>
  <c r="K70" i="23"/>
  <c r="L70" i="23"/>
  <c r="M70" i="23"/>
  <c r="N70" i="23"/>
  <c r="O70" i="23"/>
  <c r="U70" i="23"/>
  <c r="AC70" i="23"/>
  <c r="AD70" i="23"/>
  <c r="AH70" i="23"/>
  <c r="B71" i="23"/>
  <c r="F71" i="23"/>
  <c r="K71" i="23"/>
  <c r="L71" i="23"/>
  <c r="M71" i="23"/>
  <c r="N71" i="23"/>
  <c r="O71" i="23"/>
  <c r="U71" i="23"/>
  <c r="AC71" i="23"/>
  <c r="AD71" i="23"/>
  <c r="AH71" i="23"/>
  <c r="B72" i="23"/>
  <c r="F72" i="23"/>
  <c r="K72" i="23"/>
  <c r="L72" i="23"/>
  <c r="M72" i="23"/>
  <c r="N72" i="23"/>
  <c r="O72" i="23"/>
  <c r="U72" i="23"/>
  <c r="AC72" i="23"/>
  <c r="AD72" i="23"/>
  <c r="AH72" i="23"/>
  <c r="B73" i="23"/>
  <c r="F73" i="23"/>
  <c r="K73" i="23"/>
  <c r="L73" i="23"/>
  <c r="M73" i="23"/>
  <c r="N73" i="23"/>
  <c r="O73" i="23"/>
  <c r="U73" i="23"/>
  <c r="AC73" i="23"/>
  <c r="AD73" i="23"/>
  <c r="AH73" i="23"/>
  <c r="B74" i="23"/>
  <c r="F74" i="23"/>
  <c r="K74" i="23"/>
  <c r="L74" i="23"/>
  <c r="M74" i="23"/>
  <c r="N74" i="23"/>
  <c r="O74" i="23"/>
  <c r="U74" i="23"/>
  <c r="AC74" i="23"/>
  <c r="AD74" i="23"/>
  <c r="AH74" i="23"/>
  <c r="B75" i="23"/>
  <c r="F75" i="23"/>
  <c r="K75" i="23"/>
  <c r="L75" i="23"/>
  <c r="M75" i="23"/>
  <c r="N75" i="23"/>
  <c r="O75" i="23"/>
  <c r="U75" i="23"/>
  <c r="AC75" i="23"/>
  <c r="AD75" i="23"/>
  <c r="AH75" i="23"/>
  <c r="B76" i="23"/>
  <c r="F76" i="23"/>
  <c r="K76" i="23"/>
  <c r="L76" i="23"/>
  <c r="M76" i="23"/>
  <c r="N76" i="23"/>
  <c r="O76" i="23"/>
  <c r="U76" i="23"/>
  <c r="AC76" i="23"/>
  <c r="AD76" i="23"/>
  <c r="AH76" i="23"/>
  <c r="B77" i="23"/>
  <c r="F77" i="23"/>
  <c r="K77" i="23"/>
  <c r="L77" i="23"/>
  <c r="M77" i="23"/>
  <c r="N77" i="23"/>
  <c r="O77" i="23"/>
  <c r="U77" i="23"/>
  <c r="AC77" i="23"/>
  <c r="AD77" i="23"/>
  <c r="AH77" i="23"/>
  <c r="B78" i="23"/>
  <c r="F78" i="23"/>
  <c r="K78" i="23"/>
  <c r="L78" i="23"/>
  <c r="M78" i="23"/>
  <c r="N78" i="23"/>
  <c r="O78" i="23"/>
  <c r="U78" i="23"/>
  <c r="AC78" i="23"/>
  <c r="AD78" i="23"/>
  <c r="AH78" i="23"/>
  <c r="B79" i="23"/>
  <c r="F79" i="23"/>
  <c r="K79" i="23"/>
  <c r="L79" i="23"/>
  <c r="M79" i="23"/>
  <c r="N79" i="23"/>
  <c r="O79" i="23"/>
  <c r="U79" i="23"/>
  <c r="AC79" i="23"/>
  <c r="AD79" i="23"/>
  <c r="AH79" i="23"/>
  <c r="B80" i="23"/>
  <c r="F80" i="23"/>
  <c r="K80" i="23"/>
  <c r="L80" i="23"/>
  <c r="M80" i="23"/>
  <c r="N80" i="23"/>
  <c r="O80" i="23"/>
  <c r="U80" i="23"/>
  <c r="AC80" i="23"/>
  <c r="AD80" i="23"/>
  <c r="AH80" i="23"/>
  <c r="B81" i="23"/>
  <c r="F81" i="23"/>
  <c r="K81" i="23"/>
  <c r="L81" i="23"/>
  <c r="M81" i="23"/>
  <c r="N81" i="23"/>
  <c r="O81" i="23"/>
  <c r="U81" i="23"/>
  <c r="AC81" i="23"/>
  <c r="AD81" i="23"/>
  <c r="AH81" i="23"/>
  <c r="B82" i="23"/>
  <c r="F82" i="23"/>
  <c r="K82" i="23"/>
  <c r="L82" i="23"/>
  <c r="M82" i="23"/>
  <c r="N82" i="23"/>
  <c r="O82" i="23"/>
  <c r="U82" i="23"/>
  <c r="AC82" i="23"/>
  <c r="AD82" i="23"/>
  <c r="AH82" i="23"/>
  <c r="B83" i="23"/>
  <c r="F83" i="23"/>
  <c r="K83" i="23"/>
  <c r="L83" i="23"/>
  <c r="M83" i="23"/>
  <c r="N83" i="23"/>
  <c r="O83" i="23"/>
  <c r="U83" i="23"/>
  <c r="AC83" i="23"/>
  <c r="AD83" i="23"/>
  <c r="AH83" i="23"/>
  <c r="B84" i="23"/>
  <c r="F84" i="23"/>
  <c r="K84" i="23"/>
  <c r="L84" i="23"/>
  <c r="M84" i="23"/>
  <c r="N84" i="23"/>
  <c r="O84" i="23"/>
  <c r="U84" i="23"/>
  <c r="AC84" i="23"/>
  <c r="AD84" i="23"/>
  <c r="AH84" i="23"/>
  <c r="B85" i="23"/>
  <c r="F85" i="23"/>
  <c r="K85" i="23"/>
  <c r="L85" i="23"/>
  <c r="M85" i="23"/>
  <c r="N85" i="23"/>
  <c r="O85" i="23"/>
  <c r="U85" i="23"/>
  <c r="AC85" i="23"/>
  <c r="AD85" i="23"/>
  <c r="AH85" i="23"/>
  <c r="B86" i="23"/>
  <c r="F86" i="23"/>
  <c r="K86" i="23"/>
  <c r="L86" i="23"/>
  <c r="M86" i="23"/>
  <c r="N86" i="23"/>
  <c r="O86" i="23"/>
  <c r="U86" i="23"/>
  <c r="AC86" i="23"/>
  <c r="AD86" i="23"/>
  <c r="AH86" i="23"/>
  <c r="B87" i="23"/>
  <c r="F87" i="23"/>
  <c r="K87" i="23"/>
  <c r="L87" i="23"/>
  <c r="M87" i="23"/>
  <c r="N87" i="23"/>
  <c r="O87" i="23"/>
  <c r="U87" i="23"/>
  <c r="AC87" i="23"/>
  <c r="AD87" i="23"/>
  <c r="AH87" i="23"/>
  <c r="B88" i="23"/>
  <c r="F88" i="23"/>
  <c r="K88" i="23"/>
  <c r="L88" i="23"/>
  <c r="M88" i="23"/>
  <c r="N88" i="23"/>
  <c r="O88" i="23"/>
  <c r="U88" i="23"/>
  <c r="AC88" i="23"/>
  <c r="AD88" i="23"/>
  <c r="AH88" i="23"/>
  <c r="B89" i="23"/>
  <c r="F89" i="23"/>
  <c r="K89" i="23"/>
  <c r="L89" i="23"/>
  <c r="M89" i="23"/>
  <c r="N89" i="23"/>
  <c r="O89" i="23"/>
  <c r="U89" i="23"/>
  <c r="AC89" i="23"/>
  <c r="AD89" i="23"/>
  <c r="AH89" i="23"/>
  <c r="B90" i="23"/>
  <c r="F90" i="23"/>
  <c r="K90" i="23"/>
  <c r="L90" i="23"/>
  <c r="M90" i="23"/>
  <c r="N90" i="23"/>
  <c r="O90" i="23"/>
  <c r="U90" i="23"/>
  <c r="AC90" i="23"/>
  <c r="AD90" i="23"/>
  <c r="AH90" i="23"/>
  <c r="B91" i="23"/>
  <c r="F91" i="23"/>
  <c r="K91" i="23"/>
  <c r="L91" i="23"/>
  <c r="M91" i="23"/>
  <c r="N91" i="23"/>
  <c r="O91" i="23"/>
  <c r="U91" i="23"/>
  <c r="AC91" i="23"/>
  <c r="AD91" i="23"/>
  <c r="AH91" i="23"/>
  <c r="B92" i="23"/>
  <c r="F92" i="23"/>
  <c r="K92" i="23"/>
  <c r="L92" i="23"/>
  <c r="M92" i="23"/>
  <c r="N92" i="23"/>
  <c r="O92" i="23"/>
  <c r="U92" i="23"/>
  <c r="AC92" i="23"/>
  <c r="AD92" i="23"/>
  <c r="AH92" i="23"/>
  <c r="B93" i="23"/>
  <c r="F93" i="23"/>
  <c r="K93" i="23"/>
  <c r="L93" i="23"/>
  <c r="M93" i="23"/>
  <c r="N93" i="23"/>
  <c r="O93" i="23"/>
  <c r="U93" i="23"/>
  <c r="AC93" i="23"/>
  <c r="AD93" i="23"/>
  <c r="AH93" i="23"/>
  <c r="B94" i="23"/>
  <c r="F94" i="23"/>
  <c r="K94" i="23"/>
  <c r="L94" i="23"/>
  <c r="M94" i="23"/>
  <c r="N94" i="23"/>
  <c r="O94" i="23"/>
  <c r="U94" i="23"/>
  <c r="AC94" i="23"/>
  <c r="AD94" i="23"/>
  <c r="AH94" i="23"/>
  <c r="B95" i="23"/>
  <c r="F95" i="23"/>
  <c r="K95" i="23"/>
  <c r="L95" i="23"/>
  <c r="M95" i="23"/>
  <c r="N95" i="23"/>
  <c r="O95" i="23"/>
  <c r="U95" i="23"/>
  <c r="AC95" i="23"/>
  <c r="AD95" i="23"/>
  <c r="AH95" i="23"/>
  <c r="B96" i="23"/>
  <c r="F96" i="23"/>
  <c r="K96" i="23"/>
  <c r="L96" i="23"/>
  <c r="M96" i="23"/>
  <c r="N96" i="23"/>
  <c r="O96" i="23"/>
  <c r="U96" i="23"/>
  <c r="AC96" i="23"/>
  <c r="AD96" i="23"/>
  <c r="AH96" i="23"/>
  <c r="B97" i="23"/>
  <c r="F97" i="23"/>
  <c r="K97" i="23"/>
  <c r="L97" i="23"/>
  <c r="M97" i="23"/>
  <c r="N97" i="23"/>
  <c r="O97" i="23"/>
  <c r="U97" i="23"/>
  <c r="AC97" i="23"/>
  <c r="AD97" i="23"/>
  <c r="AH97" i="23"/>
  <c r="B98" i="23"/>
  <c r="F98" i="23"/>
  <c r="K98" i="23"/>
  <c r="L98" i="23"/>
  <c r="M98" i="23"/>
  <c r="N98" i="23"/>
  <c r="O98" i="23"/>
  <c r="U98" i="23"/>
  <c r="AC98" i="23"/>
  <c r="AD98" i="23"/>
  <c r="AH98" i="23"/>
  <c r="B99" i="23"/>
  <c r="F99" i="23"/>
  <c r="K99" i="23"/>
  <c r="L99" i="23"/>
  <c r="M99" i="23"/>
  <c r="N99" i="23"/>
  <c r="O99" i="23"/>
  <c r="U99" i="23"/>
  <c r="AC99" i="23"/>
  <c r="AD99" i="23"/>
  <c r="AH99" i="23"/>
  <c r="B100" i="23"/>
  <c r="F100" i="23"/>
  <c r="K100" i="23"/>
  <c r="L100" i="23"/>
  <c r="M100" i="23"/>
  <c r="N100" i="23"/>
  <c r="O100" i="23"/>
  <c r="U100" i="23"/>
  <c r="AC100" i="23"/>
  <c r="AD100" i="23"/>
  <c r="AH100" i="23"/>
  <c r="B101" i="23"/>
  <c r="F101" i="23"/>
  <c r="K101" i="23"/>
  <c r="L101" i="23"/>
  <c r="M101" i="23"/>
  <c r="N101" i="23"/>
  <c r="O101" i="23"/>
  <c r="U101" i="23"/>
  <c r="AC101" i="23"/>
  <c r="AD101" i="23"/>
  <c r="AH101" i="23"/>
  <c r="B102" i="23"/>
  <c r="F102" i="23"/>
  <c r="K102" i="23"/>
  <c r="L102" i="23"/>
  <c r="M102" i="23"/>
  <c r="N102" i="23"/>
  <c r="O102" i="23"/>
  <c r="U102" i="23"/>
  <c r="AC102" i="23"/>
  <c r="AD102" i="23"/>
  <c r="AH102" i="23"/>
  <c r="B103" i="23"/>
  <c r="F103" i="23"/>
  <c r="K103" i="23"/>
  <c r="L103" i="23"/>
  <c r="M103" i="23"/>
  <c r="N103" i="23"/>
  <c r="O103" i="23"/>
  <c r="U103" i="23"/>
  <c r="AC103" i="23"/>
  <c r="AD103" i="23"/>
  <c r="AH103" i="23"/>
  <c r="B104" i="23"/>
  <c r="F104" i="23"/>
  <c r="K104" i="23"/>
  <c r="L104" i="23"/>
  <c r="M104" i="23"/>
  <c r="N104" i="23"/>
  <c r="O104" i="23"/>
  <c r="U104" i="23"/>
  <c r="AC104" i="23"/>
  <c r="AD104" i="23"/>
  <c r="AH104" i="23"/>
  <c r="B105" i="23"/>
  <c r="F105" i="23"/>
  <c r="K105" i="23"/>
  <c r="L105" i="23"/>
  <c r="M105" i="23"/>
  <c r="N105" i="23"/>
  <c r="O105" i="23"/>
  <c r="U105" i="23"/>
  <c r="AC105" i="23"/>
  <c r="AD105" i="23"/>
  <c r="AH105" i="23"/>
  <c r="B106" i="23"/>
  <c r="F106" i="23"/>
  <c r="K106" i="23"/>
  <c r="L106" i="23"/>
  <c r="M106" i="23"/>
  <c r="N106" i="23"/>
  <c r="O106" i="23"/>
  <c r="U106" i="23"/>
  <c r="AC106" i="23"/>
  <c r="AD106" i="23"/>
  <c r="AH106" i="23"/>
  <c r="B107" i="23"/>
  <c r="F107" i="23"/>
  <c r="K107" i="23"/>
  <c r="L107" i="23"/>
  <c r="M107" i="23"/>
  <c r="N107" i="23"/>
  <c r="O107" i="23"/>
  <c r="U107" i="23"/>
  <c r="AC107" i="23"/>
  <c r="AD107" i="23"/>
  <c r="AH107" i="23"/>
  <c r="B108" i="23"/>
  <c r="F108" i="23"/>
  <c r="K108" i="23"/>
  <c r="L108" i="23"/>
  <c r="M108" i="23"/>
  <c r="N108" i="23"/>
  <c r="O108" i="23"/>
  <c r="U108" i="23"/>
  <c r="AC108" i="23"/>
  <c r="AD108" i="23"/>
  <c r="AH108" i="23"/>
  <c r="B109" i="23"/>
  <c r="F109" i="23"/>
  <c r="K109" i="23"/>
  <c r="L109" i="23"/>
  <c r="M109" i="23"/>
  <c r="N109" i="23"/>
  <c r="O109" i="23"/>
  <c r="U109" i="23"/>
  <c r="AC109" i="23"/>
  <c r="AD109" i="23"/>
  <c r="AH109" i="23"/>
  <c r="B110" i="23"/>
  <c r="F110" i="23"/>
  <c r="K110" i="23"/>
  <c r="L110" i="23"/>
  <c r="M110" i="23"/>
  <c r="N110" i="23"/>
  <c r="O110" i="23"/>
  <c r="U110" i="23"/>
  <c r="AC110" i="23"/>
  <c r="AD110" i="23"/>
  <c r="AH110" i="23"/>
  <c r="B111" i="23"/>
  <c r="F111" i="23"/>
  <c r="K111" i="23"/>
  <c r="L111" i="23"/>
  <c r="M111" i="23"/>
  <c r="N111" i="23"/>
  <c r="O111" i="23"/>
  <c r="U111" i="23"/>
  <c r="AC111" i="23"/>
  <c r="AD111" i="23"/>
  <c r="AH111" i="23"/>
  <c r="B112" i="23"/>
  <c r="F112" i="23"/>
  <c r="K112" i="23"/>
  <c r="L112" i="23"/>
  <c r="M112" i="23"/>
  <c r="N112" i="23"/>
  <c r="O112" i="23"/>
  <c r="U112" i="23"/>
  <c r="AC112" i="23"/>
  <c r="AD112" i="23"/>
  <c r="AH112" i="23"/>
  <c r="B113" i="23"/>
  <c r="F113" i="23"/>
  <c r="K113" i="23"/>
  <c r="L113" i="23"/>
  <c r="M113" i="23"/>
  <c r="N113" i="23"/>
  <c r="O113" i="23"/>
  <c r="U113" i="23"/>
  <c r="AC113" i="23"/>
  <c r="AD113" i="23"/>
  <c r="AH113" i="23"/>
  <c r="B114" i="23"/>
  <c r="F114" i="23"/>
  <c r="K114" i="23"/>
  <c r="L114" i="23"/>
  <c r="M114" i="23"/>
  <c r="N114" i="23"/>
  <c r="O114" i="23"/>
  <c r="U114" i="23"/>
  <c r="AC114" i="23"/>
  <c r="AD114" i="23"/>
  <c r="AH114" i="23"/>
  <c r="B115" i="23"/>
  <c r="F115" i="23"/>
  <c r="K115" i="23"/>
  <c r="L115" i="23"/>
  <c r="M115" i="23"/>
  <c r="N115" i="23"/>
  <c r="O115" i="23"/>
  <c r="U115" i="23"/>
  <c r="AC115" i="23"/>
  <c r="AD115" i="23"/>
  <c r="AH115" i="23"/>
  <c r="B116" i="23"/>
  <c r="F116" i="23"/>
  <c r="K116" i="23"/>
  <c r="L116" i="23"/>
  <c r="M116" i="23"/>
  <c r="N116" i="23"/>
  <c r="O116" i="23"/>
  <c r="U116" i="23"/>
  <c r="AC116" i="23"/>
  <c r="AD116" i="23"/>
  <c r="AH116" i="23"/>
  <c r="B117" i="23"/>
  <c r="F117" i="23"/>
  <c r="K117" i="23"/>
  <c r="L117" i="23"/>
  <c r="M117" i="23"/>
  <c r="N117" i="23"/>
  <c r="O117" i="23"/>
  <c r="U117" i="23"/>
  <c r="AC117" i="23"/>
  <c r="AD117" i="23"/>
  <c r="AH117" i="23"/>
  <c r="B118" i="23"/>
  <c r="F118" i="23"/>
  <c r="K118" i="23"/>
  <c r="L118" i="23"/>
  <c r="M118" i="23"/>
  <c r="N118" i="23"/>
  <c r="O118" i="23"/>
  <c r="U118" i="23"/>
  <c r="AC118" i="23"/>
  <c r="AD118" i="23"/>
  <c r="AH118" i="23"/>
  <c r="B119" i="23"/>
  <c r="F119" i="23"/>
  <c r="K119" i="23"/>
  <c r="L119" i="23"/>
  <c r="M119" i="23"/>
  <c r="N119" i="23"/>
  <c r="O119" i="23"/>
  <c r="U119" i="23"/>
  <c r="AC119" i="23"/>
  <c r="AD119" i="23"/>
  <c r="AH119" i="23"/>
  <c r="B120" i="23"/>
  <c r="F120" i="23"/>
  <c r="K120" i="23"/>
  <c r="L120" i="23"/>
  <c r="M120" i="23"/>
  <c r="N120" i="23"/>
  <c r="O120" i="23"/>
  <c r="U120" i="23"/>
  <c r="AC120" i="23"/>
  <c r="AD120" i="23"/>
  <c r="AH120" i="23"/>
  <c r="B121" i="23"/>
  <c r="F121" i="23"/>
  <c r="K121" i="23"/>
  <c r="L121" i="23"/>
  <c r="M121" i="23"/>
  <c r="N121" i="23"/>
  <c r="O121" i="23"/>
  <c r="U121" i="23"/>
  <c r="AC121" i="23"/>
  <c r="AD121" i="23"/>
  <c r="AH121" i="23"/>
  <c r="B122" i="23"/>
  <c r="F122" i="23"/>
  <c r="K122" i="23"/>
  <c r="L122" i="23"/>
  <c r="M122" i="23"/>
  <c r="N122" i="23"/>
  <c r="O122" i="23"/>
  <c r="U122" i="23"/>
  <c r="AC122" i="23"/>
  <c r="AD122" i="23"/>
  <c r="AH122" i="23"/>
  <c r="B123" i="23"/>
  <c r="F123" i="23"/>
  <c r="K123" i="23"/>
  <c r="L123" i="23"/>
  <c r="M123" i="23"/>
  <c r="N123" i="23"/>
  <c r="O123" i="23"/>
  <c r="U123" i="23"/>
  <c r="AC123" i="23"/>
  <c r="AD123" i="23"/>
  <c r="AH123" i="23"/>
  <c r="B124" i="23"/>
  <c r="F124" i="23"/>
  <c r="K124" i="23"/>
  <c r="L124" i="23"/>
  <c r="M124" i="23"/>
  <c r="N124" i="23"/>
  <c r="O124" i="23"/>
  <c r="U124" i="23"/>
  <c r="AC124" i="23"/>
  <c r="AD124" i="23"/>
  <c r="AH124" i="23"/>
  <c r="B125" i="23"/>
  <c r="F125" i="23"/>
  <c r="K125" i="23"/>
  <c r="L125" i="23"/>
  <c r="M125" i="23"/>
  <c r="N125" i="23"/>
  <c r="O125" i="23"/>
  <c r="U125" i="23"/>
  <c r="AC125" i="23"/>
  <c r="AD125" i="23"/>
  <c r="AH125" i="23"/>
  <c r="B126" i="23"/>
  <c r="F126" i="23"/>
  <c r="K126" i="23"/>
  <c r="L126" i="23"/>
  <c r="M126" i="23"/>
  <c r="N126" i="23"/>
  <c r="O126" i="23"/>
  <c r="U126" i="23"/>
  <c r="AC126" i="23"/>
  <c r="AD126" i="23"/>
  <c r="AH126" i="23"/>
  <c r="B127" i="23"/>
  <c r="F127" i="23"/>
  <c r="K127" i="23"/>
  <c r="L127" i="23"/>
  <c r="M127" i="23"/>
  <c r="N127" i="23"/>
  <c r="O127" i="23"/>
  <c r="U127" i="23"/>
  <c r="AC127" i="23"/>
  <c r="AD127" i="23"/>
  <c r="AH127" i="23"/>
  <c r="B128" i="23"/>
  <c r="F128" i="23"/>
  <c r="K128" i="23"/>
  <c r="L128" i="23"/>
  <c r="M128" i="23"/>
  <c r="N128" i="23"/>
  <c r="O128" i="23"/>
  <c r="U128" i="23"/>
  <c r="AC128" i="23"/>
  <c r="AD128" i="23"/>
  <c r="AH128" i="23"/>
  <c r="B129" i="23"/>
  <c r="F129" i="23"/>
  <c r="K129" i="23"/>
  <c r="L129" i="23"/>
  <c r="M129" i="23"/>
  <c r="N129" i="23"/>
  <c r="O129" i="23"/>
  <c r="U129" i="23"/>
  <c r="AC129" i="23"/>
  <c r="AD129" i="23"/>
  <c r="AH129" i="23"/>
  <c r="B130" i="23"/>
  <c r="F130" i="23"/>
  <c r="K130" i="23"/>
  <c r="L130" i="23"/>
  <c r="M130" i="23"/>
  <c r="N130" i="23"/>
  <c r="O130" i="23"/>
  <c r="U130" i="23"/>
  <c r="AC130" i="23"/>
  <c r="AD130" i="23"/>
  <c r="AH130" i="23"/>
  <c r="B131" i="23"/>
  <c r="F131" i="23"/>
  <c r="K131" i="23"/>
  <c r="L131" i="23"/>
  <c r="M131" i="23"/>
  <c r="N131" i="23"/>
  <c r="O131" i="23"/>
  <c r="U131" i="23"/>
  <c r="AC131" i="23"/>
  <c r="AD131" i="23"/>
  <c r="AH131" i="23"/>
  <c r="B132" i="23"/>
  <c r="F132" i="23"/>
  <c r="K132" i="23"/>
  <c r="L132" i="23"/>
  <c r="M132" i="23"/>
  <c r="N132" i="23"/>
  <c r="O132" i="23"/>
  <c r="U132" i="23"/>
  <c r="AC132" i="23"/>
  <c r="AD132" i="23"/>
  <c r="AH132" i="23"/>
  <c r="B133" i="23"/>
  <c r="F133" i="23"/>
  <c r="K133" i="23"/>
  <c r="L133" i="23"/>
  <c r="M133" i="23"/>
  <c r="N133" i="23"/>
  <c r="O133" i="23"/>
  <c r="U133" i="23"/>
  <c r="AC133" i="23"/>
  <c r="AD133" i="23"/>
  <c r="AH133" i="23"/>
  <c r="B134" i="23"/>
  <c r="F134" i="23"/>
  <c r="K134" i="23"/>
  <c r="L134" i="23"/>
  <c r="M134" i="23"/>
  <c r="N134" i="23"/>
  <c r="O134" i="23"/>
  <c r="U134" i="23"/>
  <c r="AC134" i="23"/>
  <c r="AD134" i="23"/>
  <c r="AH134" i="23"/>
  <c r="B135" i="23"/>
  <c r="F135" i="23"/>
  <c r="K135" i="23"/>
  <c r="L135" i="23"/>
  <c r="M135" i="23"/>
  <c r="N135" i="23"/>
  <c r="O135" i="23"/>
  <c r="U135" i="23"/>
  <c r="AC135" i="23"/>
  <c r="AD135" i="23"/>
  <c r="AH135" i="23"/>
  <c r="B136" i="23"/>
  <c r="F136" i="23"/>
  <c r="K136" i="23"/>
  <c r="L136" i="23"/>
  <c r="M136" i="23"/>
  <c r="N136" i="23"/>
  <c r="O136" i="23"/>
  <c r="U136" i="23"/>
  <c r="AC136" i="23"/>
  <c r="AD136" i="23"/>
  <c r="AH136" i="23"/>
  <c r="B137" i="23"/>
  <c r="F137" i="23"/>
  <c r="K137" i="23"/>
  <c r="L137" i="23"/>
  <c r="M137" i="23"/>
  <c r="N137" i="23"/>
  <c r="O137" i="23"/>
  <c r="U137" i="23"/>
  <c r="AC137" i="23"/>
  <c r="AD137" i="23"/>
  <c r="AH137" i="23"/>
  <c r="B138" i="23"/>
  <c r="F138" i="23"/>
  <c r="K138" i="23"/>
  <c r="L138" i="23"/>
  <c r="M138" i="23"/>
  <c r="N138" i="23"/>
  <c r="O138" i="23"/>
  <c r="U138" i="23"/>
  <c r="AC138" i="23"/>
  <c r="AD138" i="23"/>
  <c r="AH138" i="23"/>
  <c r="B139" i="23"/>
  <c r="F139" i="23"/>
  <c r="K139" i="23"/>
  <c r="L139" i="23"/>
  <c r="M139" i="23"/>
  <c r="N139" i="23"/>
  <c r="O139" i="23"/>
  <c r="U139" i="23"/>
  <c r="AC139" i="23"/>
  <c r="AD139" i="23"/>
  <c r="AH139" i="23"/>
  <c r="B140" i="23"/>
  <c r="F140" i="23"/>
  <c r="K140" i="23"/>
  <c r="L140" i="23"/>
  <c r="M140" i="23"/>
  <c r="N140" i="23"/>
  <c r="O140" i="23"/>
  <c r="U140" i="23"/>
  <c r="AC140" i="23"/>
  <c r="AD140" i="23"/>
  <c r="AH140" i="23"/>
  <c r="B141" i="23"/>
  <c r="F141" i="23"/>
  <c r="K141" i="23"/>
  <c r="L141" i="23"/>
  <c r="M141" i="23"/>
  <c r="N141" i="23"/>
  <c r="O141" i="23"/>
  <c r="U141" i="23"/>
  <c r="AC141" i="23"/>
  <c r="AD141" i="23"/>
  <c r="AH141" i="23"/>
  <c r="B142" i="23"/>
  <c r="F142" i="23"/>
  <c r="K142" i="23"/>
  <c r="L142" i="23"/>
  <c r="M142" i="23"/>
  <c r="N142" i="23"/>
  <c r="O142" i="23"/>
  <c r="U142" i="23"/>
  <c r="AC142" i="23"/>
  <c r="AD142" i="23"/>
  <c r="AH142" i="23"/>
  <c r="B143" i="23"/>
  <c r="F143" i="23"/>
  <c r="K143" i="23"/>
  <c r="L143" i="23"/>
  <c r="M143" i="23"/>
  <c r="N143" i="23"/>
  <c r="O143" i="23"/>
  <c r="U143" i="23"/>
  <c r="AC143" i="23"/>
  <c r="AD143" i="23"/>
  <c r="AH143" i="23"/>
  <c r="B144" i="23"/>
  <c r="F144" i="23"/>
  <c r="K144" i="23"/>
  <c r="L144" i="23"/>
  <c r="M144" i="23"/>
  <c r="N144" i="23"/>
  <c r="O144" i="23"/>
  <c r="U144" i="23"/>
  <c r="AC144" i="23"/>
  <c r="AD144" i="23"/>
  <c r="AH144" i="23"/>
  <c r="B145" i="23"/>
  <c r="F145" i="23"/>
  <c r="K145" i="23"/>
  <c r="L145" i="23"/>
  <c r="M145" i="23"/>
  <c r="N145" i="23"/>
  <c r="O145" i="23"/>
  <c r="U145" i="23"/>
  <c r="AC145" i="23"/>
  <c r="AD145" i="23"/>
  <c r="AH145" i="23"/>
  <c r="B146" i="23"/>
  <c r="F146" i="23"/>
  <c r="K146" i="23"/>
  <c r="L146" i="23"/>
  <c r="M146" i="23"/>
  <c r="N146" i="23"/>
  <c r="O146" i="23"/>
  <c r="U146" i="23"/>
  <c r="AC146" i="23"/>
  <c r="AD146" i="23"/>
  <c r="AH146" i="23"/>
  <c r="B147" i="23"/>
  <c r="F147" i="23"/>
  <c r="K147" i="23"/>
  <c r="L147" i="23"/>
  <c r="M147" i="23"/>
  <c r="N147" i="23"/>
  <c r="O147" i="23"/>
  <c r="U147" i="23"/>
  <c r="AC147" i="23"/>
  <c r="AD147" i="23"/>
  <c r="AH147" i="23"/>
  <c r="B148" i="23"/>
  <c r="F148" i="23"/>
  <c r="K148" i="23"/>
  <c r="L148" i="23"/>
  <c r="M148" i="23"/>
  <c r="N148" i="23"/>
  <c r="O148" i="23"/>
  <c r="U148" i="23"/>
  <c r="AC148" i="23"/>
  <c r="AD148" i="23"/>
  <c r="AH148" i="23"/>
  <c r="B149" i="23"/>
  <c r="F149" i="23"/>
  <c r="K149" i="23"/>
  <c r="L149" i="23"/>
  <c r="M149" i="23"/>
  <c r="N149" i="23"/>
  <c r="O149" i="23"/>
  <c r="U149" i="23"/>
  <c r="AC149" i="23"/>
  <c r="AD149" i="23"/>
  <c r="AH149" i="23"/>
  <c r="B150" i="23"/>
  <c r="F150" i="23"/>
  <c r="K150" i="23"/>
  <c r="L150" i="23"/>
  <c r="M150" i="23"/>
  <c r="N150" i="23"/>
  <c r="O150" i="23"/>
  <c r="U150" i="23"/>
  <c r="AC150" i="23"/>
  <c r="AD150" i="23"/>
  <c r="AH150" i="23"/>
  <c r="B151" i="23"/>
  <c r="F151" i="23"/>
  <c r="K151" i="23"/>
  <c r="L151" i="23"/>
  <c r="M151" i="23"/>
  <c r="N151" i="23"/>
  <c r="O151" i="23"/>
  <c r="U151" i="23"/>
  <c r="AC151" i="23"/>
  <c r="AD151" i="23"/>
  <c r="AH151" i="23"/>
  <c r="B152" i="23"/>
  <c r="F152" i="23"/>
  <c r="K152" i="23"/>
  <c r="L152" i="23"/>
  <c r="M152" i="23"/>
  <c r="N152" i="23"/>
  <c r="O152" i="23"/>
  <c r="U152" i="23"/>
  <c r="AC152" i="23"/>
  <c r="AD152" i="23"/>
  <c r="AH152" i="23"/>
  <c r="B153" i="23"/>
  <c r="F153" i="23"/>
  <c r="K153" i="23"/>
  <c r="L153" i="23"/>
  <c r="M153" i="23"/>
  <c r="N153" i="23"/>
  <c r="O153" i="23"/>
  <c r="U153" i="23"/>
  <c r="AC153" i="23"/>
  <c r="AD153" i="23"/>
  <c r="AH153" i="23"/>
  <c r="B154" i="23"/>
  <c r="F154" i="23"/>
  <c r="K154" i="23"/>
  <c r="L154" i="23"/>
  <c r="M154" i="23"/>
  <c r="N154" i="23"/>
  <c r="O154" i="23"/>
  <c r="U154" i="23"/>
  <c r="AC154" i="23"/>
  <c r="AD154" i="23"/>
  <c r="AH154" i="23"/>
  <c r="B155" i="23"/>
  <c r="F155" i="23"/>
  <c r="K155" i="23"/>
  <c r="L155" i="23"/>
  <c r="M155" i="23"/>
  <c r="N155" i="23"/>
  <c r="O155" i="23"/>
  <c r="U155" i="23"/>
  <c r="AC155" i="23"/>
  <c r="AD155" i="23"/>
  <c r="AH155" i="23"/>
  <c r="B156" i="23"/>
  <c r="F156" i="23"/>
  <c r="K156" i="23"/>
  <c r="L156" i="23"/>
  <c r="M156" i="23"/>
  <c r="N156" i="23"/>
  <c r="O156" i="23"/>
  <c r="U156" i="23"/>
  <c r="AC156" i="23"/>
  <c r="AD156" i="23"/>
  <c r="AH156" i="23"/>
  <c r="B157" i="23"/>
  <c r="F157" i="23"/>
  <c r="K157" i="23"/>
  <c r="L157" i="23"/>
  <c r="M157" i="23"/>
  <c r="N157" i="23"/>
  <c r="O157" i="23"/>
  <c r="U157" i="23"/>
  <c r="AC157" i="23"/>
  <c r="AD157" i="23"/>
  <c r="AH157" i="23"/>
  <c r="B158" i="23"/>
  <c r="F158" i="23"/>
  <c r="K158" i="23"/>
  <c r="L158" i="23"/>
  <c r="M158" i="23"/>
  <c r="N158" i="23"/>
  <c r="O158" i="23"/>
  <c r="U158" i="23"/>
  <c r="AC158" i="23"/>
  <c r="AD158" i="23"/>
  <c r="AH158" i="23"/>
  <c r="B159" i="23"/>
  <c r="F159" i="23"/>
  <c r="K159" i="23"/>
  <c r="L159" i="23"/>
  <c r="M159" i="23"/>
  <c r="N159" i="23"/>
  <c r="O159" i="23"/>
  <c r="U159" i="23"/>
  <c r="AC159" i="23"/>
  <c r="AD159" i="23"/>
  <c r="AH159" i="23"/>
  <c r="B160" i="23"/>
  <c r="F160" i="23"/>
  <c r="K160" i="23"/>
  <c r="L160" i="23"/>
  <c r="M160" i="23"/>
  <c r="N160" i="23"/>
  <c r="O160" i="23"/>
  <c r="U160" i="23"/>
  <c r="AC160" i="23"/>
  <c r="AD160" i="23"/>
  <c r="AH160" i="23"/>
  <c r="B161" i="23"/>
  <c r="F161" i="23"/>
  <c r="K161" i="23"/>
  <c r="L161" i="23"/>
  <c r="M161" i="23"/>
  <c r="N161" i="23"/>
  <c r="O161" i="23"/>
  <c r="U161" i="23"/>
  <c r="AC161" i="23"/>
  <c r="AD161" i="23"/>
  <c r="AH161" i="23"/>
  <c r="B162" i="23"/>
  <c r="F162" i="23"/>
  <c r="K162" i="23"/>
  <c r="L162" i="23"/>
  <c r="M162" i="23"/>
  <c r="N162" i="23"/>
  <c r="O162" i="23"/>
  <c r="U162" i="23"/>
  <c r="AC162" i="23"/>
  <c r="AD162" i="23"/>
  <c r="AH162" i="23"/>
  <c r="B163" i="23"/>
  <c r="F163" i="23"/>
  <c r="K163" i="23"/>
  <c r="L163" i="23"/>
  <c r="M163" i="23"/>
  <c r="N163" i="23"/>
  <c r="O163" i="23"/>
  <c r="U163" i="23"/>
  <c r="AC163" i="23"/>
  <c r="AD163" i="23"/>
  <c r="AH163" i="23"/>
  <c r="B164" i="23"/>
  <c r="F164" i="23"/>
  <c r="K164" i="23"/>
  <c r="L164" i="23"/>
  <c r="M164" i="23"/>
  <c r="N164" i="23"/>
  <c r="O164" i="23"/>
  <c r="U164" i="23"/>
  <c r="AC164" i="23"/>
  <c r="AD164" i="23"/>
  <c r="AH164" i="23"/>
  <c r="B165" i="23"/>
  <c r="F165" i="23"/>
  <c r="K165" i="23"/>
  <c r="L165" i="23"/>
  <c r="M165" i="23"/>
  <c r="N165" i="23"/>
  <c r="O165" i="23"/>
  <c r="U165" i="23"/>
  <c r="AC165" i="23"/>
  <c r="AD165" i="23"/>
  <c r="AH165" i="23"/>
  <c r="B166" i="23"/>
  <c r="F166" i="23"/>
  <c r="K166" i="23"/>
  <c r="L166" i="23"/>
  <c r="M166" i="23"/>
  <c r="N166" i="23"/>
  <c r="O166" i="23"/>
  <c r="U166" i="23"/>
  <c r="AC166" i="23"/>
  <c r="AD166" i="23"/>
  <c r="AH166" i="23"/>
  <c r="B167" i="23"/>
  <c r="F167" i="23"/>
  <c r="K167" i="23"/>
  <c r="L167" i="23"/>
  <c r="M167" i="23"/>
  <c r="N167" i="23"/>
  <c r="O167" i="23"/>
  <c r="U167" i="23"/>
  <c r="AC167" i="23"/>
  <c r="AD167" i="23"/>
  <c r="AH167" i="23"/>
  <c r="B168" i="23"/>
  <c r="F168" i="23"/>
  <c r="K168" i="23"/>
  <c r="L168" i="23"/>
  <c r="M168" i="23"/>
  <c r="N168" i="23"/>
  <c r="O168" i="23"/>
  <c r="U168" i="23"/>
  <c r="AC168" i="23"/>
  <c r="AD168" i="23"/>
  <c r="AH168" i="23"/>
  <c r="B169" i="23"/>
  <c r="F169" i="23"/>
  <c r="K169" i="23"/>
  <c r="L169" i="23"/>
  <c r="M169" i="23"/>
  <c r="N169" i="23"/>
  <c r="O169" i="23"/>
  <c r="U169" i="23"/>
  <c r="AC169" i="23"/>
  <c r="AD169" i="23"/>
  <c r="AH169" i="23"/>
  <c r="B170" i="23"/>
  <c r="F170" i="23"/>
  <c r="K170" i="23"/>
  <c r="L170" i="23"/>
  <c r="M170" i="23"/>
  <c r="N170" i="23"/>
  <c r="O170" i="23"/>
  <c r="U170" i="23"/>
  <c r="AC170" i="23"/>
  <c r="AD170" i="23"/>
  <c r="AH170" i="23"/>
  <c r="B171" i="23"/>
  <c r="F171" i="23"/>
  <c r="K171" i="23"/>
  <c r="L171" i="23"/>
  <c r="M171" i="23"/>
  <c r="N171" i="23"/>
  <c r="O171" i="23"/>
  <c r="U171" i="23"/>
  <c r="AC171" i="23"/>
  <c r="AD171" i="23"/>
  <c r="AH171" i="23"/>
  <c r="B172" i="23"/>
  <c r="F172" i="23"/>
  <c r="K172" i="23"/>
  <c r="L172" i="23"/>
  <c r="M172" i="23"/>
  <c r="N172" i="23"/>
  <c r="O172" i="23"/>
  <c r="U172" i="23"/>
  <c r="AC172" i="23"/>
  <c r="AD172" i="23"/>
  <c r="AH172" i="23"/>
  <c r="B173" i="23"/>
  <c r="F173" i="23"/>
  <c r="K173" i="23"/>
  <c r="L173" i="23"/>
  <c r="M173" i="23"/>
  <c r="N173" i="23"/>
  <c r="O173" i="23"/>
  <c r="U173" i="23"/>
  <c r="AC173" i="23"/>
  <c r="AD173" i="23"/>
  <c r="AH173" i="23"/>
  <c r="C4" i="13"/>
  <c r="D4" i="13"/>
  <c r="E4" i="13"/>
  <c r="F4" i="13"/>
  <c r="G4" i="13"/>
  <c r="H4" i="13"/>
  <c r="I4" i="13"/>
  <c r="B5" i="13"/>
  <c r="C5" i="13"/>
  <c r="D5" i="13"/>
  <c r="E5" i="13"/>
  <c r="F5" i="13"/>
  <c r="G5" i="13"/>
  <c r="H5" i="13"/>
  <c r="I5" i="13"/>
  <c r="J5" i="13"/>
  <c r="B6" i="13"/>
  <c r="C6" i="13"/>
  <c r="D6" i="13"/>
  <c r="E6" i="13"/>
  <c r="F6" i="13"/>
  <c r="G6" i="13"/>
  <c r="H6" i="13"/>
  <c r="I6" i="13"/>
  <c r="J6" i="13"/>
  <c r="M6" i="13"/>
  <c r="X6" i="13"/>
  <c r="B7" i="13"/>
  <c r="C7" i="13"/>
  <c r="D7" i="13"/>
  <c r="E7" i="13"/>
  <c r="F7" i="13"/>
  <c r="G7" i="13"/>
  <c r="H7" i="13"/>
  <c r="I7" i="13"/>
  <c r="J7" i="13"/>
  <c r="M7" i="13"/>
  <c r="X7" i="13"/>
  <c r="B8" i="13"/>
  <c r="C8" i="13"/>
  <c r="D8" i="13"/>
  <c r="E8" i="13"/>
  <c r="F8" i="13"/>
  <c r="G8" i="13"/>
  <c r="H8" i="13"/>
  <c r="I8" i="13"/>
  <c r="J8" i="13"/>
  <c r="M8" i="13"/>
  <c r="N8" i="13"/>
  <c r="X8" i="13"/>
  <c r="B9" i="13"/>
  <c r="C9" i="13"/>
  <c r="D9" i="13"/>
  <c r="E9" i="13"/>
  <c r="F9" i="13"/>
  <c r="G9" i="13"/>
  <c r="H9" i="13"/>
  <c r="I9" i="13"/>
  <c r="J9" i="13"/>
  <c r="M9" i="13"/>
  <c r="N9" i="13"/>
  <c r="X9" i="13"/>
  <c r="B10" i="13"/>
  <c r="C10" i="13"/>
  <c r="D10" i="13"/>
  <c r="E10" i="13"/>
  <c r="F10" i="13"/>
  <c r="G10" i="13"/>
  <c r="H10" i="13"/>
  <c r="I10" i="13"/>
  <c r="J10" i="13"/>
  <c r="M10" i="13"/>
  <c r="N10" i="13"/>
  <c r="B11" i="13"/>
  <c r="C11" i="13"/>
  <c r="D11" i="13"/>
  <c r="E11" i="13"/>
  <c r="F11" i="13"/>
  <c r="G11" i="13"/>
  <c r="H11" i="13"/>
  <c r="I11" i="13"/>
  <c r="J11" i="13"/>
  <c r="M11" i="13"/>
  <c r="N11" i="13"/>
  <c r="B12" i="13"/>
  <c r="C12" i="13"/>
  <c r="D12" i="13"/>
  <c r="E12" i="13"/>
  <c r="F12" i="13"/>
  <c r="G12" i="13"/>
  <c r="H12" i="13"/>
  <c r="I12" i="13"/>
  <c r="J12" i="13"/>
  <c r="M12" i="13"/>
  <c r="N12" i="13"/>
  <c r="B13" i="13"/>
  <c r="C13" i="13"/>
  <c r="D13" i="13"/>
  <c r="E13" i="13"/>
  <c r="F13" i="13"/>
  <c r="G13" i="13"/>
  <c r="H13" i="13"/>
  <c r="I13" i="13"/>
  <c r="J13" i="13"/>
  <c r="M13" i="13"/>
  <c r="N13" i="13"/>
  <c r="B14" i="13"/>
  <c r="C14" i="13"/>
  <c r="D14" i="13"/>
  <c r="E14" i="13"/>
  <c r="F14" i="13"/>
  <c r="G14" i="13"/>
  <c r="H14" i="13"/>
  <c r="I14" i="13"/>
  <c r="J14" i="13"/>
  <c r="M14" i="13"/>
  <c r="N14" i="13"/>
  <c r="B15" i="13"/>
  <c r="C15" i="13"/>
  <c r="D15" i="13"/>
  <c r="E15" i="13"/>
  <c r="F15" i="13"/>
  <c r="G15" i="13"/>
  <c r="H15" i="13"/>
  <c r="I15" i="13"/>
  <c r="J15" i="13"/>
  <c r="M15" i="13"/>
  <c r="N15" i="13"/>
  <c r="B16" i="13"/>
  <c r="C16" i="13"/>
  <c r="D16" i="13"/>
  <c r="E16" i="13"/>
  <c r="F16" i="13"/>
  <c r="G16" i="13"/>
  <c r="H16" i="13"/>
  <c r="I16" i="13"/>
  <c r="J16" i="13"/>
  <c r="M16" i="13"/>
  <c r="N16" i="13"/>
  <c r="B17" i="13"/>
  <c r="C17" i="13"/>
  <c r="D17" i="13"/>
  <c r="E17" i="13"/>
  <c r="F17" i="13"/>
  <c r="G17" i="13"/>
  <c r="H17" i="13"/>
  <c r="I17" i="13"/>
  <c r="J17" i="13"/>
  <c r="M17" i="13"/>
  <c r="N17" i="13"/>
  <c r="B18" i="13"/>
  <c r="C18" i="13"/>
  <c r="D18" i="13"/>
  <c r="E18" i="13"/>
  <c r="F18" i="13"/>
  <c r="G18" i="13"/>
  <c r="H18" i="13"/>
  <c r="I18" i="13"/>
  <c r="J18" i="13"/>
  <c r="M18" i="13"/>
  <c r="N18" i="13"/>
  <c r="B19" i="13"/>
  <c r="C19" i="13"/>
  <c r="D19" i="13"/>
  <c r="E19" i="13"/>
  <c r="F19" i="13"/>
  <c r="G19" i="13"/>
  <c r="H19" i="13"/>
  <c r="I19" i="13"/>
  <c r="J19" i="13"/>
  <c r="M19" i="13"/>
  <c r="N19" i="13"/>
  <c r="B20" i="13"/>
  <c r="C20" i="13"/>
  <c r="D20" i="13"/>
  <c r="E20" i="13"/>
  <c r="F20" i="13"/>
  <c r="G20" i="13"/>
  <c r="H20" i="13"/>
  <c r="I20" i="13"/>
  <c r="J20" i="13"/>
  <c r="M20" i="13"/>
  <c r="N20" i="13"/>
  <c r="B21" i="13"/>
  <c r="C21" i="13"/>
  <c r="D21" i="13"/>
  <c r="E21" i="13"/>
  <c r="F21" i="13"/>
  <c r="G21" i="13"/>
  <c r="H21" i="13"/>
  <c r="I21" i="13"/>
  <c r="J21" i="13"/>
  <c r="M21" i="13"/>
  <c r="N21" i="13"/>
  <c r="B22" i="13"/>
  <c r="C22" i="13"/>
  <c r="D22" i="13"/>
  <c r="E22" i="13"/>
  <c r="F22" i="13"/>
  <c r="G22" i="13"/>
  <c r="H22" i="13"/>
  <c r="I22" i="13"/>
  <c r="J22" i="13"/>
  <c r="M22" i="13"/>
  <c r="N22" i="13"/>
  <c r="B23" i="13"/>
  <c r="C23" i="13"/>
  <c r="D23" i="13"/>
  <c r="E23" i="13"/>
  <c r="F23" i="13"/>
  <c r="G23" i="13"/>
  <c r="H23" i="13"/>
  <c r="I23" i="13"/>
  <c r="J23" i="13"/>
  <c r="M23" i="13"/>
  <c r="N23" i="13"/>
  <c r="B24" i="13"/>
  <c r="C24" i="13"/>
  <c r="D24" i="13"/>
  <c r="E24" i="13"/>
  <c r="F24" i="13"/>
  <c r="G24" i="13"/>
  <c r="H24" i="13"/>
  <c r="I24" i="13"/>
  <c r="J24" i="13"/>
  <c r="M24" i="13"/>
  <c r="N24" i="13"/>
  <c r="B25" i="13"/>
  <c r="C25" i="13"/>
  <c r="D25" i="13"/>
  <c r="E25" i="13"/>
  <c r="F25" i="13"/>
  <c r="G25" i="13"/>
  <c r="H25" i="13"/>
  <c r="I25" i="13"/>
  <c r="J25" i="13"/>
  <c r="M25" i="13"/>
  <c r="N25" i="13"/>
  <c r="B26" i="13"/>
  <c r="C26" i="13"/>
  <c r="D26" i="13"/>
  <c r="E26" i="13"/>
  <c r="F26" i="13"/>
  <c r="G26" i="13"/>
  <c r="H26" i="13"/>
  <c r="I26" i="13"/>
  <c r="J26" i="13"/>
  <c r="M26" i="13"/>
  <c r="N26" i="13"/>
  <c r="B27" i="13"/>
  <c r="C27" i="13"/>
  <c r="D27" i="13"/>
  <c r="E27" i="13"/>
  <c r="F27" i="13"/>
  <c r="G27" i="13"/>
  <c r="H27" i="13"/>
  <c r="I27" i="13"/>
  <c r="J27" i="13"/>
  <c r="M27" i="13"/>
  <c r="N27" i="13"/>
  <c r="B28" i="13"/>
  <c r="C28" i="13"/>
  <c r="D28" i="13"/>
  <c r="E28" i="13"/>
  <c r="F28" i="13"/>
  <c r="G28" i="13"/>
  <c r="H28" i="13"/>
  <c r="I28" i="13"/>
  <c r="J28" i="13"/>
  <c r="M28" i="13"/>
  <c r="N28" i="13"/>
  <c r="B29" i="13"/>
  <c r="C29" i="13"/>
  <c r="D29" i="13"/>
  <c r="E29" i="13"/>
  <c r="F29" i="13"/>
  <c r="G29" i="13"/>
  <c r="H29" i="13"/>
  <c r="I29" i="13"/>
  <c r="J29" i="13"/>
  <c r="M29" i="13"/>
  <c r="N29" i="13"/>
  <c r="B30" i="13"/>
  <c r="C30" i="13"/>
  <c r="D30" i="13"/>
  <c r="E30" i="13"/>
  <c r="F30" i="13"/>
  <c r="G30" i="13"/>
  <c r="H30" i="13"/>
  <c r="I30" i="13"/>
  <c r="J30" i="13"/>
  <c r="M30" i="13"/>
  <c r="N30" i="13"/>
  <c r="C31" i="13"/>
  <c r="D31" i="13"/>
  <c r="E31" i="13"/>
  <c r="F31" i="13"/>
  <c r="G31" i="13"/>
  <c r="H31" i="13"/>
  <c r="I31" i="13"/>
  <c r="J31" i="13"/>
  <c r="M31" i="13"/>
  <c r="N31" i="13"/>
  <c r="M32" i="13"/>
  <c r="N32" i="13"/>
  <c r="M33" i="13"/>
  <c r="N33" i="13"/>
  <c r="M34" i="13"/>
  <c r="N34" i="13"/>
  <c r="C35" i="13"/>
  <c r="D35" i="13"/>
  <c r="E35" i="13"/>
  <c r="F35" i="13"/>
  <c r="G35" i="13"/>
  <c r="M35" i="13"/>
  <c r="N35" i="13"/>
  <c r="B36" i="13"/>
  <c r="C36" i="13"/>
  <c r="D36" i="13"/>
  <c r="E36" i="13"/>
  <c r="F36" i="13"/>
  <c r="G36" i="13"/>
  <c r="H36" i="13"/>
  <c r="I36" i="13"/>
  <c r="M36" i="13"/>
  <c r="N36" i="13"/>
  <c r="B37" i="13"/>
  <c r="C37" i="13"/>
  <c r="D37" i="13"/>
  <c r="E37" i="13"/>
  <c r="F37" i="13"/>
  <c r="G37" i="13"/>
  <c r="H37" i="13"/>
  <c r="I37" i="13"/>
  <c r="M37" i="13"/>
  <c r="N37" i="13"/>
  <c r="B38" i="13"/>
  <c r="C38" i="13"/>
  <c r="D38" i="13"/>
  <c r="E38" i="13"/>
  <c r="F38" i="13"/>
  <c r="G38" i="13"/>
  <c r="H38" i="13"/>
  <c r="I38" i="13"/>
  <c r="M38" i="13"/>
  <c r="N38" i="13"/>
  <c r="B39" i="13"/>
  <c r="C39" i="13"/>
  <c r="D39" i="13"/>
  <c r="E39" i="13"/>
  <c r="F39" i="13"/>
  <c r="G39" i="13"/>
  <c r="H39" i="13"/>
  <c r="I39" i="13"/>
  <c r="M39" i="13"/>
  <c r="N39" i="13"/>
  <c r="B40" i="13"/>
  <c r="C40" i="13"/>
  <c r="D40" i="13"/>
  <c r="E40" i="13"/>
  <c r="F40" i="13"/>
  <c r="G40" i="13"/>
  <c r="H40" i="13"/>
  <c r="I40" i="13"/>
  <c r="M40" i="13"/>
  <c r="N40" i="13"/>
  <c r="B41" i="13"/>
  <c r="C41" i="13"/>
  <c r="D41" i="13"/>
  <c r="E41" i="13"/>
  <c r="F41" i="13"/>
  <c r="G41" i="13"/>
  <c r="H41" i="13"/>
  <c r="I41" i="13"/>
  <c r="M41" i="13"/>
  <c r="N41" i="13"/>
  <c r="B42" i="13"/>
  <c r="C42" i="13"/>
  <c r="D42" i="13"/>
  <c r="E42" i="13"/>
  <c r="F42" i="13"/>
  <c r="G42" i="13"/>
  <c r="H42" i="13"/>
  <c r="I42" i="13"/>
  <c r="N42" i="13"/>
  <c r="B43" i="13"/>
  <c r="C43" i="13"/>
  <c r="D43" i="13"/>
  <c r="E43" i="13"/>
  <c r="F43" i="13"/>
  <c r="G43" i="13"/>
  <c r="H43" i="13"/>
  <c r="I43" i="13"/>
  <c r="B44" i="13"/>
  <c r="C44" i="13"/>
  <c r="D44" i="13"/>
  <c r="E44" i="13"/>
  <c r="F44" i="13"/>
  <c r="G44" i="13"/>
  <c r="H44" i="13"/>
  <c r="I44" i="13"/>
  <c r="B45" i="13"/>
  <c r="C45" i="13"/>
  <c r="D45" i="13"/>
  <c r="E45" i="13"/>
  <c r="F45" i="13"/>
  <c r="G45" i="13"/>
  <c r="H45" i="13"/>
  <c r="I45" i="13"/>
  <c r="B46" i="13"/>
  <c r="C46" i="13"/>
  <c r="D46" i="13"/>
  <c r="E46" i="13"/>
  <c r="F46" i="13"/>
  <c r="G46" i="13"/>
  <c r="H46" i="13"/>
  <c r="I46" i="13"/>
  <c r="B47" i="13"/>
  <c r="C47" i="13"/>
  <c r="D47" i="13"/>
  <c r="E47" i="13"/>
  <c r="F47" i="13"/>
  <c r="G47" i="13"/>
  <c r="H47" i="13"/>
  <c r="I47" i="13"/>
  <c r="B48" i="13"/>
  <c r="C48" i="13"/>
  <c r="D48" i="13"/>
  <c r="E48" i="13"/>
  <c r="F48" i="13"/>
  <c r="G48" i="13"/>
  <c r="H48" i="13"/>
  <c r="I48" i="13"/>
  <c r="B49" i="13"/>
  <c r="C49" i="13"/>
  <c r="D49" i="13"/>
  <c r="E49" i="13"/>
  <c r="F49" i="13"/>
  <c r="G49" i="13"/>
  <c r="H49" i="13"/>
  <c r="I49" i="13"/>
  <c r="B50" i="13"/>
  <c r="C50" i="13"/>
  <c r="D50" i="13"/>
  <c r="E50" i="13"/>
  <c r="F50" i="13"/>
  <c r="G50" i="13"/>
  <c r="H50" i="13"/>
  <c r="I50" i="13"/>
  <c r="B51" i="13"/>
  <c r="C51" i="13"/>
  <c r="D51" i="13"/>
  <c r="E51" i="13"/>
  <c r="F51" i="13"/>
  <c r="G51" i="13"/>
  <c r="H51" i="13"/>
  <c r="I51" i="13"/>
  <c r="B52" i="13"/>
  <c r="C52" i="13"/>
  <c r="D52" i="13"/>
  <c r="E52" i="13"/>
  <c r="F52" i="13"/>
  <c r="G52" i="13"/>
  <c r="H52" i="13"/>
  <c r="I52" i="13"/>
  <c r="B53" i="13"/>
  <c r="C53" i="13"/>
  <c r="D53" i="13"/>
  <c r="E53" i="13"/>
  <c r="F53" i="13"/>
  <c r="G53" i="13"/>
  <c r="H53" i="13"/>
  <c r="I53" i="13"/>
  <c r="B54" i="13"/>
  <c r="C54" i="13"/>
  <c r="D54" i="13"/>
  <c r="E54" i="13"/>
  <c r="F54" i="13"/>
  <c r="G54" i="13"/>
  <c r="H54" i="13"/>
  <c r="I54" i="13"/>
  <c r="B55" i="13"/>
  <c r="C55" i="13"/>
  <c r="D55" i="13"/>
  <c r="E55" i="13"/>
  <c r="F55" i="13"/>
  <c r="G55" i="13"/>
  <c r="H55" i="13"/>
  <c r="I55" i="13"/>
  <c r="B56" i="13"/>
  <c r="C56" i="13"/>
  <c r="D56" i="13"/>
  <c r="E56" i="13"/>
  <c r="F56" i="13"/>
  <c r="G56" i="13"/>
  <c r="H56" i="13"/>
  <c r="I56" i="13"/>
  <c r="B57" i="13"/>
  <c r="C57" i="13"/>
  <c r="D57" i="13"/>
  <c r="E57" i="13"/>
  <c r="F57" i="13"/>
  <c r="G57" i="13"/>
  <c r="H57" i="13"/>
  <c r="I57" i="13"/>
  <c r="B58" i="13"/>
  <c r="C58" i="13"/>
  <c r="D58" i="13"/>
  <c r="E58" i="13"/>
  <c r="F58" i="13"/>
  <c r="G58" i="13"/>
  <c r="H58" i="13"/>
  <c r="I58" i="13"/>
  <c r="B59" i="13"/>
  <c r="C59" i="13"/>
  <c r="D59" i="13"/>
  <c r="E59" i="13"/>
  <c r="F59" i="13"/>
  <c r="G59" i="13"/>
  <c r="H59" i="13"/>
  <c r="I59" i="13"/>
  <c r="B60" i="13"/>
  <c r="C60" i="13"/>
  <c r="D60" i="13"/>
  <c r="E60" i="13"/>
  <c r="F60" i="13"/>
  <c r="G60" i="13"/>
  <c r="H60" i="13"/>
  <c r="I60" i="13"/>
  <c r="B61" i="13"/>
  <c r="C61" i="13"/>
  <c r="D61" i="13"/>
  <c r="E61" i="13"/>
  <c r="F61" i="13"/>
  <c r="G61" i="13"/>
  <c r="H61" i="13"/>
  <c r="I61" i="13"/>
  <c r="B62" i="13"/>
  <c r="C62" i="13"/>
  <c r="D62" i="13"/>
  <c r="E62" i="13"/>
  <c r="F62" i="13"/>
  <c r="G62" i="13"/>
  <c r="H62" i="13"/>
  <c r="I62" i="13"/>
  <c r="B63" i="13"/>
  <c r="C63" i="13"/>
  <c r="D63" i="13"/>
  <c r="E63" i="13"/>
  <c r="F63" i="13"/>
  <c r="G63" i="13"/>
  <c r="H63" i="13"/>
  <c r="I63" i="13"/>
  <c r="B64" i="13"/>
  <c r="C64" i="13"/>
  <c r="D64" i="13"/>
  <c r="E64" i="13"/>
  <c r="F64" i="13"/>
  <c r="G64" i="13"/>
  <c r="H64" i="13"/>
  <c r="I64" i="13"/>
  <c r="B65" i="13"/>
  <c r="C65" i="13"/>
  <c r="D65" i="13"/>
  <c r="E65" i="13"/>
  <c r="F65" i="13"/>
  <c r="G65" i="13"/>
  <c r="H65" i="13"/>
  <c r="I65" i="13"/>
  <c r="B66" i="13"/>
  <c r="C66" i="13"/>
  <c r="D66" i="13"/>
  <c r="E66" i="13"/>
  <c r="F66" i="13"/>
  <c r="G66" i="13"/>
  <c r="H66" i="13"/>
  <c r="I66" i="13"/>
  <c r="B67" i="13"/>
  <c r="C67" i="13"/>
  <c r="D67" i="13"/>
  <c r="E67" i="13"/>
  <c r="F67" i="13"/>
  <c r="G67" i="13"/>
  <c r="H67" i="13"/>
  <c r="I67" i="13"/>
  <c r="B68" i="13"/>
  <c r="C68" i="13"/>
  <c r="D68" i="13"/>
  <c r="E68" i="13"/>
  <c r="F68" i="13"/>
  <c r="G68" i="13"/>
  <c r="H68" i="13"/>
  <c r="I68" i="13"/>
  <c r="B69" i="13"/>
  <c r="C69" i="13"/>
  <c r="D69" i="13"/>
  <c r="E69" i="13"/>
  <c r="F69" i="13"/>
  <c r="G69" i="13"/>
  <c r="H69" i="13"/>
  <c r="I69" i="13"/>
  <c r="B70" i="13"/>
  <c r="C70" i="13"/>
  <c r="D70" i="13"/>
  <c r="E70" i="13"/>
  <c r="F70" i="13"/>
  <c r="G70" i="13"/>
  <c r="H70" i="13"/>
  <c r="I70" i="13"/>
  <c r="B71" i="13"/>
  <c r="C71" i="13"/>
  <c r="D71" i="13"/>
  <c r="E71" i="13"/>
  <c r="F71" i="13"/>
  <c r="G71" i="13"/>
  <c r="H71" i="13"/>
  <c r="I71" i="13"/>
  <c r="B72" i="13"/>
  <c r="C72" i="13"/>
  <c r="D72" i="13"/>
  <c r="E72" i="13"/>
  <c r="F72" i="13"/>
  <c r="G72" i="13"/>
  <c r="H72" i="13"/>
  <c r="I72" i="13"/>
  <c r="B73" i="13"/>
  <c r="C73" i="13"/>
  <c r="D73" i="13"/>
  <c r="E73" i="13"/>
  <c r="F73" i="13"/>
  <c r="G73" i="13"/>
  <c r="H73" i="13"/>
  <c r="I73" i="13"/>
  <c r="B74" i="13"/>
  <c r="C74" i="13"/>
  <c r="D74" i="13"/>
  <c r="E74" i="13"/>
  <c r="F74" i="13"/>
  <c r="G74" i="13"/>
  <c r="H74" i="13"/>
  <c r="I74" i="13"/>
  <c r="B75" i="13"/>
  <c r="C75" i="13"/>
  <c r="D75" i="13"/>
  <c r="E75" i="13"/>
  <c r="F75" i="13"/>
  <c r="G75" i="13"/>
  <c r="H75" i="13"/>
  <c r="I75" i="13"/>
  <c r="B76" i="13"/>
  <c r="C76" i="13"/>
  <c r="D76" i="13"/>
  <c r="E76" i="13"/>
  <c r="F76" i="13"/>
  <c r="G76" i="13"/>
  <c r="H76" i="13"/>
  <c r="I76" i="13"/>
  <c r="B77" i="13"/>
  <c r="C77" i="13"/>
  <c r="D77" i="13"/>
  <c r="E77" i="13"/>
  <c r="F77" i="13"/>
  <c r="G77" i="13"/>
  <c r="H77" i="13"/>
  <c r="I77" i="13"/>
  <c r="C78" i="13"/>
  <c r="D78" i="13"/>
  <c r="E78" i="13"/>
  <c r="F78" i="13"/>
  <c r="G78" i="13"/>
  <c r="H78" i="13"/>
  <c r="I78" i="13"/>
  <c r="B83" i="13"/>
  <c r="C83" i="13"/>
  <c r="E83" i="13"/>
  <c r="F83" i="13"/>
  <c r="G83" i="13"/>
  <c r="H83" i="13"/>
  <c r="I83" i="13"/>
  <c r="B84" i="13"/>
  <c r="C84" i="13"/>
  <c r="E84" i="13"/>
  <c r="F84" i="13"/>
  <c r="G84" i="13"/>
  <c r="H84" i="13"/>
  <c r="I84" i="13"/>
  <c r="B85" i="13"/>
  <c r="C85" i="13"/>
  <c r="E85" i="13"/>
  <c r="F85" i="13"/>
  <c r="G85" i="13"/>
  <c r="H85" i="13"/>
  <c r="I85" i="13"/>
  <c r="B86" i="13"/>
  <c r="C86" i="13"/>
  <c r="E86" i="13"/>
  <c r="F86" i="13"/>
  <c r="G86" i="13"/>
  <c r="H86" i="13"/>
  <c r="I86" i="13"/>
  <c r="B87" i="13"/>
  <c r="C87" i="13"/>
  <c r="E87" i="13"/>
  <c r="F87" i="13"/>
  <c r="G87" i="13"/>
  <c r="H87" i="13"/>
  <c r="I87" i="13"/>
  <c r="B88" i="13"/>
  <c r="C88" i="13"/>
  <c r="E88" i="13"/>
  <c r="F88" i="13"/>
  <c r="G88" i="13"/>
  <c r="H88" i="13"/>
  <c r="I88" i="13"/>
  <c r="B89" i="13"/>
  <c r="C89" i="13"/>
  <c r="E89" i="13"/>
  <c r="F89" i="13"/>
  <c r="G89" i="13"/>
  <c r="H89" i="13"/>
  <c r="I89" i="13"/>
  <c r="B90" i="13"/>
  <c r="C90" i="13"/>
  <c r="E90" i="13"/>
  <c r="F90" i="13"/>
  <c r="G90" i="13"/>
  <c r="H90" i="13"/>
  <c r="I90" i="13"/>
  <c r="B91" i="13"/>
  <c r="C91" i="13"/>
  <c r="E91" i="13"/>
  <c r="F91" i="13"/>
  <c r="G91" i="13"/>
  <c r="H91" i="13"/>
  <c r="I91" i="13"/>
  <c r="B92" i="13"/>
  <c r="C92" i="13"/>
  <c r="E92" i="13"/>
  <c r="F92" i="13"/>
  <c r="G92" i="13"/>
  <c r="H92" i="13"/>
  <c r="I92" i="13"/>
  <c r="B93" i="13"/>
  <c r="C93" i="13"/>
  <c r="E93" i="13"/>
  <c r="F93" i="13"/>
  <c r="G93" i="13"/>
  <c r="H93" i="13"/>
  <c r="I93" i="13"/>
  <c r="B94" i="13"/>
  <c r="C94" i="13"/>
  <c r="E94" i="13"/>
  <c r="F94" i="13"/>
  <c r="G94" i="13"/>
  <c r="H94" i="13"/>
  <c r="I94" i="13"/>
  <c r="B95" i="13"/>
  <c r="C95" i="13"/>
  <c r="E95" i="13"/>
  <c r="F95" i="13"/>
  <c r="G95" i="13"/>
  <c r="H95" i="13"/>
  <c r="I95" i="13"/>
  <c r="B96" i="13"/>
  <c r="C96" i="13"/>
  <c r="E96" i="13"/>
  <c r="F96" i="13"/>
  <c r="G96" i="13"/>
  <c r="H96" i="13"/>
  <c r="I96" i="13"/>
  <c r="B97" i="13"/>
  <c r="C97" i="13"/>
  <c r="B98" i="13"/>
  <c r="C98" i="13"/>
  <c r="B99" i="13"/>
  <c r="C99" i="13"/>
  <c r="B100" i="13"/>
  <c r="C100" i="13"/>
  <c r="B101" i="13"/>
  <c r="C101" i="13"/>
  <c r="B102" i="13"/>
  <c r="C102" i="13"/>
  <c r="B103" i="13"/>
  <c r="C103" i="13"/>
  <c r="B104" i="13"/>
  <c r="C104" i="13"/>
  <c r="B105" i="13"/>
  <c r="C105" i="13"/>
  <c r="B106" i="13"/>
  <c r="C106" i="13"/>
  <c r="B107" i="13"/>
  <c r="C107" i="13"/>
  <c r="B108" i="13"/>
  <c r="C108" i="13"/>
  <c r="B109" i="13"/>
  <c r="C109" i="13"/>
  <c r="C110" i="13"/>
  <c r="F110" i="13"/>
  <c r="G110" i="13"/>
  <c r="I110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J11" i="18"/>
  <c r="AK11" i="18"/>
  <c r="AL11" i="18"/>
  <c r="AM11" i="18"/>
  <c r="AO11" i="18"/>
  <c r="AP11" i="18"/>
  <c r="AQ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AL12" i="18"/>
  <c r="AM12" i="18"/>
  <c r="AO12" i="18"/>
  <c r="AP12" i="18"/>
  <c r="AQ12" i="18"/>
  <c r="IU15" i="18"/>
  <c r="B16" i="18"/>
  <c r="AO16" i="18"/>
  <c r="AP16" i="18"/>
  <c r="AQ16" i="18"/>
  <c r="IU16" i="18"/>
  <c r="B17" i="18"/>
  <c r="AO17" i="18"/>
  <c r="AP17" i="18"/>
  <c r="AQ17" i="18"/>
  <c r="IU17" i="18"/>
  <c r="B18" i="18"/>
  <c r="AO18" i="18"/>
  <c r="AP18" i="18"/>
  <c r="AQ18" i="18"/>
  <c r="IU18" i="18"/>
  <c r="B19" i="18"/>
  <c r="AO19" i="18"/>
  <c r="AP19" i="18"/>
  <c r="AQ19" i="18"/>
  <c r="IU19" i="18"/>
  <c r="B20" i="18"/>
  <c r="AO20" i="18"/>
  <c r="AP20" i="18"/>
  <c r="AQ20" i="18"/>
  <c r="IU20" i="18"/>
  <c r="B21" i="18"/>
  <c r="AO21" i="18"/>
  <c r="AP21" i="18"/>
  <c r="AQ21" i="18"/>
  <c r="IU21" i="18"/>
  <c r="B22" i="18"/>
  <c r="AO22" i="18"/>
  <c r="AP22" i="18"/>
  <c r="AQ22" i="18"/>
  <c r="IU22" i="18"/>
  <c r="B23" i="18"/>
  <c r="AO23" i="18"/>
  <c r="AP23" i="18"/>
  <c r="AQ23" i="18"/>
  <c r="IU23" i="18"/>
  <c r="B24" i="18"/>
  <c r="AO24" i="18"/>
  <c r="AP24" i="18"/>
  <c r="AQ24" i="18"/>
  <c r="IU24" i="18"/>
  <c r="B25" i="18"/>
  <c r="AO25" i="18"/>
  <c r="AP25" i="18"/>
  <c r="AQ25" i="18"/>
  <c r="IU25" i="18"/>
  <c r="B26" i="18"/>
  <c r="AO26" i="18"/>
  <c r="AP26" i="18"/>
  <c r="AQ26" i="18"/>
  <c r="IU26" i="18"/>
  <c r="B27" i="18"/>
  <c r="AO27" i="18"/>
  <c r="AP27" i="18"/>
  <c r="AQ27" i="18"/>
  <c r="IU27" i="18"/>
  <c r="B28" i="18"/>
  <c r="AO28" i="18"/>
  <c r="AP28" i="18"/>
  <c r="AQ28" i="18"/>
  <c r="IU28" i="18"/>
  <c r="B29" i="18"/>
  <c r="AO29" i="18"/>
  <c r="AP29" i="18"/>
  <c r="AQ29" i="18"/>
  <c r="IU29" i="18"/>
  <c r="B30" i="18"/>
  <c r="AO30" i="18"/>
  <c r="AP30" i="18"/>
  <c r="AQ30" i="18"/>
  <c r="IU30" i="18"/>
  <c r="B31" i="18"/>
  <c r="AO31" i="18"/>
  <c r="AP31" i="18"/>
  <c r="AQ31" i="18"/>
  <c r="IU31" i="18"/>
  <c r="B32" i="18"/>
  <c r="AO32" i="18"/>
  <c r="AP32" i="18"/>
  <c r="AQ32" i="18"/>
  <c r="IU32" i="18"/>
  <c r="B33" i="18"/>
  <c r="AO33" i="18"/>
  <c r="AP33" i="18"/>
  <c r="AQ33" i="18"/>
  <c r="IU33" i="18"/>
  <c r="B34" i="18"/>
  <c r="AO34" i="18"/>
  <c r="AP34" i="18"/>
  <c r="AQ34" i="18"/>
  <c r="IU34" i="18"/>
  <c r="B35" i="18"/>
  <c r="AO35" i="18"/>
  <c r="AP35" i="18"/>
  <c r="AQ35" i="18"/>
  <c r="IU35" i="18"/>
  <c r="B36" i="18"/>
  <c r="AO36" i="18"/>
  <c r="AP36" i="18"/>
  <c r="AQ36" i="18"/>
  <c r="IU36" i="18"/>
  <c r="B37" i="18"/>
  <c r="AO37" i="18"/>
  <c r="AP37" i="18"/>
  <c r="AQ37" i="18"/>
  <c r="IU37" i="18"/>
  <c r="B38" i="18"/>
  <c r="AO38" i="18"/>
  <c r="AP38" i="18"/>
  <c r="AQ38" i="18"/>
  <c r="IU38" i="18"/>
  <c r="B39" i="18"/>
  <c r="AO39" i="18"/>
  <c r="AP39" i="18"/>
  <c r="AQ39" i="18"/>
  <c r="IU39" i="18"/>
  <c r="B40" i="18"/>
  <c r="AO40" i="18"/>
  <c r="AP40" i="18"/>
  <c r="AQ40" i="18"/>
  <c r="IU40" i="18"/>
  <c r="B41" i="18"/>
  <c r="AO41" i="18"/>
  <c r="AP41" i="18"/>
  <c r="AQ41" i="18"/>
  <c r="IU41" i="18"/>
  <c r="B42" i="18"/>
  <c r="AO42" i="18"/>
  <c r="AP42" i="18"/>
  <c r="AQ42" i="18"/>
  <c r="IU42" i="18"/>
  <c r="B43" i="18"/>
  <c r="AO43" i="18"/>
  <c r="AP43" i="18"/>
  <c r="AQ43" i="18"/>
  <c r="IU43" i="18"/>
  <c r="B44" i="18"/>
  <c r="AO44" i="18"/>
  <c r="AP44" i="18"/>
  <c r="AQ44" i="18"/>
  <c r="IU44" i="18"/>
  <c r="B45" i="18"/>
  <c r="AO45" i="18"/>
  <c r="AP45" i="18"/>
  <c r="AQ45" i="18"/>
  <c r="IU45" i="18"/>
  <c r="B46" i="18"/>
  <c r="AO46" i="18"/>
  <c r="AP46" i="18"/>
  <c r="AQ46" i="18"/>
  <c r="IU46" i="18"/>
  <c r="B47" i="18"/>
  <c r="AO47" i="18"/>
  <c r="AP47" i="18"/>
  <c r="AQ47" i="18"/>
  <c r="IU47" i="18"/>
  <c r="B48" i="18"/>
  <c r="AO48" i="18"/>
  <c r="AP48" i="18"/>
  <c r="AQ48" i="18"/>
  <c r="IU48" i="18"/>
  <c r="B49" i="18"/>
  <c r="AO49" i="18"/>
  <c r="AP49" i="18"/>
  <c r="AQ49" i="18"/>
  <c r="IU49" i="18"/>
  <c r="B50" i="18"/>
  <c r="AO50" i="18"/>
  <c r="AP50" i="18"/>
  <c r="AQ50" i="18"/>
  <c r="IU50" i="18"/>
  <c r="B51" i="18"/>
  <c r="AO51" i="18"/>
  <c r="AP51" i="18"/>
  <c r="AQ51" i="18"/>
  <c r="IU51" i="18"/>
  <c r="B52" i="18"/>
  <c r="AO52" i="18"/>
  <c r="AP52" i="18"/>
  <c r="AQ52" i="18"/>
  <c r="IU52" i="18"/>
  <c r="B53" i="18"/>
  <c r="AO53" i="18"/>
  <c r="AP53" i="18"/>
  <c r="AQ53" i="18"/>
  <c r="IU53" i="18"/>
  <c r="B54" i="18"/>
  <c r="AO54" i="18"/>
  <c r="AP54" i="18"/>
  <c r="AQ54" i="18"/>
  <c r="IU54" i="18"/>
  <c r="B55" i="18"/>
  <c r="AO55" i="18"/>
  <c r="AP55" i="18"/>
  <c r="AQ55" i="18"/>
  <c r="IU55" i="18"/>
  <c r="B56" i="18"/>
  <c r="AO56" i="18"/>
  <c r="AP56" i="18"/>
  <c r="AQ56" i="18"/>
  <c r="IU56" i="18"/>
  <c r="B57" i="18"/>
  <c r="AO57" i="18"/>
  <c r="AP57" i="18"/>
  <c r="AQ57" i="18"/>
  <c r="IU57" i="18"/>
  <c r="B58" i="18"/>
  <c r="AO58" i="18"/>
  <c r="AP58" i="18"/>
  <c r="AQ58" i="18"/>
  <c r="IU58" i="18"/>
  <c r="B59" i="18"/>
  <c r="AO59" i="18"/>
  <c r="AP59" i="18"/>
  <c r="AQ59" i="18"/>
  <c r="IU59" i="18"/>
  <c r="B60" i="18"/>
  <c r="AO60" i="18"/>
  <c r="AP60" i="18"/>
  <c r="AQ60" i="18"/>
  <c r="IU60" i="18"/>
  <c r="B61" i="18"/>
  <c r="AO61" i="18"/>
  <c r="AP61" i="18"/>
  <c r="AQ61" i="18"/>
  <c r="IU61" i="18"/>
  <c r="B62" i="18"/>
  <c r="AO62" i="18"/>
  <c r="AP62" i="18"/>
  <c r="AQ62" i="18"/>
  <c r="IU62" i="18"/>
  <c r="B63" i="18"/>
  <c r="AO63" i="18"/>
  <c r="AP63" i="18"/>
  <c r="AQ63" i="18"/>
  <c r="IU63" i="18"/>
  <c r="B64" i="18"/>
  <c r="AO64" i="18"/>
  <c r="AP64" i="18"/>
  <c r="AQ64" i="18"/>
  <c r="IU64" i="18"/>
  <c r="B65" i="18"/>
  <c r="AO65" i="18"/>
  <c r="AP65" i="18"/>
  <c r="AQ65" i="18"/>
  <c r="IU65" i="18"/>
  <c r="B66" i="18"/>
  <c r="AO66" i="18"/>
  <c r="AP66" i="18"/>
  <c r="AQ66" i="18"/>
  <c r="IU66" i="18"/>
  <c r="B67" i="18"/>
  <c r="AO67" i="18"/>
  <c r="AP67" i="18"/>
  <c r="AQ67" i="18"/>
  <c r="IU67" i="18"/>
  <c r="B68" i="18"/>
  <c r="AO68" i="18"/>
  <c r="AP68" i="18"/>
  <c r="AQ68" i="18"/>
  <c r="IU68" i="18"/>
  <c r="B69" i="18"/>
  <c r="AO69" i="18"/>
  <c r="AP69" i="18"/>
  <c r="AQ69" i="18"/>
  <c r="IU69" i="18"/>
  <c r="B70" i="18"/>
  <c r="AO70" i="18"/>
  <c r="AP70" i="18"/>
  <c r="AQ70" i="18"/>
  <c r="IU70" i="18"/>
  <c r="B71" i="18"/>
  <c r="AO71" i="18"/>
  <c r="AP71" i="18"/>
  <c r="AQ71" i="18"/>
  <c r="IU71" i="18"/>
  <c r="B72" i="18"/>
  <c r="AO72" i="18"/>
  <c r="AP72" i="18"/>
  <c r="AQ72" i="18"/>
  <c r="IU72" i="18"/>
  <c r="B73" i="18"/>
  <c r="AO73" i="18"/>
  <c r="AP73" i="18"/>
  <c r="AQ73" i="18"/>
  <c r="IU73" i="18"/>
  <c r="B74" i="18"/>
  <c r="AO74" i="18"/>
  <c r="AP74" i="18"/>
  <c r="AQ74" i="18"/>
  <c r="IU74" i="18"/>
  <c r="B75" i="18"/>
  <c r="AO75" i="18"/>
  <c r="AP75" i="18"/>
  <c r="AQ75" i="18"/>
  <c r="IU75" i="18"/>
  <c r="B76" i="18"/>
  <c r="AO76" i="18"/>
  <c r="AP76" i="18"/>
  <c r="AQ76" i="18"/>
  <c r="IU76" i="18"/>
  <c r="B77" i="18"/>
  <c r="AO77" i="18"/>
  <c r="AP77" i="18"/>
  <c r="AQ77" i="18"/>
  <c r="IU77" i="18"/>
  <c r="B78" i="18"/>
  <c r="AO78" i="18"/>
  <c r="AP78" i="18"/>
  <c r="AQ78" i="18"/>
  <c r="IU78" i="18"/>
  <c r="B79" i="18"/>
  <c r="AO79" i="18"/>
  <c r="AP79" i="18"/>
  <c r="AQ79" i="18"/>
  <c r="IU79" i="18"/>
  <c r="B80" i="18"/>
  <c r="AO80" i="18"/>
  <c r="AP80" i="18"/>
  <c r="AQ80" i="18"/>
  <c r="IU80" i="18"/>
  <c r="B81" i="18"/>
  <c r="AO81" i="18"/>
  <c r="AP81" i="18"/>
  <c r="AQ81" i="18"/>
  <c r="IU81" i="18"/>
  <c r="B82" i="18"/>
  <c r="AO82" i="18"/>
  <c r="AP82" i="18"/>
  <c r="AQ82" i="18"/>
  <c r="IU82" i="18"/>
  <c r="B83" i="18"/>
  <c r="AO83" i="18"/>
  <c r="AP83" i="18"/>
  <c r="AQ83" i="18"/>
  <c r="IU83" i="18"/>
  <c r="B84" i="18"/>
  <c r="AO84" i="18"/>
  <c r="AP84" i="18"/>
  <c r="AQ84" i="18"/>
  <c r="IU84" i="18"/>
  <c r="B85" i="18"/>
  <c r="AO85" i="18"/>
  <c r="AP85" i="18"/>
  <c r="AQ85" i="18"/>
  <c r="IU85" i="18"/>
  <c r="B86" i="18"/>
  <c r="AO86" i="18"/>
  <c r="AP86" i="18"/>
  <c r="AQ86" i="18"/>
  <c r="IU86" i="18"/>
  <c r="B87" i="18"/>
  <c r="AO87" i="18"/>
  <c r="AP87" i="18"/>
  <c r="AQ87" i="18"/>
  <c r="IU87" i="18"/>
  <c r="B88" i="18"/>
  <c r="AO88" i="18"/>
  <c r="AP88" i="18"/>
  <c r="AQ88" i="18"/>
  <c r="IU88" i="18"/>
  <c r="B89" i="18"/>
  <c r="AO89" i="18"/>
  <c r="AP89" i="18"/>
  <c r="AQ89" i="18"/>
  <c r="IU89" i="18"/>
  <c r="B90" i="18"/>
  <c r="AO90" i="18"/>
  <c r="AP90" i="18"/>
  <c r="AQ90" i="18"/>
  <c r="IU90" i="18"/>
  <c r="B91" i="18"/>
  <c r="AO91" i="18"/>
  <c r="AP91" i="18"/>
  <c r="AQ91" i="18"/>
  <c r="IU91" i="18"/>
  <c r="B92" i="18"/>
  <c r="AO92" i="18"/>
  <c r="AP92" i="18"/>
  <c r="AQ92" i="18"/>
  <c r="IU92" i="18"/>
  <c r="B93" i="18"/>
  <c r="AO93" i="18"/>
  <c r="AP93" i="18"/>
  <c r="AQ93" i="18"/>
  <c r="IU93" i="18"/>
  <c r="B94" i="18"/>
  <c r="AO94" i="18"/>
  <c r="AP94" i="18"/>
  <c r="AQ94" i="18"/>
  <c r="IU94" i="18"/>
  <c r="B95" i="18"/>
  <c r="AO95" i="18"/>
  <c r="AP95" i="18"/>
  <c r="AQ95" i="18"/>
  <c r="IU95" i="18"/>
  <c r="B96" i="18"/>
  <c r="AO96" i="18"/>
  <c r="AP96" i="18"/>
  <c r="AQ96" i="18"/>
  <c r="IU96" i="18"/>
  <c r="B97" i="18"/>
  <c r="AO97" i="18"/>
  <c r="AP97" i="18"/>
  <c r="AQ97" i="18"/>
  <c r="IU97" i="18"/>
  <c r="B98" i="18"/>
  <c r="AO98" i="18"/>
  <c r="AP98" i="18"/>
  <c r="AQ98" i="18"/>
  <c r="IU98" i="18"/>
  <c r="B99" i="18"/>
  <c r="AO99" i="18"/>
  <c r="AP99" i="18"/>
  <c r="AQ99" i="18"/>
  <c r="IU99" i="18"/>
  <c r="B100" i="18"/>
  <c r="AO100" i="18"/>
  <c r="AP100" i="18"/>
  <c r="AQ100" i="18"/>
  <c r="IU100" i="18"/>
  <c r="B101" i="18"/>
  <c r="AO101" i="18"/>
  <c r="AP101" i="18"/>
  <c r="AQ101" i="18"/>
  <c r="IU101" i="18"/>
  <c r="B102" i="18"/>
  <c r="AO102" i="18"/>
  <c r="AP102" i="18"/>
  <c r="AQ102" i="18"/>
  <c r="IU102" i="18"/>
  <c r="B103" i="18"/>
  <c r="AO103" i="18"/>
  <c r="AP103" i="18"/>
  <c r="AQ103" i="18"/>
  <c r="IU103" i="18"/>
  <c r="B104" i="18"/>
  <c r="AO104" i="18"/>
  <c r="AP104" i="18"/>
  <c r="AQ104" i="18"/>
  <c r="IU104" i="18"/>
  <c r="B105" i="18"/>
  <c r="AO105" i="18"/>
  <c r="AP105" i="18"/>
  <c r="AQ105" i="18"/>
  <c r="IU105" i="18"/>
  <c r="B106" i="18"/>
  <c r="AO106" i="18"/>
  <c r="AP106" i="18"/>
  <c r="AQ106" i="18"/>
  <c r="IU106" i="18"/>
  <c r="B107" i="18"/>
  <c r="AO107" i="18"/>
  <c r="AP107" i="18"/>
  <c r="AQ107" i="18"/>
  <c r="IU107" i="18"/>
  <c r="B108" i="18"/>
  <c r="AO108" i="18"/>
  <c r="AP108" i="18"/>
  <c r="AQ108" i="18"/>
  <c r="IU108" i="18"/>
  <c r="B109" i="18"/>
  <c r="AO109" i="18"/>
  <c r="AP109" i="18"/>
  <c r="AQ109" i="18"/>
  <c r="IU109" i="18"/>
  <c r="B110" i="18"/>
  <c r="AO110" i="18"/>
  <c r="AP110" i="18"/>
  <c r="AQ110" i="18"/>
  <c r="IU110" i="18"/>
  <c r="B111" i="18"/>
  <c r="AO111" i="18"/>
  <c r="AP111" i="18"/>
  <c r="AQ111" i="18"/>
  <c r="IU111" i="18"/>
  <c r="B112" i="18"/>
  <c r="AO112" i="18"/>
  <c r="AP112" i="18"/>
  <c r="AQ112" i="18"/>
  <c r="IU112" i="18"/>
  <c r="B113" i="18"/>
  <c r="AO113" i="18"/>
  <c r="AP113" i="18"/>
  <c r="AQ113" i="18"/>
  <c r="IU113" i="18"/>
  <c r="B114" i="18"/>
  <c r="AO114" i="18"/>
  <c r="AP114" i="18"/>
  <c r="AQ114" i="18"/>
  <c r="IU114" i="18"/>
  <c r="B115" i="18"/>
  <c r="AO115" i="18"/>
  <c r="AP115" i="18"/>
  <c r="AQ115" i="18"/>
  <c r="IU115" i="18"/>
  <c r="B116" i="18"/>
  <c r="AO116" i="18"/>
  <c r="AP116" i="18"/>
  <c r="AQ116" i="18"/>
  <c r="IU116" i="18"/>
  <c r="B117" i="18"/>
  <c r="AO117" i="18"/>
  <c r="AP117" i="18"/>
  <c r="AQ117" i="18"/>
  <c r="IU117" i="18"/>
  <c r="B118" i="18"/>
  <c r="AO118" i="18"/>
  <c r="AP118" i="18"/>
  <c r="AQ118" i="18"/>
  <c r="IU118" i="18"/>
  <c r="B119" i="18"/>
  <c r="AO119" i="18"/>
  <c r="AP119" i="18"/>
  <c r="AQ119" i="18"/>
  <c r="IU119" i="18"/>
  <c r="B120" i="18"/>
  <c r="AO120" i="18"/>
  <c r="AP120" i="18"/>
  <c r="AQ120" i="18"/>
  <c r="IU120" i="18"/>
  <c r="B121" i="18"/>
  <c r="AO121" i="18"/>
  <c r="AP121" i="18"/>
  <c r="AQ121" i="18"/>
  <c r="IU121" i="18"/>
  <c r="B122" i="18"/>
  <c r="AO122" i="18"/>
  <c r="AP122" i="18"/>
  <c r="AQ122" i="18"/>
  <c r="IU122" i="18"/>
  <c r="B123" i="18"/>
  <c r="AO123" i="18"/>
  <c r="AP123" i="18"/>
  <c r="AQ123" i="18"/>
  <c r="IU123" i="18"/>
  <c r="B124" i="18"/>
  <c r="AO124" i="18"/>
  <c r="AP124" i="18"/>
  <c r="AQ124" i="18"/>
  <c r="IU124" i="18"/>
  <c r="B125" i="18"/>
  <c r="AO125" i="18"/>
  <c r="AP125" i="18"/>
  <c r="AQ125" i="18"/>
  <c r="IU125" i="18"/>
  <c r="B126" i="18"/>
  <c r="AO126" i="18"/>
  <c r="AP126" i="18"/>
  <c r="AQ126" i="18"/>
  <c r="IU126" i="18"/>
  <c r="B127" i="18"/>
  <c r="AO127" i="18"/>
  <c r="AP127" i="18"/>
  <c r="AQ127" i="18"/>
  <c r="IU127" i="18"/>
  <c r="B128" i="18"/>
  <c r="AO128" i="18"/>
  <c r="AP128" i="18"/>
  <c r="AQ128" i="18"/>
  <c r="IU128" i="18"/>
  <c r="B129" i="18"/>
  <c r="AO129" i="18"/>
  <c r="AP129" i="18"/>
  <c r="AQ129" i="18"/>
  <c r="IU129" i="18"/>
  <c r="B130" i="18"/>
  <c r="AO130" i="18"/>
  <c r="AP130" i="18"/>
  <c r="AQ130" i="18"/>
  <c r="IU130" i="18"/>
  <c r="B131" i="18"/>
  <c r="AO131" i="18"/>
  <c r="AP131" i="18"/>
  <c r="AQ131" i="18"/>
  <c r="IU131" i="18"/>
  <c r="B132" i="18"/>
  <c r="AO132" i="18"/>
  <c r="AP132" i="18"/>
  <c r="AQ132" i="18"/>
  <c r="IU132" i="18"/>
  <c r="B133" i="18"/>
  <c r="AO133" i="18"/>
  <c r="AP133" i="18"/>
  <c r="AQ133" i="18"/>
  <c r="IU133" i="18"/>
  <c r="B134" i="18"/>
  <c r="AO134" i="18"/>
  <c r="AP134" i="18"/>
  <c r="AQ134" i="18"/>
  <c r="IU134" i="18"/>
  <c r="B135" i="18"/>
  <c r="AO135" i="18"/>
  <c r="AP135" i="18"/>
  <c r="AQ135" i="18"/>
  <c r="IU135" i="18"/>
  <c r="B136" i="18"/>
  <c r="AO136" i="18"/>
  <c r="AP136" i="18"/>
  <c r="AQ136" i="18"/>
  <c r="IU136" i="18"/>
  <c r="B137" i="18"/>
  <c r="AO137" i="18"/>
  <c r="AP137" i="18"/>
  <c r="AQ137" i="18"/>
  <c r="IU137" i="18"/>
  <c r="B138" i="18"/>
  <c r="AO138" i="18"/>
  <c r="AP138" i="18"/>
  <c r="AQ138" i="18"/>
  <c r="IU138" i="18"/>
  <c r="B139" i="18"/>
  <c r="AO139" i="18"/>
  <c r="AP139" i="18"/>
  <c r="AQ139" i="18"/>
  <c r="IU139" i="18"/>
  <c r="B140" i="18"/>
  <c r="AO140" i="18"/>
  <c r="AP140" i="18"/>
  <c r="AQ140" i="18"/>
  <c r="IU140" i="18"/>
  <c r="B141" i="18"/>
  <c r="AO141" i="18"/>
  <c r="AP141" i="18"/>
  <c r="AQ141" i="18"/>
  <c r="IU141" i="18"/>
  <c r="B142" i="18"/>
  <c r="AO142" i="18"/>
  <c r="AP142" i="18"/>
  <c r="AQ142" i="18"/>
  <c r="IU142" i="18"/>
  <c r="B143" i="18"/>
  <c r="AO143" i="18"/>
  <c r="AP143" i="18"/>
  <c r="AQ143" i="18"/>
  <c r="IU143" i="18"/>
  <c r="B144" i="18"/>
  <c r="AO144" i="18"/>
  <c r="AP144" i="18"/>
  <c r="AQ144" i="18"/>
  <c r="IU144" i="18"/>
  <c r="B145" i="18"/>
  <c r="AO145" i="18"/>
  <c r="AP145" i="18"/>
  <c r="AQ145" i="18"/>
  <c r="IU145" i="18"/>
  <c r="B146" i="18"/>
  <c r="AO146" i="18"/>
  <c r="AP146" i="18"/>
  <c r="AQ146" i="18"/>
  <c r="IU146" i="18"/>
  <c r="B147" i="18"/>
  <c r="AO147" i="18"/>
  <c r="AP147" i="18"/>
  <c r="AQ147" i="18"/>
  <c r="IU147" i="18"/>
  <c r="B148" i="18"/>
  <c r="AO148" i="18"/>
  <c r="AP148" i="18"/>
  <c r="AQ148" i="18"/>
  <c r="IU148" i="18"/>
  <c r="B149" i="18"/>
  <c r="AO149" i="18"/>
  <c r="AP149" i="18"/>
  <c r="AQ149" i="18"/>
  <c r="IU149" i="18"/>
  <c r="B150" i="18"/>
  <c r="AO150" i="18"/>
  <c r="AP150" i="18"/>
  <c r="AQ150" i="18"/>
  <c r="IU150" i="18"/>
  <c r="B151" i="18"/>
  <c r="AO151" i="18"/>
  <c r="AP151" i="18"/>
  <c r="AQ151" i="18"/>
  <c r="IU151" i="18"/>
  <c r="B152" i="18"/>
  <c r="AO152" i="18"/>
  <c r="AP152" i="18"/>
  <c r="AQ152" i="18"/>
  <c r="IU152" i="18"/>
  <c r="B153" i="18"/>
  <c r="AO153" i="18"/>
  <c r="AP153" i="18"/>
  <c r="AQ153" i="18"/>
  <c r="IU153" i="18"/>
  <c r="B154" i="18"/>
  <c r="AO154" i="18"/>
  <c r="AP154" i="18"/>
  <c r="AQ154" i="18"/>
  <c r="IU154" i="18"/>
  <c r="B155" i="18"/>
  <c r="AO155" i="18"/>
  <c r="AP155" i="18"/>
  <c r="AQ155" i="18"/>
  <c r="IU155" i="18"/>
  <c r="B156" i="18"/>
  <c r="AO156" i="18"/>
  <c r="AP156" i="18"/>
  <c r="AQ156" i="18"/>
  <c r="IU156" i="18"/>
  <c r="B157" i="18"/>
  <c r="AO157" i="18"/>
  <c r="AP157" i="18"/>
  <c r="AQ157" i="18"/>
  <c r="IU157" i="18"/>
  <c r="AO158" i="18"/>
  <c r="AP158" i="18"/>
  <c r="AQ158" i="18"/>
  <c r="IU158" i="18"/>
  <c r="AO159" i="18"/>
  <c r="AP159" i="18"/>
  <c r="AQ159" i="18"/>
  <c r="IU159" i="18"/>
  <c r="AO160" i="18"/>
  <c r="AP160" i="18"/>
  <c r="AQ160" i="18"/>
  <c r="IU160" i="18"/>
  <c r="AO161" i="18"/>
  <c r="AP161" i="18"/>
  <c r="AQ161" i="18"/>
  <c r="IU161" i="18"/>
  <c r="AO162" i="18"/>
  <c r="AP162" i="18"/>
  <c r="AQ162" i="18"/>
  <c r="IU162" i="18"/>
  <c r="AO163" i="18"/>
  <c r="AP163" i="18"/>
  <c r="AQ163" i="18"/>
  <c r="IU163" i="18"/>
  <c r="AO164" i="18"/>
  <c r="AP164" i="18"/>
  <c r="AQ164" i="18"/>
  <c r="IU164" i="18"/>
  <c r="AO165" i="18"/>
  <c r="AP165" i="18"/>
  <c r="AQ165" i="18"/>
  <c r="IU165" i="18"/>
  <c r="AO166" i="18"/>
  <c r="AP166" i="18"/>
  <c r="AQ166" i="18"/>
  <c r="IU166" i="18"/>
  <c r="AO167" i="18"/>
  <c r="AP167" i="18"/>
  <c r="AQ167" i="18"/>
  <c r="IU167" i="18"/>
  <c r="AO168" i="18"/>
  <c r="AP168" i="18"/>
  <c r="AQ168" i="18"/>
  <c r="IU168" i="18"/>
  <c r="AO169" i="18"/>
  <c r="AP169" i="18"/>
  <c r="AQ169" i="18"/>
  <c r="IU169" i="18"/>
  <c r="AO170" i="18"/>
  <c r="AP170" i="18"/>
  <c r="AQ170" i="18"/>
  <c r="IU170" i="18"/>
  <c r="AO171" i="18"/>
  <c r="AP171" i="18"/>
  <c r="AQ171" i="18"/>
  <c r="IU171" i="18"/>
  <c r="AO172" i="18"/>
  <c r="AP172" i="18"/>
  <c r="AQ172" i="18"/>
  <c r="IU172" i="18"/>
  <c r="AO173" i="18"/>
  <c r="AP173" i="18"/>
  <c r="AQ173" i="18"/>
  <c r="IU173" i="18"/>
  <c r="AO174" i="18"/>
  <c r="AP174" i="18"/>
  <c r="AQ174" i="18"/>
  <c r="IU174" i="18"/>
  <c r="AO175" i="18"/>
  <c r="AP175" i="18"/>
  <c r="AQ175" i="18"/>
  <c r="IU175" i="18"/>
  <c r="AO176" i="18"/>
  <c r="AP176" i="18"/>
  <c r="AQ176" i="18"/>
  <c r="IU176" i="18"/>
  <c r="AO177" i="18"/>
  <c r="AP177" i="18"/>
  <c r="AQ177" i="18"/>
  <c r="IU177" i="18"/>
  <c r="AO178" i="18"/>
  <c r="AP178" i="18"/>
  <c r="AQ178" i="18"/>
  <c r="IU178" i="18"/>
  <c r="AO179" i="18"/>
  <c r="AP179" i="18"/>
  <c r="AQ179" i="18"/>
  <c r="IU179" i="18"/>
  <c r="AO180" i="18"/>
  <c r="AP180" i="18"/>
  <c r="AQ180" i="18"/>
  <c r="IU180" i="18"/>
  <c r="AO181" i="18"/>
  <c r="AP181" i="18"/>
  <c r="AQ181" i="18"/>
  <c r="IU181" i="18"/>
  <c r="AO182" i="18"/>
  <c r="AP182" i="18"/>
  <c r="AQ182" i="18"/>
  <c r="IU182" i="18"/>
  <c r="AO183" i="18"/>
  <c r="AP183" i="18"/>
  <c r="AQ183" i="18"/>
  <c r="IU183" i="18"/>
  <c r="AO184" i="18"/>
  <c r="AP184" i="18"/>
  <c r="AQ184" i="18"/>
  <c r="IU184" i="18"/>
  <c r="AO185" i="18"/>
  <c r="AP185" i="18"/>
  <c r="AQ185" i="18"/>
  <c r="IU185" i="18"/>
  <c r="AO186" i="18"/>
  <c r="AP186" i="18"/>
  <c r="AQ186" i="18"/>
  <c r="IU186" i="18"/>
  <c r="AO187" i="18"/>
  <c r="AP187" i="18"/>
  <c r="AQ187" i="18"/>
  <c r="IU187" i="18"/>
  <c r="AO188" i="18"/>
  <c r="AP188" i="18"/>
  <c r="AQ188" i="18"/>
  <c r="IU188" i="18"/>
  <c r="AO189" i="18"/>
  <c r="AP189" i="18"/>
  <c r="AQ189" i="18"/>
  <c r="IU189" i="18"/>
  <c r="AO190" i="18"/>
  <c r="AP190" i="18"/>
  <c r="AQ190" i="18"/>
  <c r="IU190" i="18"/>
  <c r="AO191" i="18"/>
  <c r="AP191" i="18"/>
  <c r="AQ191" i="18"/>
  <c r="IU191" i="18"/>
  <c r="AO192" i="18"/>
  <c r="AP192" i="18"/>
  <c r="AQ192" i="18"/>
  <c r="IU192" i="18"/>
  <c r="AO193" i="18"/>
  <c r="AP193" i="18"/>
  <c r="AQ193" i="18"/>
  <c r="IU193" i="18"/>
  <c r="AO194" i="18"/>
  <c r="AP194" i="18"/>
  <c r="AQ194" i="18"/>
  <c r="IU194" i="18"/>
  <c r="AO195" i="18"/>
  <c r="AP195" i="18"/>
  <c r="AQ195" i="18"/>
  <c r="IU195" i="18"/>
  <c r="AO196" i="18"/>
  <c r="AP196" i="18"/>
  <c r="AQ196" i="18"/>
  <c r="IU196" i="18"/>
  <c r="AO197" i="18"/>
  <c r="AP197" i="18"/>
  <c r="AQ197" i="18"/>
  <c r="IU197" i="18"/>
  <c r="AO198" i="18"/>
  <c r="AP198" i="18"/>
  <c r="AQ198" i="18"/>
  <c r="IU198" i="18"/>
  <c r="AO199" i="18"/>
  <c r="AP199" i="18"/>
  <c r="AQ199" i="18"/>
  <c r="IU199" i="18"/>
  <c r="AO200" i="18"/>
  <c r="AP200" i="18"/>
  <c r="AQ200" i="18"/>
  <c r="IU200" i="18"/>
  <c r="AO201" i="18"/>
  <c r="AP201" i="18"/>
  <c r="AQ201" i="18"/>
  <c r="IU201" i="18"/>
  <c r="AO202" i="18"/>
  <c r="AP202" i="18"/>
  <c r="AQ202" i="18"/>
  <c r="IU202" i="18"/>
  <c r="AO203" i="18"/>
  <c r="AP203" i="18"/>
  <c r="AQ203" i="18"/>
  <c r="IU203" i="18"/>
  <c r="AO204" i="18"/>
  <c r="AP204" i="18"/>
  <c r="AQ204" i="18"/>
  <c r="IU204" i="18"/>
  <c r="AO205" i="18"/>
  <c r="AP205" i="18"/>
  <c r="AQ205" i="18"/>
  <c r="IU205" i="18"/>
  <c r="AO206" i="18"/>
  <c r="AP206" i="18"/>
  <c r="AQ206" i="18"/>
  <c r="IU206" i="18"/>
  <c r="AO207" i="18"/>
  <c r="AP207" i="18"/>
  <c r="AQ207" i="18"/>
  <c r="IU207" i="18"/>
  <c r="AO208" i="18"/>
  <c r="AP208" i="18"/>
  <c r="AQ208" i="18"/>
  <c r="IU208" i="18"/>
  <c r="AO209" i="18"/>
  <c r="AP209" i="18"/>
  <c r="AQ209" i="18"/>
  <c r="IU209" i="18"/>
  <c r="AO210" i="18"/>
  <c r="AP210" i="18"/>
  <c r="AQ210" i="18"/>
  <c r="IU210" i="18"/>
  <c r="AO211" i="18"/>
  <c r="AP211" i="18"/>
  <c r="AQ211" i="18"/>
  <c r="IU211" i="18"/>
  <c r="AO212" i="18"/>
  <c r="AP212" i="18"/>
  <c r="AQ212" i="18"/>
  <c r="IU212" i="18"/>
  <c r="AO213" i="18"/>
  <c r="AP213" i="18"/>
  <c r="AQ213" i="18"/>
  <c r="IU213" i="18"/>
  <c r="AO214" i="18"/>
  <c r="AP214" i="18"/>
  <c r="AQ214" i="18"/>
  <c r="IU214" i="18"/>
  <c r="AO215" i="18"/>
  <c r="AP215" i="18"/>
  <c r="AQ215" i="18"/>
  <c r="IU215" i="18"/>
  <c r="AO216" i="18"/>
  <c r="AP216" i="18"/>
  <c r="AQ216" i="18"/>
  <c r="IU216" i="18"/>
  <c r="AO217" i="18"/>
  <c r="AP217" i="18"/>
  <c r="AQ217" i="18"/>
  <c r="IU217" i="18"/>
  <c r="AO218" i="18"/>
  <c r="AP218" i="18"/>
  <c r="AQ218" i="18"/>
  <c r="IU218" i="18"/>
  <c r="AO219" i="18"/>
  <c r="AP219" i="18"/>
  <c r="AQ219" i="18"/>
  <c r="IU219" i="18"/>
  <c r="AO220" i="18"/>
  <c r="AP220" i="18"/>
  <c r="AQ220" i="18"/>
  <c r="IU220" i="18"/>
  <c r="AO221" i="18"/>
  <c r="AP221" i="18"/>
  <c r="AQ221" i="18"/>
  <c r="IU221" i="18"/>
  <c r="AO222" i="18"/>
  <c r="AP222" i="18"/>
  <c r="AQ222" i="18"/>
  <c r="IU222" i="18"/>
  <c r="AO223" i="18"/>
  <c r="AP223" i="18"/>
  <c r="AQ223" i="18"/>
  <c r="IU223" i="18"/>
  <c r="AO224" i="18"/>
  <c r="AP224" i="18"/>
  <c r="AQ224" i="18"/>
  <c r="IU224" i="18"/>
  <c r="AO225" i="18"/>
  <c r="AP225" i="18"/>
  <c r="AQ225" i="18"/>
  <c r="IU225" i="18"/>
  <c r="AO226" i="18"/>
  <c r="AP226" i="18"/>
  <c r="AQ226" i="18"/>
  <c r="IU226" i="18"/>
  <c r="AO227" i="18"/>
  <c r="AP227" i="18"/>
  <c r="AQ227" i="18"/>
  <c r="IU227" i="18"/>
  <c r="AO228" i="18"/>
  <c r="AP228" i="18"/>
  <c r="AQ228" i="18"/>
  <c r="IU228" i="18"/>
  <c r="AO229" i="18"/>
  <c r="AP229" i="18"/>
  <c r="AQ229" i="18"/>
  <c r="IU229" i="18"/>
  <c r="AO230" i="18"/>
  <c r="AP230" i="18"/>
  <c r="AQ230" i="18"/>
  <c r="IU230" i="18"/>
  <c r="AO231" i="18"/>
  <c r="AP231" i="18"/>
  <c r="AQ231" i="18"/>
  <c r="IU231" i="18"/>
  <c r="AO232" i="18"/>
  <c r="AP232" i="18"/>
  <c r="AQ232" i="18"/>
  <c r="IU232" i="18"/>
  <c r="AO233" i="18"/>
  <c r="AP233" i="18"/>
  <c r="AQ233" i="18"/>
  <c r="IU233" i="18"/>
  <c r="AO234" i="18"/>
  <c r="AP234" i="18"/>
  <c r="AQ234" i="18"/>
  <c r="IU234" i="18"/>
  <c r="AO235" i="18"/>
  <c r="AP235" i="18"/>
  <c r="AQ235" i="18"/>
  <c r="AO236" i="18"/>
  <c r="AP236" i="18"/>
  <c r="AQ236" i="18"/>
  <c r="AO237" i="18"/>
  <c r="AP237" i="18"/>
  <c r="AQ237" i="18"/>
  <c r="AO238" i="18"/>
  <c r="AP238" i="18"/>
  <c r="AQ238" i="18"/>
  <c r="AO239" i="18"/>
  <c r="AP239" i="18"/>
  <c r="AQ239" i="18"/>
  <c r="AO240" i="18"/>
  <c r="AP240" i="18"/>
  <c r="AQ240" i="18"/>
  <c r="L3" i="10"/>
  <c r="M3" i="10"/>
  <c r="H4" i="10"/>
  <c r="L4" i="10"/>
  <c r="M4" i="10"/>
  <c r="B5" i="10"/>
  <c r="C5" i="10"/>
  <c r="L5" i="10"/>
  <c r="M5" i="10"/>
  <c r="B6" i="10"/>
  <c r="C6" i="10"/>
  <c r="H6" i="10"/>
  <c r="L6" i="10"/>
  <c r="M6" i="10"/>
  <c r="B7" i="10"/>
  <c r="C7" i="10"/>
  <c r="L7" i="10"/>
  <c r="M7" i="10"/>
  <c r="N7" i="10"/>
  <c r="B8" i="10"/>
  <c r="C8" i="10"/>
  <c r="B13" i="10"/>
  <c r="C13" i="10"/>
  <c r="D13" i="10"/>
  <c r="G13" i="10"/>
  <c r="H13" i="10"/>
  <c r="I13" i="10"/>
  <c r="A14" i="10"/>
  <c r="B14" i="10"/>
  <c r="C14" i="10"/>
  <c r="D14" i="10"/>
  <c r="G14" i="10"/>
  <c r="H14" i="10"/>
  <c r="I14" i="10"/>
  <c r="A15" i="10"/>
  <c r="B15" i="10"/>
  <c r="C15" i="10"/>
  <c r="D15" i="10"/>
  <c r="G15" i="10"/>
  <c r="H15" i="10"/>
  <c r="I15" i="10"/>
  <c r="A16" i="10"/>
  <c r="B16" i="10"/>
  <c r="C16" i="10"/>
  <c r="D16" i="10"/>
  <c r="G16" i="10"/>
  <c r="H16" i="10"/>
  <c r="I16" i="10"/>
  <c r="A17" i="10"/>
  <c r="B17" i="10"/>
  <c r="C17" i="10"/>
  <c r="D17" i="10"/>
  <c r="G17" i="10"/>
  <c r="H17" i="10"/>
  <c r="I17" i="10"/>
  <c r="A18" i="10"/>
  <c r="B18" i="10"/>
  <c r="C18" i="10"/>
  <c r="D18" i="10"/>
  <c r="G18" i="10"/>
  <c r="H18" i="10"/>
  <c r="A19" i="10"/>
  <c r="B19" i="10"/>
  <c r="C19" i="10"/>
  <c r="D19" i="10"/>
  <c r="G19" i="10"/>
  <c r="H19" i="10"/>
  <c r="A20" i="10"/>
  <c r="B20" i="10"/>
  <c r="C20" i="10"/>
  <c r="D20" i="10"/>
  <c r="F20" i="10"/>
  <c r="G20" i="10"/>
  <c r="H20" i="10"/>
  <c r="I20" i="10"/>
  <c r="A21" i="10"/>
  <c r="B21" i="10"/>
  <c r="C21" i="10"/>
  <c r="D21" i="10"/>
  <c r="F21" i="10"/>
  <c r="G21" i="10"/>
  <c r="H21" i="10"/>
  <c r="I21" i="10"/>
  <c r="A22" i="10"/>
  <c r="B22" i="10"/>
  <c r="C22" i="10"/>
  <c r="D22" i="10"/>
  <c r="F22" i="10"/>
  <c r="G22" i="10"/>
  <c r="H22" i="10"/>
  <c r="I22" i="10"/>
  <c r="A23" i="10"/>
  <c r="B23" i="10"/>
  <c r="C23" i="10"/>
  <c r="D23" i="10"/>
  <c r="F23" i="10"/>
  <c r="G23" i="10"/>
  <c r="H23" i="10"/>
  <c r="I23" i="10"/>
  <c r="A24" i="10"/>
  <c r="B24" i="10"/>
  <c r="C24" i="10"/>
  <c r="D24" i="10"/>
  <c r="F24" i="10"/>
  <c r="G24" i="10"/>
  <c r="H24" i="10"/>
  <c r="I24" i="10"/>
  <c r="A25" i="10"/>
  <c r="B25" i="10"/>
  <c r="C25" i="10"/>
  <c r="D25" i="10"/>
  <c r="F25" i="10"/>
  <c r="G25" i="10"/>
  <c r="H25" i="10"/>
  <c r="I25" i="10"/>
  <c r="A26" i="10"/>
  <c r="B26" i="10"/>
  <c r="C26" i="10"/>
  <c r="D26" i="10"/>
  <c r="F26" i="10"/>
  <c r="G26" i="10"/>
  <c r="H26" i="10"/>
  <c r="I26" i="10"/>
  <c r="A27" i="10"/>
  <c r="B27" i="10"/>
  <c r="C27" i="10"/>
  <c r="D27" i="10"/>
  <c r="F27" i="10"/>
  <c r="G27" i="10"/>
  <c r="H27" i="10"/>
  <c r="I27" i="10"/>
  <c r="A28" i="10"/>
  <c r="B28" i="10"/>
  <c r="C28" i="10"/>
  <c r="D28" i="10"/>
  <c r="F28" i="10"/>
  <c r="G28" i="10"/>
  <c r="H28" i="10"/>
  <c r="I28" i="10"/>
  <c r="A29" i="10"/>
  <c r="B29" i="10"/>
  <c r="C29" i="10"/>
  <c r="D29" i="10"/>
  <c r="F29" i="10"/>
  <c r="G29" i="10"/>
  <c r="H29" i="10"/>
  <c r="I29" i="10"/>
  <c r="A30" i="10"/>
  <c r="B30" i="10"/>
  <c r="C30" i="10"/>
  <c r="D30" i="10"/>
  <c r="F30" i="10"/>
  <c r="G30" i="10"/>
  <c r="H30" i="10"/>
  <c r="I30" i="10"/>
  <c r="A31" i="10"/>
  <c r="B31" i="10"/>
  <c r="C31" i="10"/>
  <c r="D31" i="10"/>
  <c r="F31" i="10"/>
  <c r="G31" i="10"/>
  <c r="H31" i="10"/>
  <c r="I31" i="10"/>
  <c r="A32" i="10"/>
  <c r="B32" i="10"/>
  <c r="C32" i="10"/>
  <c r="D32" i="10"/>
  <c r="F32" i="10"/>
  <c r="G32" i="10"/>
  <c r="H32" i="10"/>
  <c r="I32" i="10"/>
  <c r="A33" i="10"/>
  <c r="B33" i="10"/>
  <c r="C33" i="10"/>
  <c r="D33" i="10"/>
  <c r="F33" i="10"/>
  <c r="G33" i="10"/>
  <c r="H33" i="10"/>
  <c r="I33" i="10"/>
  <c r="A34" i="10"/>
  <c r="B34" i="10"/>
  <c r="C34" i="10"/>
  <c r="D34" i="10"/>
  <c r="F34" i="10"/>
  <c r="G34" i="10"/>
  <c r="H34" i="10"/>
  <c r="I34" i="10"/>
  <c r="A35" i="10"/>
  <c r="B35" i="10"/>
  <c r="C35" i="10"/>
  <c r="D35" i="10"/>
  <c r="F35" i="10"/>
  <c r="G35" i="10"/>
  <c r="H35" i="10"/>
  <c r="I35" i="10"/>
  <c r="A36" i="10"/>
  <c r="B36" i="10"/>
  <c r="C36" i="10"/>
  <c r="D36" i="10"/>
  <c r="F36" i="10"/>
  <c r="G36" i="10"/>
  <c r="H36" i="10"/>
  <c r="I36" i="10"/>
  <c r="A37" i="10"/>
  <c r="B37" i="10"/>
  <c r="C37" i="10"/>
  <c r="D37" i="10"/>
  <c r="F37" i="10"/>
  <c r="G37" i="10"/>
  <c r="H37" i="10"/>
  <c r="I37" i="10"/>
  <c r="A38" i="10"/>
  <c r="B38" i="10"/>
  <c r="C38" i="10"/>
  <c r="D38" i="10"/>
  <c r="F38" i="10"/>
  <c r="G38" i="10"/>
  <c r="H38" i="10"/>
  <c r="I38" i="10"/>
  <c r="A39" i="10"/>
  <c r="B39" i="10"/>
  <c r="C39" i="10"/>
  <c r="D39" i="10"/>
  <c r="F39" i="10"/>
  <c r="G39" i="10"/>
  <c r="H39" i="10"/>
  <c r="I39" i="10"/>
  <c r="A40" i="10"/>
  <c r="B40" i="10"/>
  <c r="C40" i="10"/>
  <c r="D40" i="10"/>
  <c r="F40" i="10"/>
  <c r="G40" i="10"/>
  <c r="H40" i="10"/>
  <c r="I40" i="10"/>
  <c r="A41" i="10"/>
  <c r="B41" i="10"/>
  <c r="C41" i="10"/>
  <c r="D41" i="10"/>
  <c r="F41" i="10"/>
  <c r="G41" i="10"/>
  <c r="H41" i="10"/>
  <c r="I41" i="10"/>
  <c r="A42" i="10"/>
  <c r="B42" i="10"/>
  <c r="C42" i="10"/>
  <c r="D42" i="10"/>
  <c r="F42" i="10"/>
  <c r="G42" i="10"/>
  <c r="H42" i="10"/>
  <c r="I42" i="10"/>
  <c r="A43" i="10"/>
  <c r="B43" i="10"/>
  <c r="C43" i="10"/>
  <c r="D43" i="10"/>
  <c r="F43" i="10"/>
  <c r="G43" i="10"/>
  <c r="H43" i="10"/>
  <c r="I43" i="10"/>
  <c r="A44" i="10"/>
  <c r="B44" i="10"/>
  <c r="C44" i="10"/>
  <c r="D44" i="10"/>
  <c r="F44" i="10"/>
  <c r="G44" i="10"/>
  <c r="H44" i="10"/>
  <c r="I44" i="10"/>
  <c r="A45" i="10"/>
  <c r="B45" i="10"/>
  <c r="C45" i="10"/>
  <c r="D45" i="10"/>
  <c r="F45" i="10"/>
  <c r="G45" i="10"/>
  <c r="H45" i="10"/>
  <c r="I45" i="10"/>
  <c r="A46" i="10"/>
  <c r="B46" i="10"/>
  <c r="C46" i="10"/>
  <c r="D46" i="10"/>
  <c r="F46" i="10"/>
  <c r="G46" i="10"/>
  <c r="H46" i="10"/>
  <c r="I46" i="10"/>
  <c r="A47" i="10"/>
  <c r="B47" i="10"/>
  <c r="C47" i="10"/>
  <c r="D47" i="10"/>
  <c r="F47" i="10"/>
  <c r="G47" i="10"/>
  <c r="H47" i="10"/>
  <c r="I47" i="10"/>
  <c r="A48" i="10"/>
  <c r="B48" i="10"/>
  <c r="C48" i="10"/>
  <c r="D48" i="10"/>
  <c r="F48" i="10"/>
  <c r="G48" i="10"/>
  <c r="H48" i="10"/>
  <c r="I48" i="10"/>
  <c r="A49" i="10"/>
  <c r="B49" i="10"/>
  <c r="C49" i="10"/>
  <c r="D49" i="10"/>
  <c r="F49" i="10"/>
  <c r="G49" i="10"/>
  <c r="H49" i="10"/>
  <c r="I49" i="10"/>
  <c r="A50" i="10"/>
  <c r="B50" i="10"/>
  <c r="C50" i="10"/>
  <c r="D50" i="10"/>
  <c r="F50" i="10"/>
  <c r="G50" i="10"/>
  <c r="H50" i="10"/>
  <c r="I50" i="10"/>
  <c r="A51" i="10"/>
  <c r="B51" i="10"/>
  <c r="C51" i="10"/>
  <c r="D51" i="10"/>
  <c r="F51" i="10"/>
  <c r="G51" i="10"/>
  <c r="H51" i="10"/>
  <c r="I51" i="10"/>
  <c r="A52" i="10"/>
  <c r="B52" i="10"/>
  <c r="C52" i="10"/>
  <c r="D52" i="10"/>
  <c r="G52" i="10"/>
  <c r="H52" i="10"/>
  <c r="I52" i="10"/>
  <c r="A53" i="10"/>
  <c r="B53" i="10"/>
  <c r="C53" i="10"/>
  <c r="D53" i="10"/>
  <c r="G53" i="10"/>
  <c r="H53" i="10"/>
  <c r="I53" i="10"/>
  <c r="A54" i="10"/>
  <c r="B54" i="10"/>
  <c r="C54" i="10"/>
  <c r="D54" i="10"/>
  <c r="G54" i="10"/>
  <c r="H54" i="10"/>
  <c r="I54" i="10"/>
  <c r="A55" i="10"/>
  <c r="B55" i="10"/>
  <c r="C55" i="10"/>
  <c r="D55" i="10"/>
  <c r="G55" i="10"/>
  <c r="H55" i="10"/>
  <c r="I55" i="10"/>
  <c r="A56" i="10"/>
  <c r="B56" i="10"/>
  <c r="C56" i="10"/>
  <c r="D56" i="10"/>
  <c r="G56" i="10"/>
  <c r="H56" i="10"/>
  <c r="I56" i="10"/>
  <c r="A57" i="10"/>
  <c r="B57" i="10"/>
  <c r="C57" i="10"/>
  <c r="D57" i="10"/>
  <c r="G57" i="10"/>
  <c r="H57" i="10"/>
  <c r="I57" i="10"/>
  <c r="A58" i="10"/>
  <c r="B58" i="10"/>
  <c r="C58" i="10"/>
  <c r="D58" i="10"/>
  <c r="G58" i="10"/>
  <c r="H58" i="10"/>
  <c r="I58" i="10"/>
  <c r="A59" i="10"/>
  <c r="B59" i="10"/>
  <c r="C59" i="10"/>
  <c r="D59" i="10"/>
  <c r="G59" i="10"/>
  <c r="H59" i="10"/>
  <c r="I59" i="10"/>
</calcChain>
</file>

<file path=xl/comments1.xml><?xml version="1.0" encoding="utf-8"?>
<comments xmlns="http://schemas.openxmlformats.org/spreadsheetml/2006/main">
  <authors>
    <author>kziegen</author>
  </authors>
  <commentList>
    <comment ref="A1" authorId="0" shapeId="0">
      <text>
        <r>
          <rPr>
            <b/>
            <sz val="8"/>
            <color indexed="81"/>
            <rFont val="Tahoma"/>
          </rPr>
          <t>kziegen:</t>
        </r>
        <r>
          <rPr>
            <sz val="8"/>
            <color indexed="81"/>
            <rFont val="Tahoma"/>
          </rPr>
          <t xml:space="preserve">
If you ever add a new option TYPE or change the range of dates, be sure to update the Benchmark Positions worksheet.
</t>
        </r>
      </text>
    </comment>
  </commentList>
</comments>
</file>

<file path=xl/comments2.xml><?xml version="1.0" encoding="utf-8"?>
<comments xmlns="http://schemas.openxmlformats.org/spreadsheetml/2006/main">
  <authors>
    <author>kziegen</author>
  </authors>
  <commentList>
    <comment ref="B7" authorId="0" shapeId="0">
      <text>
        <r>
          <rPr>
            <b/>
            <sz val="8"/>
            <color indexed="81"/>
            <rFont val="Tahoma"/>
          </rPr>
          <t>kziegen:</t>
        </r>
        <r>
          <rPr>
            <sz val="8"/>
            <color indexed="81"/>
            <rFont val="Tahoma"/>
          </rPr>
          <t xml:space="preserve">
This is a modification of deal R5647.  See Tickets for Options 5/28/98 for details.</t>
        </r>
      </text>
    </comment>
  </commentList>
</comments>
</file>

<file path=xl/sharedStrings.xml><?xml version="1.0" encoding="utf-8"?>
<sst xmlns="http://schemas.openxmlformats.org/spreadsheetml/2006/main" count="5008" uniqueCount="318">
  <si>
    <t>IF-HPL/SHPCHAN</t>
  </si>
  <si>
    <t>P</t>
  </si>
  <si>
    <t>Pub Code</t>
  </si>
  <si>
    <t>Period</t>
  </si>
  <si>
    <t>Cap</t>
  </si>
  <si>
    <t>Price</t>
  </si>
  <si>
    <t>IF-PAN/TX/OK</t>
  </si>
  <si>
    <t>IF-TRANSCO/Z6</t>
  </si>
  <si>
    <t>Correlation</t>
  </si>
  <si>
    <t>IF-NWPL_ROCKY_M</t>
  </si>
  <si>
    <t>IF-CGT/APPALAC</t>
  </si>
  <si>
    <t>Phy/</t>
  </si>
  <si>
    <t>Call/</t>
  </si>
  <si>
    <t>Monthly</t>
  </si>
  <si>
    <t>Stike</t>
  </si>
  <si>
    <t>Counterparty</t>
  </si>
  <si>
    <t>Deal Num</t>
  </si>
  <si>
    <t>Fin</t>
  </si>
  <si>
    <t>Put</t>
  </si>
  <si>
    <t>Option Qty</t>
  </si>
  <si>
    <t>F</t>
  </si>
  <si>
    <t>C</t>
  </si>
  <si>
    <t>DELTA</t>
  </si>
  <si>
    <t>PREMIUM</t>
  </si>
  <si>
    <t>MTM Value</t>
  </si>
  <si>
    <t>NYMEX</t>
  </si>
  <si>
    <t>Basis</t>
  </si>
  <si>
    <t>Index</t>
  </si>
  <si>
    <t>Interest</t>
  </si>
  <si>
    <t>Rate</t>
  </si>
  <si>
    <t>Vol</t>
  </si>
  <si>
    <t>INDEX</t>
  </si>
  <si>
    <t>Expiry</t>
  </si>
  <si>
    <t>Opt</t>
  </si>
  <si>
    <t>Type</t>
  </si>
  <si>
    <t>Effective Date:</t>
  </si>
  <si>
    <t>Manual inputs (Key in on THIS page)</t>
  </si>
  <si>
    <t>Formulas (DO NOT alter these cells)</t>
  </si>
  <si>
    <t>Location</t>
  </si>
  <si>
    <t>Date</t>
  </si>
  <si>
    <t>Do not alter these Cells</t>
  </si>
  <si>
    <t>Position</t>
  </si>
  <si>
    <t>Net Position</t>
  </si>
  <si>
    <t>TOTALS:</t>
  </si>
  <si>
    <t>IF-TRANSCO/Z2</t>
  </si>
  <si>
    <t>IF-TRANSCO/Z1</t>
  </si>
  <si>
    <t>IF-TRANSCO/Z3</t>
  </si>
  <si>
    <t>IF-SONAT/LA</t>
  </si>
  <si>
    <t>IF-COLGULF/LA</t>
  </si>
  <si>
    <t>Total Position</t>
  </si>
  <si>
    <t>Floor</t>
  </si>
  <si>
    <t>Volatility</t>
  </si>
  <si>
    <t>Spread</t>
  </si>
  <si>
    <t xml:space="preserve">Expiry of </t>
  </si>
  <si>
    <t>Collarlets</t>
  </si>
  <si>
    <t>Expiry of</t>
  </si>
  <si>
    <t>Overlying</t>
  </si>
  <si>
    <t>Swap Vol</t>
  </si>
  <si>
    <t>(Overlying)</t>
  </si>
  <si>
    <t>Potition</t>
  </si>
  <si>
    <t>Interest Rate</t>
  </si>
  <si>
    <t>Manual Inputs (Key in on THIS Page)</t>
  </si>
  <si>
    <t>Formulas (Do NOT Alter These Cells)</t>
  </si>
  <si>
    <t>Days Until</t>
  </si>
  <si>
    <t>EXTENDIBLE COLLARS</t>
  </si>
  <si>
    <t>BASIS OPTIONS</t>
  </si>
  <si>
    <t>SUMMARY OF ALL EXOTIC OPTIONS</t>
  </si>
  <si>
    <t>Option Type</t>
  </si>
  <si>
    <t>Basis Options</t>
  </si>
  <si>
    <t>Extendible Collars</t>
  </si>
  <si>
    <t>Totals:</t>
  </si>
  <si>
    <t>Position by Month:</t>
  </si>
  <si>
    <t>Total</t>
  </si>
  <si>
    <t>Net Position By Region</t>
  </si>
  <si>
    <t>NGI/CHI. GATE</t>
  </si>
  <si>
    <t>NG - HSC</t>
  </si>
  <si>
    <t>NG - Perm</t>
  </si>
  <si>
    <t>NG - TCO</t>
  </si>
  <si>
    <t>NG - Z6</t>
  </si>
  <si>
    <t>NG - Rockies</t>
  </si>
  <si>
    <t>NG - Panhandle</t>
  </si>
  <si>
    <t>NG - Chicago</t>
  </si>
  <si>
    <t>Ave Winter</t>
  </si>
  <si>
    <t>Ave Summer</t>
  </si>
  <si>
    <t>Offset</t>
  </si>
  <si>
    <t>Basis Delta</t>
  </si>
  <si>
    <t>NYMEX Eq.</t>
  </si>
  <si>
    <t>Delta</t>
  </si>
  <si>
    <t>NYMEX Equivalent Position By Region</t>
  </si>
  <si>
    <t>Basis Opt. Equiv</t>
  </si>
  <si>
    <t>Total Nymex Equiv</t>
  </si>
  <si>
    <t>Reserve</t>
  </si>
  <si>
    <t>Total Reported Value</t>
  </si>
  <si>
    <t>W1882</t>
  </si>
  <si>
    <t>W2420</t>
  </si>
  <si>
    <t>Correlations</t>
  </si>
  <si>
    <t>X5783</t>
  </si>
  <si>
    <t>IF-NGPL/LA</t>
  </si>
  <si>
    <t>IF-FGT/Z3</t>
  </si>
  <si>
    <t>IF-TENN/TX</t>
  </si>
  <si>
    <t>IF-ELPO/PERMIAN</t>
  </si>
  <si>
    <t>Basket</t>
  </si>
  <si>
    <t>Option</t>
  </si>
  <si>
    <t>Premium</t>
  </si>
  <si>
    <t>MTM</t>
  </si>
  <si>
    <t>Basket Options</t>
  </si>
  <si>
    <t>Pub Codes</t>
  </si>
  <si>
    <t>NX1</t>
  </si>
  <si>
    <t>R5647</t>
  </si>
  <si>
    <t>X6175</t>
  </si>
  <si>
    <t>Vol Inputs</t>
  </si>
  <si>
    <t>MANUAL VOL INPUTS GO TO:</t>
  </si>
  <si>
    <t>EY1230</t>
  </si>
  <si>
    <t>EXTENDABLE COLLARS</t>
  </si>
  <si>
    <t>PERIOD</t>
  </si>
  <si>
    <t>REGION</t>
  </si>
  <si>
    <t>TOTAL</t>
  </si>
  <si>
    <t>CONTRACT</t>
  </si>
  <si>
    <t>BASKET OPTIONS</t>
  </si>
  <si>
    <t>TOTAL EXOTIC POSITIONS</t>
  </si>
  <si>
    <t>POSITION</t>
  </si>
  <si>
    <t>CONTRACTS</t>
  </si>
  <si>
    <t>IF-HEHUB</t>
  </si>
  <si>
    <t>PR</t>
  </si>
  <si>
    <t>D</t>
  </si>
  <si>
    <t>Call</t>
  </si>
  <si>
    <t>Effective Date</t>
  </si>
  <si>
    <t>Prompt Month</t>
  </si>
  <si>
    <t>Curve Type</t>
  </si>
  <si>
    <t>VO</t>
  </si>
  <si>
    <t>AA</t>
  </si>
  <si>
    <t>Book Code 1</t>
  </si>
  <si>
    <t>I</t>
  </si>
  <si>
    <t>R</t>
  </si>
  <si>
    <t>Curve Code</t>
  </si>
  <si>
    <t>NG</t>
  </si>
  <si>
    <t>INTNS</t>
  </si>
  <si>
    <t>Totals</t>
  </si>
  <si>
    <t>Gamma</t>
  </si>
  <si>
    <t>Rho</t>
  </si>
  <si>
    <t>Vega</t>
  </si>
  <si>
    <t>Theta</t>
  </si>
  <si>
    <t>Total Change</t>
  </si>
  <si>
    <t>Current Total Basis Option Value</t>
  </si>
  <si>
    <t>Previous Basis Option Value</t>
  </si>
  <si>
    <t>Change in Total Value</t>
  </si>
  <si>
    <t>BREAKDOWN OF DAILY P/L CHANGE</t>
  </si>
  <si>
    <t>DATE</t>
  </si>
  <si>
    <t>Curve Shift/Gamma</t>
  </si>
  <si>
    <t>Drift</t>
  </si>
  <si>
    <t>Prior Day</t>
  </si>
  <si>
    <t>Prior Strike</t>
  </si>
  <si>
    <t>Change</t>
  </si>
  <si>
    <t>Current Value</t>
  </si>
  <si>
    <t>Previous Value</t>
  </si>
  <si>
    <t>CURRENT EXTENDABLE COLLAR TOTAL VALUE</t>
  </si>
  <si>
    <t>PREVIOUS EXTENDABLE COLLAR TOTAL VALUE</t>
  </si>
  <si>
    <t>CHANGE</t>
  </si>
  <si>
    <t>PREVIOUS DAYS CURVE INFO</t>
  </si>
  <si>
    <t>Curve Shift</t>
  </si>
  <si>
    <t>PRIOR</t>
  </si>
  <si>
    <t>BREAKDOWN OF EXTENDABLE COLLAR P/L CHANGE</t>
  </si>
  <si>
    <t>Forward Pr</t>
  </si>
  <si>
    <t>Int Rates</t>
  </si>
  <si>
    <t>Vols</t>
  </si>
  <si>
    <t>Exp Days</t>
  </si>
  <si>
    <t>PUBCODE</t>
  </si>
  <si>
    <t>DAY</t>
  </si>
  <si>
    <t>Data</t>
  </si>
  <si>
    <t>Grand Total</t>
  </si>
  <si>
    <t>Sum of Gamma</t>
  </si>
  <si>
    <t>Sum of Rho</t>
  </si>
  <si>
    <t>Sum of Drift</t>
  </si>
  <si>
    <t>Sum of Vega</t>
  </si>
  <si>
    <t>Sum of Theta</t>
  </si>
  <si>
    <t>MAY00-OCT00</t>
  </si>
  <si>
    <t>Total Sum of Gamma</t>
  </si>
  <si>
    <t>Total Sum of Rho</t>
  </si>
  <si>
    <t>Total Sum of Drift</t>
  </si>
  <si>
    <t>Total Sum of Vega</t>
  </si>
  <si>
    <t>Total Sum of Theta</t>
  </si>
  <si>
    <t>(blank)</t>
  </si>
  <si>
    <t>NOTE: THIS COLUMN OF POSITIONS IS NOT INCLUDED IN THE TOTAL NYMEX BECAUSE IT IS IN THE SYSTEM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</si>
  <si>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</si>
  <si>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</si>
  <si>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</si>
  <si>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</si>
  <si>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</si>
  <si>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</si>
  <si>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</si>
  <si>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</si>
  <si>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</si>
  <si>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</si>
  <si>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NGI-SOCAL</t>
  </si>
  <si>
    <t>p</t>
  </si>
  <si>
    <t>Prior Day Disc. Factor</t>
  </si>
  <si>
    <t>Today Disc. Factor</t>
  </si>
  <si>
    <t>book_id</t>
  </si>
  <si>
    <t>master_deal_id</t>
  </si>
  <si>
    <t>instrument_type_cd</t>
  </si>
  <si>
    <t>otc_exchange_cd</t>
  </si>
  <si>
    <t>deal_nature_cd</t>
  </si>
  <si>
    <t>external_cp_cd</t>
  </si>
  <si>
    <t>internal_cp_cd</t>
  </si>
  <si>
    <t>region_cd</t>
  </si>
  <si>
    <t>opt_class_cd</t>
  </si>
  <si>
    <t>premium_currency_cd</t>
  </si>
  <si>
    <t>reference_dt</t>
  </si>
  <si>
    <t>mtm_value_amt</t>
  </si>
  <si>
    <t>expiry_dt</t>
  </si>
  <si>
    <t>call_put_cd</t>
  </si>
  <si>
    <t>strike_price_amt</t>
  </si>
  <si>
    <t>energy_conversion_factor</t>
  </si>
  <si>
    <t>curve_cd_correlation_num</t>
  </si>
  <si>
    <t>cross_gamma_qty</t>
  </si>
  <si>
    <t>option_premium_amt</t>
  </si>
  <si>
    <t>premium_due_dt</t>
  </si>
  <si>
    <t>price_curve_cd</t>
  </si>
  <si>
    <t>sprd_2nd_curve_cd</t>
  </si>
  <si>
    <t>commodity_cd</t>
  </si>
  <si>
    <t>sprd_2nd_cmdty</t>
  </si>
  <si>
    <t>currency_cd</t>
  </si>
  <si>
    <t>uom_cd</t>
  </si>
  <si>
    <t>sprd_2nd_uomd</t>
  </si>
  <si>
    <t>risk_type_cd</t>
  </si>
  <si>
    <t>gross_position_qty</t>
  </si>
  <si>
    <t>delta_position_qty</t>
  </si>
  <si>
    <t>sprd_2nd_delta</t>
  </si>
  <si>
    <t>gamma_num</t>
  </si>
  <si>
    <t>sprd_2nd_gamma</t>
  </si>
  <si>
    <t>curve_shift_amt</t>
  </si>
  <si>
    <t>sprd_2nd_curve_shift</t>
  </si>
  <si>
    <t>peakness_cd</t>
  </si>
  <si>
    <t>vega_num</t>
  </si>
  <si>
    <t>sprd_2nd_vega</t>
  </si>
  <si>
    <t>fixed_price_amt</t>
  </si>
  <si>
    <t>NG-OPT-XL-PRC</t>
  </si>
  <si>
    <t>O</t>
  </si>
  <si>
    <t>USD</t>
  </si>
  <si>
    <t>MMBTU</t>
  </si>
  <si>
    <t>IF-ELPO/SJ</t>
  </si>
  <si>
    <t>Srike</t>
  </si>
  <si>
    <t>Payoff</t>
  </si>
  <si>
    <t>Payment</t>
  </si>
  <si>
    <t>Put/</t>
  </si>
  <si>
    <t>EUR</t>
  </si>
  <si>
    <t>DIGITAL OPTIONS</t>
  </si>
  <si>
    <t>Total MTM:</t>
  </si>
  <si>
    <t>Digital</t>
  </si>
  <si>
    <t>HELMERICHPAYNE</t>
  </si>
  <si>
    <t>N29863</t>
  </si>
  <si>
    <t>IF-ANR/OK</t>
  </si>
  <si>
    <t>Contract</t>
  </si>
  <si>
    <t>E</t>
  </si>
  <si>
    <t>Internal</t>
  </si>
  <si>
    <t>External</t>
  </si>
  <si>
    <t>N/A</t>
  </si>
  <si>
    <t>DESK</t>
  </si>
  <si>
    <t>OPTION</t>
  </si>
  <si>
    <t>N</t>
  </si>
  <si>
    <t>IF-TGT/ZSL</t>
  </si>
  <si>
    <t>Total P/L</t>
  </si>
  <si>
    <t>MICHAELPET</t>
  </si>
  <si>
    <t>extendable collars</t>
  </si>
  <si>
    <t>basis option</t>
  </si>
  <si>
    <t>basket options</t>
  </si>
  <si>
    <t>digital options</t>
  </si>
  <si>
    <t>DO NOT DELETE OR MOVE!!</t>
  </si>
  <si>
    <t>EM1452.2</t>
  </si>
  <si>
    <t>N33626.2</t>
  </si>
  <si>
    <t>STATOILENETRA</t>
  </si>
  <si>
    <t>RELIANTENESER</t>
  </si>
  <si>
    <t>ENA</t>
  </si>
  <si>
    <t>LT-TRANS-EA</t>
  </si>
  <si>
    <t>NA9501.1</t>
  </si>
  <si>
    <t>Digital Options</t>
  </si>
  <si>
    <t>Total Cash Flows</t>
  </si>
  <si>
    <t>PV Factor</t>
  </si>
  <si>
    <t>Undiscounted Cash Flows</t>
  </si>
  <si>
    <t>TXUENETRA</t>
  </si>
  <si>
    <t>UPRENESER</t>
  </si>
  <si>
    <t>NB4804</t>
  </si>
  <si>
    <t>ELPASMER</t>
  </si>
  <si>
    <t>HIGHLANDENECOM</t>
  </si>
  <si>
    <t>SOUTHERCOMENEMA</t>
  </si>
  <si>
    <t>NE3899</t>
  </si>
  <si>
    <t>TRACTEBEENMAR</t>
  </si>
  <si>
    <t>NE3901</t>
  </si>
  <si>
    <t>DUKEENETRA</t>
  </si>
  <si>
    <t>NE3903</t>
  </si>
  <si>
    <t>DYNEGYMARAND</t>
  </si>
  <si>
    <t>NE3906</t>
  </si>
  <si>
    <t>NE5062.1</t>
  </si>
  <si>
    <t>NE5062.2</t>
  </si>
  <si>
    <t>OMICRON</t>
  </si>
  <si>
    <t>blank</t>
  </si>
  <si>
    <t>Contracts</t>
  </si>
  <si>
    <t>Sum of Contracts</t>
  </si>
  <si>
    <t>(All)</t>
  </si>
  <si>
    <t>JARON</t>
  </si>
  <si>
    <t>NE6161.1</t>
  </si>
  <si>
    <t>NE6161.2</t>
  </si>
  <si>
    <t>NE6195</t>
  </si>
  <si>
    <t>NE6212</t>
  </si>
  <si>
    <t>NE7612</t>
  </si>
  <si>
    <t>NE8609</t>
  </si>
  <si>
    <t>NE8644</t>
  </si>
  <si>
    <t>NE9017</t>
  </si>
  <si>
    <t>NF0077.1</t>
  </si>
  <si>
    <t>NF0077.2</t>
  </si>
  <si>
    <t>NF0106.1</t>
  </si>
  <si>
    <t>NF0106.2</t>
  </si>
  <si>
    <t>NF1092.1</t>
  </si>
  <si>
    <t>NF1092.2</t>
  </si>
  <si>
    <t>NF1105.1</t>
  </si>
  <si>
    <t>NF1105.2</t>
  </si>
  <si>
    <t>NF1114.1</t>
  </si>
  <si>
    <t>NF1114.2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</si>
</sst>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"/>
    <numFmt numFmtId="171" formatCode="_(* #,##0_);_(* \(#,##0\);_(* &quot;-&quot;??_);_(@_)"/>
    <numFmt numFmtId="184" formatCode="_-&quot;£&quot;* #,##0_-;\-&quot;£&quot;* #,##0_-;_-&quot;£&quot;* &quot;-&quot;_-;_-@_-"/>
    <numFmt numFmtId="185" formatCode="_-* #,##0_-;\-* #,##0_-;_-* &quot;-&quot;_-;_-@_-"/>
    <numFmt numFmtId="186" formatCode="_-&quot;£&quot;* #,##0.00_-;\-&quot;£&quot;* #,##0.00_-;_-&quot;£&quot;* &quot;-&quot;??_-;_-@_-"/>
    <numFmt numFmtId="187" formatCode="_-* #,##0.00_-;\-* #,##0.00_-;_-* &quot;-&quot;??_-;_-@_-"/>
    <numFmt numFmtId="198" formatCode="0.0%"/>
    <numFmt numFmtId="203" formatCode="mmm\-dd\-yy"/>
    <numFmt numFmtId="205" formatCode="d\-mmm\-yyyy"/>
    <numFmt numFmtId="213" formatCode="_(&quot;$&quot;* #,##0.0000_);_(&quot;$&quot;* \(#,##0.0000\);_(&quot;$&quot;* &quot;-&quot;??_);_(@_)"/>
    <numFmt numFmtId="214" formatCode="mmmm\-yy"/>
    <numFmt numFmtId="216" formatCode="_(&quot;$&quot;* #,##0_);_(&quot;$&quot;* \(#,##0\);_(&quot;$&quot;* &quot;-&quot;??_);_(@_)"/>
    <numFmt numFmtId="217" formatCode="0.000%"/>
    <numFmt numFmtId="219" formatCode="#,##0.0_);[Red]\(#,##0.0\)"/>
    <numFmt numFmtId="220" formatCode="0_);[Red]\(0\)"/>
    <numFmt numFmtId="221" formatCode="0_);\(0\)"/>
    <numFmt numFmtId="223" formatCode="General_)"/>
    <numFmt numFmtId="272" formatCode="_(* #,##0.000_);_(* \(#,##0.000\);_(* &quot;-&quot;??_);_(@_)"/>
    <numFmt numFmtId="274" formatCode="_(* #,##0.00000_);_(* \(#,##0.00000\);_(* &quot;-&quot;??_);_(@_)"/>
    <numFmt numFmtId="275" formatCode="mm\-dd\-yyyy"/>
    <numFmt numFmtId="277" formatCode="_(* #,##0.000000_);_(* \(#,##0.000000\);_(* &quot;-&quot;??_);_(@_)"/>
    <numFmt numFmtId="280" formatCode="0.0000_);\(0.0000\)"/>
  </numFmts>
  <fonts count="37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Times New Roman"/>
    </font>
    <font>
      <sz val="10"/>
      <name val="Times New Roman"/>
      <family val="1"/>
    </font>
    <font>
      <b/>
      <sz val="10"/>
      <color indexed="16"/>
      <name val="Times New Roman"/>
      <family val="1"/>
    </font>
    <font>
      <sz val="10"/>
      <color indexed="32"/>
      <name val="Times New Roman"/>
      <family val="1"/>
    </font>
    <font>
      <b/>
      <sz val="10"/>
      <color indexed="8"/>
      <name val="Times New Roman"/>
      <family val="1"/>
    </font>
    <font>
      <b/>
      <sz val="11"/>
      <name val="Times New Roman"/>
      <family val="1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Times New Roman"/>
      <family val="1"/>
    </font>
    <font>
      <b/>
      <sz val="16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sz val="9"/>
      <name val="Arial"/>
    </font>
    <font>
      <sz val="9"/>
      <name val="Times New Roman"/>
      <family val="1"/>
    </font>
    <font>
      <sz val="11"/>
      <name val="Arial"/>
      <family val="2"/>
    </font>
    <font>
      <sz val="10"/>
      <name val="Tms Rmn"/>
    </font>
    <font>
      <sz val="10"/>
      <name val="Courier"/>
    </font>
    <font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sz val="14"/>
      <name val="Times New Roman"/>
      <family val="1"/>
    </font>
    <font>
      <b/>
      <sz val="10"/>
      <color indexed="10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name val="Helvetica"/>
      <family val="2"/>
    </font>
    <font>
      <sz val="10"/>
      <color indexed="8"/>
      <name val="Helvetica"/>
      <family val="2"/>
    </font>
    <font>
      <b/>
      <sz val="10"/>
      <color indexed="2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448">
    <xf numFmtId="0" fontId="0" fillId="0" borderId="0" xfId="0"/>
    <xf numFmtId="44" fontId="7" fillId="2" borderId="1" xfId="2" applyFont="1" applyFill="1" applyBorder="1" applyAlignment="1">
      <alignment horizontal="center" vertical="top"/>
    </xf>
    <xf numFmtId="2" fontId="7" fillId="2" borderId="1" xfId="2" applyNumberFormat="1" applyFont="1" applyFill="1" applyBorder="1" applyAlignment="1">
      <alignment horizontal="center" vertical="top"/>
    </xf>
    <xf numFmtId="44" fontId="7" fillId="2" borderId="2" xfId="2" applyFont="1" applyFill="1" applyBorder="1" applyAlignment="1">
      <alignment horizontal="center" vertical="top"/>
    </xf>
    <xf numFmtId="0" fontId="4" fillId="0" borderId="0" xfId="0" applyFont="1" applyBorder="1"/>
    <xf numFmtId="15" fontId="4" fillId="0" borderId="0" xfId="0" applyNumberFormat="1" applyFont="1" applyBorder="1"/>
    <xf numFmtId="3" fontId="4" fillId="0" borderId="0" xfId="0" applyNumberFormat="1" applyFont="1" applyBorder="1"/>
    <xf numFmtId="2" fontId="4" fillId="0" borderId="0" xfId="0" applyNumberFormat="1" applyFont="1" applyBorder="1"/>
    <xf numFmtId="198" fontId="7" fillId="2" borderId="1" xfId="2" applyNumberFormat="1" applyFont="1" applyFill="1" applyBorder="1" applyAlignment="1">
      <alignment horizontal="center" vertical="top"/>
    </xf>
    <xf numFmtId="9" fontId="4" fillId="0" borderId="0" xfId="4" applyFont="1" applyBorder="1"/>
    <xf numFmtId="44" fontId="0" fillId="0" borderId="0" xfId="2" applyFont="1"/>
    <xf numFmtId="0" fontId="8" fillId="0" borderId="0" xfId="0" applyFont="1" applyAlignment="1">
      <alignment horizontal="right"/>
    </xf>
    <xf numFmtId="14" fontId="8" fillId="0" borderId="0" xfId="0" applyNumberFormat="1" applyFont="1" applyAlignment="1">
      <alignment horizontal="right"/>
    </xf>
    <xf numFmtId="0" fontId="8" fillId="3" borderId="3" xfId="0" applyFont="1" applyFill="1" applyBorder="1" applyAlignment="1">
      <alignment horizontal="centerContinuous"/>
    </xf>
    <xf numFmtId="14" fontId="8" fillId="3" borderId="4" xfId="0" applyNumberFormat="1" applyFont="1" applyFill="1" applyBorder="1" applyAlignment="1">
      <alignment horizontal="centerContinuous"/>
    </xf>
    <xf numFmtId="0" fontId="0" fillId="3" borderId="4" xfId="0" applyFill="1" applyBorder="1" applyAlignment="1">
      <alignment horizontal="centerContinuous"/>
    </xf>
    <xf numFmtId="0" fontId="0" fillId="4" borderId="4" xfId="0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9" fillId="0" borderId="0" xfId="0" applyFont="1" applyAlignment="1">
      <alignment horizontal="centerContinuous"/>
    </xf>
    <xf numFmtId="214" fontId="10" fillId="7" borderId="7" xfId="0" applyNumberFormat="1" applyFont="1" applyFill="1" applyBorder="1"/>
    <xf numFmtId="0" fontId="10" fillId="7" borderId="8" xfId="0" applyFont="1" applyFill="1" applyBorder="1"/>
    <xf numFmtId="214" fontId="10" fillId="7" borderId="9" xfId="0" applyNumberFormat="1" applyFont="1" applyFill="1" applyBorder="1"/>
    <xf numFmtId="0" fontId="10" fillId="7" borderId="10" xfId="0" applyFont="1" applyFill="1" applyBorder="1"/>
    <xf numFmtId="214" fontId="10" fillId="7" borderId="11" xfId="0" applyNumberFormat="1" applyFont="1" applyFill="1" applyBorder="1"/>
    <xf numFmtId="0" fontId="10" fillId="7" borderId="6" xfId="0" applyFont="1" applyFill="1" applyBorder="1"/>
    <xf numFmtId="10" fontId="0" fillId="8" borderId="12" xfId="4" applyNumberFormat="1" applyFont="1" applyFill="1" applyBorder="1"/>
    <xf numFmtId="10" fontId="0" fillId="8" borderId="8" xfId="4" applyNumberFormat="1" applyFont="1" applyFill="1" applyBorder="1"/>
    <xf numFmtId="10" fontId="0" fillId="8" borderId="0" xfId="4" applyNumberFormat="1" applyFont="1" applyFill="1" applyBorder="1"/>
    <xf numFmtId="10" fontId="0" fillId="8" borderId="10" xfId="4" applyNumberFormat="1" applyFont="1" applyFill="1" applyBorder="1"/>
    <xf numFmtId="10" fontId="0" fillId="8" borderId="13" xfId="4" applyNumberFormat="1" applyFont="1" applyFill="1" applyBorder="1"/>
    <xf numFmtId="10" fontId="0" fillId="8" borderId="6" xfId="4" applyNumberFormat="1" applyFont="1" applyFill="1" applyBorder="1"/>
    <xf numFmtId="0" fontId="12" fillId="9" borderId="14" xfId="0" applyFont="1" applyFill="1" applyBorder="1" applyAlignment="1">
      <alignment horizontal="centerContinuous"/>
    </xf>
    <xf numFmtId="0" fontId="12" fillId="9" borderId="15" xfId="0" applyFont="1" applyFill="1" applyBorder="1" applyAlignment="1">
      <alignment horizontal="centerContinuous"/>
    </xf>
    <xf numFmtId="0" fontId="12" fillId="9" borderId="16" xfId="0" applyFont="1" applyFill="1" applyBorder="1" applyAlignment="1">
      <alignment horizontal="centerContinuous"/>
    </xf>
    <xf numFmtId="0" fontId="8" fillId="10" borderId="17" xfId="0" applyFont="1" applyFill="1" applyBorder="1"/>
    <xf numFmtId="0" fontId="8" fillId="10" borderId="18" xfId="0" applyFont="1" applyFill="1" applyBorder="1"/>
    <xf numFmtId="214" fontId="13" fillId="11" borderId="19" xfId="0" applyNumberFormat="1" applyFont="1" applyFill="1" applyBorder="1"/>
    <xf numFmtId="214" fontId="13" fillId="11" borderId="20" xfId="0" applyNumberFormat="1" applyFont="1" applyFill="1" applyBorder="1"/>
    <xf numFmtId="214" fontId="13" fillId="11" borderId="21" xfId="0" applyNumberFormat="1" applyFont="1" applyFill="1" applyBorder="1"/>
    <xf numFmtId="171" fontId="11" fillId="7" borderId="0" xfId="1" applyNumberFormat="1" applyFont="1" applyFill="1" applyBorder="1"/>
    <xf numFmtId="171" fontId="11" fillId="7" borderId="22" xfId="1" applyNumberFormat="1" applyFont="1" applyFill="1" applyBorder="1"/>
    <xf numFmtId="171" fontId="11" fillId="7" borderId="23" xfId="1" applyNumberFormat="1" applyFont="1" applyFill="1" applyBorder="1"/>
    <xf numFmtId="171" fontId="11" fillId="7" borderId="24" xfId="1" applyNumberFormat="1" applyFont="1" applyFill="1" applyBorder="1"/>
    <xf numFmtId="0" fontId="8" fillId="4" borderId="4" xfId="0" applyFont="1" applyFill="1" applyBorder="1" applyAlignment="1">
      <alignment horizontal="centerContinuous"/>
    </xf>
    <xf numFmtId="198" fontId="7" fillId="2" borderId="25" xfId="2" applyNumberFormat="1" applyFont="1" applyFill="1" applyBorder="1" applyAlignment="1">
      <alignment horizontal="center" vertical="top"/>
    </xf>
    <xf numFmtId="0" fontId="13" fillId="10" borderId="26" xfId="0" applyFont="1" applyFill="1" applyBorder="1" applyAlignment="1">
      <alignment horizontal="centerContinuous"/>
    </xf>
    <xf numFmtId="0" fontId="13" fillId="10" borderId="27" xfId="0" applyFont="1" applyFill="1" applyBorder="1"/>
    <xf numFmtId="0" fontId="4" fillId="0" borderId="0" xfId="0" applyFont="1"/>
    <xf numFmtId="217" fontId="4" fillId="0" borderId="0" xfId="4" applyNumberFormat="1" applyFont="1"/>
    <xf numFmtId="165" fontId="4" fillId="0" borderId="0" xfId="0" applyNumberFormat="1" applyFont="1" applyBorder="1"/>
    <xf numFmtId="0" fontId="8" fillId="3" borderId="3" xfId="0" applyFont="1" applyFill="1" applyBorder="1" applyAlignment="1">
      <alignment horizontal="right"/>
    </xf>
    <xf numFmtId="0" fontId="0" fillId="4" borderId="13" xfId="0" applyFill="1" applyBorder="1" applyAlignment="1">
      <alignment horizontal="centerContinuous"/>
    </xf>
    <xf numFmtId="0" fontId="8" fillId="3" borderId="11" xfId="0" applyFont="1" applyFill="1" applyBorder="1" applyAlignment="1">
      <alignment horizontal="right"/>
    </xf>
    <xf numFmtId="216" fontId="11" fillId="3" borderId="6" xfId="2" applyNumberFormat="1" applyFont="1" applyFill="1" applyBorder="1" applyAlignment="1">
      <alignment horizontal="right"/>
    </xf>
    <xf numFmtId="0" fontId="8" fillId="3" borderId="5" xfId="0" applyFont="1" applyFill="1" applyBorder="1" applyAlignment="1">
      <alignment horizontal="right"/>
    </xf>
    <xf numFmtId="0" fontId="8" fillId="3" borderId="28" xfId="0" applyFont="1" applyFill="1" applyBorder="1" applyAlignment="1">
      <alignment horizontal="right"/>
    </xf>
    <xf numFmtId="171" fontId="11" fillId="3" borderId="2" xfId="1" applyNumberFormat="1" applyFont="1" applyFill="1" applyBorder="1" applyAlignment="1">
      <alignment horizontal="right"/>
    </xf>
    <xf numFmtId="0" fontId="11" fillId="0" borderId="0" xfId="0" applyFont="1"/>
    <xf numFmtId="0" fontId="14" fillId="4" borderId="2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Continuous"/>
    </xf>
    <xf numFmtId="15" fontId="4" fillId="0" borderId="9" xfId="0" applyNumberFormat="1" applyFont="1" applyBorder="1"/>
    <xf numFmtId="198" fontId="4" fillId="0" borderId="0" xfId="4" applyNumberFormat="1" applyFont="1" applyBorder="1"/>
    <xf numFmtId="10" fontId="4" fillId="0" borderId="0" xfId="4" applyNumberFormat="1" applyFont="1"/>
    <xf numFmtId="216" fontId="11" fillId="3" borderId="10" xfId="2" applyNumberFormat="1" applyFont="1" applyFill="1" applyBorder="1" applyAlignment="1">
      <alignment horizontal="right"/>
    </xf>
    <xf numFmtId="2" fontId="7" fillId="2" borderId="25" xfId="2" applyNumberFormat="1" applyFont="1" applyFill="1" applyBorder="1" applyAlignment="1">
      <alignment horizontal="center" vertical="top"/>
    </xf>
    <xf numFmtId="44" fontId="7" fillId="2" borderId="25" xfId="2" applyFont="1" applyFill="1" applyBorder="1" applyAlignment="1">
      <alignment horizontal="center" vertical="top"/>
    </xf>
    <xf numFmtId="0" fontId="8" fillId="4" borderId="3" xfId="0" applyFont="1" applyFill="1" applyBorder="1" applyAlignment="1">
      <alignment horizontal="centerContinuous"/>
    </xf>
    <xf numFmtId="0" fontId="8" fillId="6" borderId="0" xfId="0" applyFont="1" applyFill="1" applyBorder="1" applyAlignment="1">
      <alignment horizontal="right"/>
    </xf>
    <xf numFmtId="171" fontId="11" fillId="6" borderId="0" xfId="1" applyNumberFormat="1" applyFont="1" applyFill="1" applyBorder="1" applyAlignment="1">
      <alignment horizontal="right"/>
    </xf>
    <xf numFmtId="0" fontId="8" fillId="3" borderId="5" xfId="0" applyFont="1" applyFill="1" applyBorder="1" applyAlignment="1">
      <alignment horizontal="centerContinuous"/>
    </xf>
    <xf numFmtId="0" fontId="12" fillId="4" borderId="5" xfId="0" applyFont="1" applyFill="1" applyBorder="1" applyAlignment="1">
      <alignment horizontal="centerContinuous"/>
    </xf>
    <xf numFmtId="1" fontId="4" fillId="0" borderId="0" xfId="4" applyNumberFormat="1" applyFont="1"/>
    <xf numFmtId="44" fontId="4" fillId="0" borderId="0" xfId="2" applyFont="1"/>
    <xf numFmtId="213" fontId="4" fillId="0" borderId="0" xfId="2" applyNumberFormat="1" applyFont="1"/>
    <xf numFmtId="38" fontId="0" fillId="4" borderId="4" xfId="0" applyNumberFormat="1" applyFill="1" applyBorder="1" applyAlignment="1">
      <alignment horizontal="centerContinuous"/>
    </xf>
    <xf numFmtId="38" fontId="7" fillId="2" borderId="25" xfId="2" applyNumberFormat="1" applyFont="1" applyFill="1" applyBorder="1" applyAlignment="1">
      <alignment horizontal="center" vertical="top"/>
    </xf>
    <xf numFmtId="38" fontId="7" fillId="2" borderId="2" xfId="2" applyNumberFormat="1" applyFont="1" applyFill="1" applyBorder="1" applyAlignment="1">
      <alignment horizontal="center" vertical="top"/>
    </xf>
    <xf numFmtId="38" fontId="0" fillId="0" borderId="0" xfId="2" applyNumberFormat="1" applyFont="1"/>
    <xf numFmtId="0" fontId="11" fillId="3" borderId="8" xfId="0" applyFont="1" applyFill="1" applyBorder="1"/>
    <xf numFmtId="44" fontId="11" fillId="3" borderId="5" xfId="0" applyNumberFormat="1" applyFont="1" applyFill="1" applyBorder="1"/>
    <xf numFmtId="38" fontId="11" fillId="3" borderId="5" xfId="0" applyNumberFormat="1" applyFont="1" applyFill="1" applyBorder="1"/>
    <xf numFmtId="0" fontId="8" fillId="3" borderId="1" xfId="0" applyFont="1" applyFill="1" applyBorder="1"/>
    <xf numFmtId="0" fontId="11" fillId="3" borderId="2" xfId="0" applyFont="1" applyFill="1" applyBorder="1"/>
    <xf numFmtId="217" fontId="4" fillId="0" borderId="0" xfId="1" applyNumberFormat="1" applyFont="1"/>
    <xf numFmtId="217" fontId="0" fillId="0" borderId="0" xfId="0" applyNumberFormat="1"/>
    <xf numFmtId="0" fontId="15" fillId="0" borderId="0" xfId="0" applyFont="1"/>
    <xf numFmtId="0" fontId="16" fillId="0" borderId="0" xfId="0" applyFont="1"/>
    <xf numFmtId="0" fontId="8" fillId="5" borderId="16" xfId="0" applyFont="1" applyFill="1" applyBorder="1"/>
    <xf numFmtId="0" fontId="11" fillId="8" borderId="29" xfId="0" applyFont="1" applyFill="1" applyBorder="1"/>
    <xf numFmtId="0" fontId="8" fillId="5" borderId="30" xfId="0" applyFont="1" applyFill="1" applyBorder="1"/>
    <xf numFmtId="0" fontId="8" fillId="5" borderId="31" xfId="0" applyFont="1" applyFill="1" applyBorder="1"/>
    <xf numFmtId="0" fontId="8" fillId="5" borderId="32" xfId="0" applyFont="1" applyFill="1" applyBorder="1"/>
    <xf numFmtId="38" fontId="4" fillId="12" borderId="0" xfId="1" applyNumberFormat="1" applyFont="1" applyFill="1" applyBorder="1"/>
    <xf numFmtId="38" fontId="4" fillId="12" borderId="22" xfId="1" applyNumberFormat="1" applyFont="1" applyFill="1" applyBorder="1"/>
    <xf numFmtId="38" fontId="4" fillId="12" borderId="23" xfId="1" applyNumberFormat="1" applyFont="1" applyFill="1" applyBorder="1"/>
    <xf numFmtId="38" fontId="4" fillId="12" borderId="24" xfId="1" applyNumberFormat="1" applyFont="1" applyFill="1" applyBorder="1"/>
    <xf numFmtId="171" fontId="4" fillId="12" borderId="7" xfId="1" applyNumberFormat="1" applyFont="1" applyFill="1" applyBorder="1"/>
    <xf numFmtId="44" fontId="4" fillId="12" borderId="26" xfId="2" applyFont="1" applyFill="1" applyBorder="1"/>
    <xf numFmtId="214" fontId="4" fillId="6" borderId="0" xfId="0" applyNumberFormat="1" applyFont="1" applyFill="1" applyBorder="1"/>
    <xf numFmtId="38" fontId="4" fillId="6" borderId="0" xfId="1" applyNumberFormat="1" applyFont="1" applyFill="1" applyBorder="1"/>
    <xf numFmtId="214" fontId="4" fillId="8" borderId="19" xfId="0" applyNumberFormat="1" applyFont="1" applyFill="1" applyBorder="1"/>
    <xf numFmtId="214" fontId="4" fillId="8" borderId="20" xfId="0" applyNumberFormat="1" applyFont="1" applyFill="1" applyBorder="1"/>
    <xf numFmtId="214" fontId="4" fillId="8" borderId="21" xfId="0" applyNumberFormat="1" applyFont="1" applyFill="1" applyBorder="1"/>
    <xf numFmtId="0" fontId="8" fillId="5" borderId="33" xfId="0" applyFont="1" applyFill="1" applyBorder="1"/>
    <xf numFmtId="171" fontId="4" fillId="12" borderId="9" xfId="1" applyNumberFormat="1" applyFont="1" applyFill="1" applyBorder="1"/>
    <xf numFmtId="44" fontId="4" fillId="12" borderId="34" xfId="2" applyFont="1" applyFill="1" applyBorder="1"/>
    <xf numFmtId="0" fontId="11" fillId="8" borderId="35" xfId="0" applyFont="1" applyFill="1" applyBorder="1"/>
    <xf numFmtId="171" fontId="4" fillId="12" borderId="36" xfId="1" applyNumberFormat="1" applyFont="1" applyFill="1" applyBorder="1"/>
    <xf numFmtId="44" fontId="4" fillId="12" borderId="37" xfId="2" applyFont="1" applyFill="1" applyBorder="1"/>
    <xf numFmtId="0" fontId="4" fillId="3" borderId="4" xfId="0" applyFont="1" applyFill="1" applyBorder="1" applyAlignment="1">
      <alignment horizontal="centerContinuous"/>
    </xf>
    <xf numFmtId="0" fontId="4" fillId="3" borderId="5" xfId="0" applyFont="1" applyFill="1" applyBorder="1" applyAlignment="1">
      <alignment horizontal="centerContinuous"/>
    </xf>
    <xf numFmtId="0" fontId="4" fillId="4" borderId="4" xfId="0" applyFont="1" applyFill="1" applyBorder="1" applyAlignment="1">
      <alignment horizontal="centerContinuous"/>
    </xf>
    <xf numFmtId="0" fontId="4" fillId="4" borderId="13" xfId="0" applyFont="1" applyFill="1" applyBorder="1" applyAlignment="1">
      <alignment horizontal="centerContinuous"/>
    </xf>
    <xf numFmtId="0" fontId="4" fillId="4" borderId="6" xfId="0" applyFont="1" applyFill="1" applyBorder="1" applyAlignment="1">
      <alignment horizontal="centerContinuous"/>
    </xf>
    <xf numFmtId="0" fontId="11" fillId="10" borderId="7" xfId="0" applyFont="1" applyFill="1" applyBorder="1" applyAlignment="1">
      <alignment horizontal="centerContinuous"/>
    </xf>
    <xf numFmtId="0" fontId="11" fillId="10" borderId="12" xfId="0" applyFont="1" applyFill="1" applyBorder="1" applyAlignment="1">
      <alignment horizontal="centerContinuous"/>
    </xf>
    <xf numFmtId="0" fontId="11" fillId="10" borderId="38" xfId="0" applyFont="1" applyFill="1" applyBorder="1" applyAlignment="1">
      <alignment horizontal="centerContinuous"/>
    </xf>
    <xf numFmtId="0" fontId="11" fillId="10" borderId="26" xfId="0" applyFont="1" applyFill="1" applyBorder="1" applyAlignment="1">
      <alignment horizontal="centerContinuous"/>
    </xf>
    <xf numFmtId="0" fontId="11" fillId="10" borderId="11" xfId="0" applyFont="1" applyFill="1" applyBorder="1"/>
    <xf numFmtId="0" fontId="11" fillId="10" borderId="13" xfId="0" applyFont="1" applyFill="1" applyBorder="1"/>
    <xf numFmtId="0" fontId="11" fillId="10" borderId="39" xfId="0" applyFont="1" applyFill="1" applyBorder="1"/>
    <xf numFmtId="0" fontId="11" fillId="10" borderId="27" xfId="0" applyFont="1" applyFill="1" applyBorder="1"/>
    <xf numFmtId="171" fontId="4" fillId="0" borderId="0" xfId="1" applyNumberFormat="1" applyFont="1"/>
    <xf numFmtId="214" fontId="11" fillId="11" borderId="19" xfId="0" applyNumberFormat="1" applyFont="1" applyFill="1" applyBorder="1"/>
    <xf numFmtId="214" fontId="11" fillId="11" borderId="20" xfId="0" applyNumberFormat="1" applyFont="1" applyFill="1" applyBorder="1"/>
    <xf numFmtId="43" fontId="4" fillId="0" borderId="0" xfId="1" applyFont="1"/>
    <xf numFmtId="43" fontId="4" fillId="0" borderId="0" xfId="1" applyFont="1" applyBorder="1"/>
    <xf numFmtId="38" fontId="11" fillId="12" borderId="22" xfId="1" applyNumberFormat="1" applyFont="1" applyFill="1" applyBorder="1"/>
    <xf numFmtId="0" fontId="11" fillId="13" borderId="40" xfId="0" applyFont="1" applyFill="1" applyBorder="1"/>
    <xf numFmtId="44" fontId="4" fillId="4" borderId="16" xfId="2" applyFont="1" applyFill="1" applyBorder="1"/>
    <xf numFmtId="0" fontId="11" fillId="13" borderId="20" xfId="0" applyFont="1" applyFill="1" applyBorder="1"/>
    <xf numFmtId="44" fontId="4" fillId="4" borderId="22" xfId="2" applyFont="1" applyFill="1" applyBorder="1"/>
    <xf numFmtId="0" fontId="11" fillId="13" borderId="21" xfId="0" applyFont="1" applyFill="1" applyBorder="1"/>
    <xf numFmtId="44" fontId="4" fillId="4" borderId="41" xfId="2" applyFont="1" applyFill="1" applyBorder="1"/>
    <xf numFmtId="44" fontId="4" fillId="0" borderId="0" xfId="0" applyNumberFormat="1" applyFont="1"/>
    <xf numFmtId="10" fontId="0" fillId="14" borderId="0" xfId="4" applyNumberFormat="1" applyFont="1" applyFill="1" applyBorder="1"/>
    <xf numFmtId="10" fontId="0" fillId="14" borderId="10" xfId="4" applyNumberFormat="1" applyFont="1" applyFill="1" applyBorder="1"/>
    <xf numFmtId="0" fontId="0" fillId="0" borderId="0" xfId="0" applyBorder="1"/>
    <xf numFmtId="15" fontId="0" fillId="0" borderId="0" xfId="0" applyNumberFormat="1"/>
    <xf numFmtId="17" fontId="0" fillId="0" borderId="0" xfId="0" applyNumberFormat="1"/>
    <xf numFmtId="0" fontId="13" fillId="0" borderId="0" xfId="0" applyFont="1"/>
    <xf numFmtId="14" fontId="20" fillId="0" borderId="0" xfId="0" applyNumberFormat="1" applyFont="1"/>
    <xf numFmtId="0" fontId="20" fillId="0" borderId="0" xfId="0" applyFont="1"/>
    <xf numFmtId="44" fontId="11" fillId="3" borderId="2" xfId="2" applyFont="1" applyFill="1" applyBorder="1" applyAlignment="1">
      <alignment horizontal="right"/>
    </xf>
    <xf numFmtId="37" fontId="11" fillId="3" borderId="2" xfId="2" applyNumberFormat="1" applyFont="1" applyFill="1" applyBorder="1" applyAlignment="1">
      <alignment horizontal="right"/>
    </xf>
    <xf numFmtId="221" fontId="0" fillId="0" borderId="0" xfId="0" applyNumberFormat="1"/>
    <xf numFmtId="217" fontId="0" fillId="0" borderId="0" xfId="4" applyNumberFormat="1" applyFont="1"/>
    <xf numFmtId="0" fontId="11" fillId="10" borderId="27" xfId="0" applyFont="1" applyFill="1" applyBorder="1" applyAlignment="1">
      <alignment horizontal="center"/>
    </xf>
    <xf numFmtId="171" fontId="0" fillId="0" borderId="0" xfId="1" applyNumberFormat="1" applyFont="1"/>
    <xf numFmtId="0" fontId="21" fillId="0" borderId="0" xfId="0" applyFont="1"/>
    <xf numFmtId="0" fontId="22" fillId="0" borderId="0" xfId="0" applyFont="1"/>
    <xf numFmtId="43" fontId="22" fillId="0" borderId="0" xfId="1" applyFont="1"/>
    <xf numFmtId="0" fontId="22" fillId="0" borderId="0" xfId="0" applyFont="1" applyBorder="1"/>
    <xf numFmtId="43" fontId="22" fillId="0" borderId="0" xfId="1" applyFont="1" applyBorder="1"/>
    <xf numFmtId="43" fontId="0" fillId="0" borderId="0" xfId="1" applyFont="1" applyBorder="1"/>
    <xf numFmtId="217" fontId="4" fillId="0" borderId="0" xfId="4" applyNumberFormat="1" applyFont="1" applyBorder="1"/>
    <xf numFmtId="213" fontId="4" fillId="0" borderId="0" xfId="2" applyNumberFormat="1" applyFont="1" applyBorder="1"/>
    <xf numFmtId="171" fontId="4" fillId="0" borderId="0" xfId="1" applyNumberFormat="1" applyFont="1" applyBorder="1"/>
    <xf numFmtId="44" fontId="4" fillId="0" borderId="0" xfId="2" applyFont="1" applyBorder="1"/>
    <xf numFmtId="38" fontId="0" fillId="6" borderId="0" xfId="1" applyNumberFormat="1" applyFont="1" applyFill="1" applyBorder="1"/>
    <xf numFmtId="17" fontId="13" fillId="6" borderId="42" xfId="0" applyNumberFormat="1" applyFont="1" applyFill="1" applyBorder="1"/>
    <xf numFmtId="0" fontId="13" fillId="6" borderId="43" xfId="0" applyFont="1" applyFill="1" applyBorder="1"/>
    <xf numFmtId="0" fontId="13" fillId="6" borderId="14" xfId="0" applyFont="1" applyFill="1" applyBorder="1"/>
    <xf numFmtId="0" fontId="13" fillId="6" borderId="15" xfId="0" applyFont="1" applyFill="1" applyBorder="1"/>
    <xf numFmtId="0" fontId="13" fillId="6" borderId="16" xfId="0" applyFont="1" applyFill="1" applyBorder="1"/>
    <xf numFmtId="0" fontId="13" fillId="6" borderId="44" xfId="0" applyFont="1" applyFill="1" applyBorder="1"/>
    <xf numFmtId="0" fontId="13" fillId="6" borderId="23" xfId="0" applyFont="1" applyFill="1" applyBorder="1"/>
    <xf numFmtId="0" fontId="13" fillId="6" borderId="24" xfId="0" applyFont="1" applyFill="1" applyBorder="1"/>
    <xf numFmtId="0" fontId="13" fillId="6" borderId="29" xfId="0" applyFont="1" applyFill="1" applyBorder="1"/>
    <xf numFmtId="0" fontId="13" fillId="6" borderId="0" xfId="0" applyFont="1" applyFill="1" applyBorder="1"/>
    <xf numFmtId="0" fontId="13" fillId="6" borderId="22" xfId="0" applyFont="1" applyFill="1" applyBorder="1"/>
    <xf numFmtId="0" fontId="13" fillId="6" borderId="45" xfId="0" applyFont="1" applyFill="1" applyBorder="1"/>
    <xf numFmtId="0" fontId="13" fillId="0" borderId="45" xfId="0" applyFont="1" applyBorder="1"/>
    <xf numFmtId="0" fontId="0" fillId="6" borderId="29" xfId="0" applyFill="1" applyBorder="1"/>
    <xf numFmtId="0" fontId="0" fillId="6" borderId="44" xfId="0" applyFill="1" applyBorder="1"/>
    <xf numFmtId="0" fontId="13" fillId="6" borderId="46" xfId="0" applyFont="1" applyFill="1" applyBorder="1"/>
    <xf numFmtId="0" fontId="0" fillId="6" borderId="47" xfId="0" applyFill="1" applyBorder="1"/>
    <xf numFmtId="171" fontId="13" fillId="6" borderId="48" xfId="0" applyNumberFormat="1" applyFont="1" applyFill="1" applyBorder="1"/>
    <xf numFmtId="38" fontId="0" fillId="6" borderId="29" xfId="1" applyNumberFormat="1" applyFont="1" applyFill="1" applyBorder="1"/>
    <xf numFmtId="38" fontId="0" fillId="6" borderId="44" xfId="1" applyNumberFormat="1" applyFont="1" applyFill="1" applyBorder="1"/>
    <xf numFmtId="38" fontId="0" fillId="6" borderId="23" xfId="1" applyNumberFormat="1" applyFont="1" applyFill="1" applyBorder="1"/>
    <xf numFmtId="171" fontId="13" fillId="6" borderId="46" xfId="0" applyNumberFormat="1" applyFont="1" applyFill="1" applyBorder="1"/>
    <xf numFmtId="38" fontId="0" fillId="6" borderId="46" xfId="1" applyNumberFormat="1" applyFont="1" applyFill="1" applyBorder="1"/>
    <xf numFmtId="38" fontId="13" fillId="11" borderId="42" xfId="1" applyNumberFormat="1" applyFont="1" applyFill="1" applyBorder="1" applyAlignment="1">
      <alignment horizontal="center"/>
    </xf>
    <xf numFmtId="38" fontId="13" fillId="11" borderId="45" xfId="1" applyNumberFormat="1" applyFont="1" applyFill="1" applyBorder="1" applyAlignment="1">
      <alignment horizontal="center"/>
    </xf>
    <xf numFmtId="38" fontId="13" fillId="11" borderId="42" xfId="0" applyNumberFormat="1" applyFont="1" applyFill="1" applyBorder="1" applyAlignment="1">
      <alignment horizontal="center"/>
    </xf>
    <xf numFmtId="38" fontId="13" fillId="11" borderId="43" xfId="0" applyNumberFormat="1" applyFont="1" applyFill="1" applyBorder="1" applyAlignment="1">
      <alignment horizontal="center"/>
    </xf>
    <xf numFmtId="171" fontId="13" fillId="11" borderId="43" xfId="0" applyNumberFormat="1" applyFont="1" applyFill="1" applyBorder="1" applyAlignment="1">
      <alignment horizontal="left"/>
    </xf>
    <xf numFmtId="171" fontId="13" fillId="11" borderId="47" xfId="0" applyNumberFormat="1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214" fontId="0" fillId="5" borderId="7" xfId="0" applyNumberFormat="1" applyFill="1" applyBorder="1"/>
    <xf numFmtId="214" fontId="0" fillId="5" borderId="9" xfId="0" applyNumberFormat="1" applyFill="1" applyBorder="1"/>
    <xf numFmtId="214" fontId="0" fillId="5" borderId="11" xfId="0" applyNumberFormat="1" applyFill="1" applyBorder="1"/>
    <xf numFmtId="0" fontId="24" fillId="15" borderId="9" xfId="0" applyFont="1" applyFill="1" applyBorder="1" applyAlignment="1">
      <alignment horizontal="center"/>
    </xf>
    <xf numFmtId="14" fontId="0" fillId="6" borderId="0" xfId="0" applyNumberFormat="1" applyFill="1" applyBorder="1"/>
    <xf numFmtId="0" fontId="8" fillId="5" borderId="49" xfId="0" applyFont="1" applyFill="1" applyBorder="1"/>
    <xf numFmtId="171" fontId="0" fillId="6" borderId="0" xfId="1" applyNumberFormat="1" applyFont="1" applyFill="1" applyBorder="1"/>
    <xf numFmtId="14" fontId="13" fillId="6" borderId="42" xfId="0" applyNumberFormat="1" applyFont="1" applyFill="1" applyBorder="1"/>
    <xf numFmtId="219" fontId="13" fillId="6" borderId="0" xfId="1" applyNumberFormat="1" applyFont="1" applyFill="1" applyBorder="1"/>
    <xf numFmtId="219" fontId="13" fillId="6" borderId="0" xfId="0" applyNumberFormat="1" applyFont="1" applyFill="1" applyBorder="1"/>
    <xf numFmtId="219" fontId="13" fillId="11" borderId="42" xfId="0" applyNumberFormat="1" applyFont="1" applyFill="1" applyBorder="1"/>
    <xf numFmtId="219" fontId="13" fillId="6" borderId="23" xfId="0" applyNumberFormat="1" applyFont="1" applyFill="1" applyBorder="1"/>
    <xf numFmtId="219" fontId="13" fillId="6" borderId="48" xfId="0" applyNumberFormat="1" applyFont="1" applyFill="1" applyBorder="1"/>
    <xf numFmtId="219" fontId="13" fillId="11" borderId="47" xfId="0" applyNumberFormat="1" applyFont="1" applyFill="1" applyBorder="1"/>
    <xf numFmtId="0" fontId="13" fillId="6" borderId="47" xfId="0" applyFont="1" applyFill="1" applyBorder="1"/>
    <xf numFmtId="0" fontId="4" fillId="6" borderId="0" xfId="3" applyFont="1" applyFill="1" applyBorder="1" applyAlignment="1">
      <alignment horizontal="right"/>
    </xf>
    <xf numFmtId="0" fontId="0" fillId="6" borderId="0" xfId="0" applyFill="1" applyBorder="1"/>
    <xf numFmtId="14" fontId="4" fillId="6" borderId="0" xfId="3" applyNumberFormat="1" applyFont="1" applyFill="1" applyBorder="1" applyAlignment="1" applyProtection="1">
      <alignment horizontal="right"/>
    </xf>
    <xf numFmtId="17" fontId="4" fillId="6" borderId="0" xfId="3" applyNumberFormat="1" applyFont="1" applyFill="1" applyBorder="1" applyAlignment="1" applyProtection="1">
      <alignment horizontal="right"/>
    </xf>
    <xf numFmtId="0" fontId="4" fillId="6" borderId="0" xfId="3" applyFont="1" applyFill="1" applyBorder="1" applyAlignment="1" applyProtection="1">
      <alignment horizontal="right"/>
    </xf>
    <xf numFmtId="0" fontId="13" fillId="11" borderId="14" xfId="0" applyFont="1" applyFill="1" applyBorder="1"/>
    <xf numFmtId="0" fontId="13" fillId="11" borderId="15" xfId="0" applyFont="1" applyFill="1" applyBorder="1"/>
    <xf numFmtId="0" fontId="0" fillId="11" borderId="15" xfId="0" applyFill="1" applyBorder="1"/>
    <xf numFmtId="43" fontId="0" fillId="0" borderId="4" xfId="0" applyNumberFormat="1" applyBorder="1"/>
    <xf numFmtId="43" fontId="0" fillId="0" borderId="5" xfId="0" applyNumberFormat="1" applyBorder="1"/>
    <xf numFmtId="44" fontId="14" fillId="2" borderId="0" xfId="2" applyFont="1" applyFill="1"/>
    <xf numFmtId="0" fontId="13" fillId="11" borderId="29" xfId="0" applyFont="1" applyFill="1" applyBorder="1"/>
    <xf numFmtId="0" fontId="13" fillId="11" borderId="0" xfId="0" applyFont="1" applyFill="1" applyBorder="1"/>
    <xf numFmtId="0" fontId="0" fillId="11" borderId="0" xfId="0" applyFill="1" applyBorder="1"/>
    <xf numFmtId="8" fontId="13" fillId="11" borderId="22" xfId="2" applyNumberFormat="1" applyFont="1" applyFill="1" applyBorder="1"/>
    <xf numFmtId="14" fontId="0" fillId="2" borderId="0" xfId="0" applyNumberFormat="1" applyFill="1"/>
    <xf numFmtId="0" fontId="13" fillId="11" borderId="44" xfId="0" applyFont="1" applyFill="1" applyBorder="1"/>
    <xf numFmtId="0" fontId="13" fillId="11" borderId="23" xfId="0" applyFont="1" applyFill="1" applyBorder="1"/>
    <xf numFmtId="0" fontId="0" fillId="11" borderId="23" xfId="0" applyFill="1" applyBorder="1"/>
    <xf numFmtId="8" fontId="13" fillId="11" borderId="50" xfId="2" applyNumberFormat="1" applyFont="1" applyFill="1" applyBorder="1"/>
    <xf numFmtId="44" fontId="0" fillId="0" borderId="0" xfId="0" applyNumberFormat="1"/>
    <xf numFmtId="44" fontId="13" fillId="0" borderId="0" xfId="0" applyNumberFormat="1" applyFont="1" applyAlignment="1">
      <alignment horizontal="center"/>
    </xf>
    <xf numFmtId="0" fontId="28" fillId="11" borderId="14" xfId="0" applyFont="1" applyFill="1" applyBorder="1"/>
    <xf numFmtId="0" fontId="28" fillId="11" borderId="15" xfId="0" applyFont="1" applyFill="1" applyBorder="1"/>
    <xf numFmtId="0" fontId="28" fillId="11" borderId="16" xfId="0" applyFont="1" applyFill="1" applyBorder="1"/>
    <xf numFmtId="0" fontId="1" fillId="0" borderId="23" xfId="0" applyFont="1" applyBorder="1" applyAlignment="1">
      <alignment horizontal="center" wrapText="1"/>
    </xf>
    <xf numFmtId="0" fontId="28" fillId="11" borderId="29" xfId="0" applyFont="1" applyFill="1" applyBorder="1"/>
    <xf numFmtId="0" fontId="29" fillId="11" borderId="23" xfId="0" applyFont="1" applyFill="1" applyBorder="1" applyAlignment="1">
      <alignment horizontal="center" wrapText="1"/>
    </xf>
    <xf numFmtId="0" fontId="29" fillId="11" borderId="24" xfId="0" applyFont="1" applyFill="1" applyBorder="1" applyAlignment="1">
      <alignment horizontal="center" wrapText="1"/>
    </xf>
    <xf numFmtId="43" fontId="0" fillId="0" borderId="0" xfId="0" applyNumberFormat="1"/>
    <xf numFmtId="2" fontId="0" fillId="0" borderId="0" xfId="0" applyNumberFormat="1"/>
    <xf numFmtId="8" fontId="13" fillId="6" borderId="14" xfId="2" applyNumberFormat="1" applyFont="1" applyFill="1" applyBorder="1"/>
    <xf numFmtId="8" fontId="13" fillId="6" borderId="15" xfId="2" applyNumberFormat="1" applyFont="1" applyFill="1" applyBorder="1"/>
    <xf numFmtId="8" fontId="13" fillId="6" borderId="16" xfId="0" applyNumberFormat="1" applyFont="1" applyFill="1" applyBorder="1"/>
    <xf numFmtId="8" fontId="13" fillId="6" borderId="0" xfId="2" applyNumberFormat="1" applyFont="1" applyFill="1" applyBorder="1"/>
    <xf numFmtId="8" fontId="13" fillId="6" borderId="22" xfId="0" applyNumberFormat="1" applyFont="1" applyFill="1" applyBorder="1"/>
    <xf numFmtId="8" fontId="13" fillId="6" borderId="23" xfId="2" applyNumberFormat="1" applyFont="1" applyFill="1" applyBorder="1"/>
    <xf numFmtId="8" fontId="13" fillId="6" borderId="24" xfId="0" applyNumberFormat="1" applyFont="1" applyFill="1" applyBorder="1"/>
    <xf numFmtId="8" fontId="13" fillId="6" borderId="47" xfId="0" applyNumberFormat="1" applyFont="1" applyFill="1" applyBorder="1"/>
    <xf numFmtId="216" fontId="13" fillId="11" borderId="16" xfId="0" applyNumberFormat="1" applyFont="1" applyFill="1" applyBorder="1"/>
    <xf numFmtId="0" fontId="29" fillId="11" borderId="0" xfId="0" applyFont="1" applyFill="1" applyBorder="1" applyAlignment="1">
      <alignment horizontal="center" wrapText="1"/>
    </xf>
    <xf numFmtId="8" fontId="13" fillId="6" borderId="44" xfId="0" applyNumberFormat="1" applyFont="1" applyFill="1" applyBorder="1"/>
    <xf numFmtId="8" fontId="13" fillId="6" borderId="23" xfId="0" applyNumberFormat="1" applyFont="1" applyFill="1" applyBorder="1"/>
    <xf numFmtId="8" fontId="13" fillId="6" borderId="16" xfId="2" applyNumberFormat="1" applyFont="1" applyFill="1" applyBorder="1"/>
    <xf numFmtId="8" fontId="13" fillId="6" borderId="22" xfId="2" applyNumberFormat="1" applyFont="1" applyFill="1" applyBorder="1"/>
    <xf numFmtId="8" fontId="13" fillId="6" borderId="24" xfId="2" applyNumberFormat="1" applyFont="1" applyFill="1" applyBorder="1"/>
    <xf numFmtId="0" fontId="15" fillId="6" borderId="14" xfId="0" applyFont="1" applyFill="1" applyBorder="1"/>
    <xf numFmtId="0" fontId="15" fillId="6" borderId="15" xfId="0" applyFont="1" applyFill="1" applyBorder="1"/>
    <xf numFmtId="0" fontId="15" fillId="6" borderId="16" xfId="0" applyFont="1" applyFill="1" applyBorder="1"/>
    <xf numFmtId="0" fontId="15" fillId="6" borderId="44" xfId="0" applyFont="1" applyFill="1" applyBorder="1"/>
    <xf numFmtId="6" fontId="30" fillId="6" borderId="0" xfId="0" applyNumberFormat="1" applyFont="1" applyFill="1" applyBorder="1"/>
    <xf numFmtId="6" fontId="30" fillId="6" borderId="22" xfId="0" applyNumberFormat="1" applyFont="1" applyFill="1" applyBorder="1"/>
    <xf numFmtId="0" fontId="11" fillId="13" borderId="0" xfId="0" applyFont="1" applyFill="1" applyBorder="1"/>
    <xf numFmtId="44" fontId="4" fillId="4" borderId="0" xfId="2" applyFont="1" applyFill="1" applyBorder="1"/>
    <xf numFmtId="44" fontId="13" fillId="11" borderId="16" xfId="0" applyNumberFormat="1" applyFont="1" applyFill="1" applyBorder="1"/>
    <xf numFmtId="14" fontId="0" fillId="0" borderId="0" xfId="0" applyNumberFormat="1"/>
    <xf numFmtId="43" fontId="13" fillId="11" borderId="22" xfId="0" applyNumberFormat="1" applyFont="1" applyFill="1" applyBorder="1"/>
    <xf numFmtId="44" fontId="13" fillId="11" borderId="50" xfId="0" applyNumberFormat="1" applyFont="1" applyFill="1" applyBorder="1"/>
    <xf numFmtId="171" fontId="0" fillId="0" borderId="0" xfId="0" applyNumberFormat="1"/>
    <xf numFmtId="0" fontId="29" fillId="11" borderId="15" xfId="0" applyFont="1" applyFill="1" applyBorder="1" applyAlignment="1">
      <alignment horizontal="center"/>
    </xf>
    <xf numFmtId="0" fontId="29" fillId="6" borderId="0" xfId="0" applyFont="1" applyFill="1" applyBorder="1" applyAlignment="1">
      <alignment horizontal="center"/>
    </xf>
    <xf numFmtId="0" fontId="14" fillId="11" borderId="29" xfId="0" applyFont="1" applyFill="1" applyBorder="1"/>
    <xf numFmtId="0" fontId="29" fillId="6" borderId="0" xfId="0" applyFont="1" applyFill="1" applyBorder="1" applyAlignment="1">
      <alignment horizontal="center" wrapText="1"/>
    </xf>
    <xf numFmtId="0" fontId="0" fillId="0" borderId="51" xfId="0" applyBorder="1"/>
    <xf numFmtId="0" fontId="0" fillId="0" borderId="52" xfId="0" applyBorder="1"/>
    <xf numFmtId="0" fontId="0" fillId="0" borderId="53" xfId="0" applyBorder="1"/>
    <xf numFmtId="43" fontId="0" fillId="0" borderId="0" xfId="1" applyNumberFormat="1" applyFont="1"/>
    <xf numFmtId="44" fontId="0" fillId="6" borderId="0" xfId="0" applyNumberFormat="1" applyFill="1" applyBorder="1"/>
    <xf numFmtId="0" fontId="0" fillId="0" borderId="54" xfId="0" applyBorder="1"/>
    <xf numFmtId="6" fontId="0" fillId="0" borderId="51" xfId="0" applyNumberFormat="1" applyBorder="1"/>
    <xf numFmtId="6" fontId="0" fillId="0" borderId="52" xfId="0" applyNumberFormat="1" applyBorder="1"/>
    <xf numFmtId="6" fontId="0" fillId="0" borderId="54" xfId="0" applyNumberFormat="1" applyBorder="1"/>
    <xf numFmtId="0" fontId="0" fillId="0" borderId="55" xfId="0" applyBorder="1"/>
    <xf numFmtId="6" fontId="0" fillId="0" borderId="56" xfId="0" applyNumberFormat="1" applyBorder="1"/>
    <xf numFmtId="6" fontId="0" fillId="0" borderId="0" xfId="0" applyNumberFormat="1"/>
    <xf numFmtId="6" fontId="0" fillId="0" borderId="57" xfId="0" applyNumberFormat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6" fontId="0" fillId="0" borderId="59" xfId="0" applyNumberFormat="1" applyBorder="1"/>
    <xf numFmtId="6" fontId="0" fillId="0" borderId="61" xfId="0" applyNumberFormat="1" applyBorder="1"/>
    <xf numFmtId="6" fontId="0" fillId="0" borderId="62" xfId="0" applyNumberFormat="1" applyBorder="1"/>
    <xf numFmtId="0" fontId="11" fillId="8" borderId="0" xfId="0" applyFont="1" applyFill="1"/>
    <xf numFmtId="0" fontId="0" fillId="0" borderId="62" xfId="0" pivotButton="1" applyBorder="1"/>
    <xf numFmtId="17" fontId="0" fillId="6" borderId="29" xfId="0" applyNumberFormat="1" applyFill="1" applyBorder="1"/>
    <xf numFmtId="38" fontId="0" fillId="6" borderId="22" xfId="1" applyNumberFormat="1" applyFont="1" applyFill="1" applyBorder="1"/>
    <xf numFmtId="0" fontId="4" fillId="6" borderId="0" xfId="0" applyNumberFormat="1" applyFont="1" applyFill="1" applyBorder="1"/>
    <xf numFmtId="0" fontId="31" fillId="0" borderId="0" xfId="0" applyFont="1" applyAlignment="1">
      <alignment wrapText="1"/>
    </xf>
    <xf numFmtId="0" fontId="11" fillId="0" borderId="0" xfId="0" applyFont="1" applyBorder="1"/>
    <xf numFmtId="0" fontId="23" fillId="0" borderId="0" xfId="0" applyFont="1"/>
    <xf numFmtId="17" fontId="23" fillId="0" borderId="0" xfId="0" applyNumberFormat="1" applyFont="1" applyAlignment="1">
      <alignment horizontal="center"/>
    </xf>
    <xf numFmtId="0" fontId="32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275" fontId="23" fillId="0" borderId="0" xfId="0" applyNumberFormat="1" applyFont="1" applyAlignment="1">
      <alignment horizontal="center"/>
    </xf>
    <xf numFmtId="17" fontId="23" fillId="0" borderId="0" xfId="0" applyNumberFormat="1" applyFont="1"/>
    <xf numFmtId="0" fontId="23" fillId="0" borderId="0" xfId="0" applyFont="1" applyAlignment="1">
      <alignment horizontal="left"/>
    </xf>
    <xf numFmtId="17" fontId="23" fillId="0" borderId="0" xfId="0" applyNumberFormat="1" applyFont="1" applyAlignment="1">
      <alignment horizontal="right"/>
    </xf>
    <xf numFmtId="14" fontId="23" fillId="0" borderId="0" xfId="0" applyNumberFormat="1" applyFont="1" applyAlignment="1">
      <alignment horizontal="center"/>
    </xf>
    <xf numFmtId="0" fontId="33" fillId="6" borderId="0" xfId="0" applyFont="1" applyFill="1" applyAlignment="1">
      <alignment horizontal="center"/>
    </xf>
    <xf numFmtId="0" fontId="33" fillId="0" borderId="0" xfId="0" applyFont="1" applyFill="1" applyAlignment="1">
      <alignment horizontal="center"/>
    </xf>
    <xf numFmtId="17" fontId="4" fillId="0" borderId="0" xfId="3" applyNumberFormat="1" applyFont="1" applyBorder="1" applyAlignment="1" applyProtection="1">
      <alignment horizontal="center"/>
    </xf>
    <xf numFmtId="0" fontId="33" fillId="0" borderId="0" xfId="0" applyFont="1" applyAlignment="1">
      <alignment horizontal="center"/>
    </xf>
    <xf numFmtId="0" fontId="4" fillId="0" borderId="0" xfId="3" applyFont="1" applyBorder="1" applyAlignment="1" applyProtection="1">
      <alignment horizontal="center"/>
    </xf>
    <xf numFmtId="10" fontId="23" fillId="0" borderId="0" xfId="0" applyNumberFormat="1" applyFont="1"/>
    <xf numFmtId="272" fontId="23" fillId="0" borderId="0" xfId="1" applyNumberFormat="1" applyFont="1"/>
    <xf numFmtId="0" fontId="23" fillId="6" borderId="0" xfId="0" applyFont="1" applyFill="1" applyAlignment="1">
      <alignment horizontal="center"/>
    </xf>
    <xf numFmtId="14" fontId="23" fillId="0" borderId="0" xfId="0" applyNumberFormat="1" applyFont="1"/>
    <xf numFmtId="10" fontId="23" fillId="6" borderId="0" xfId="0" applyNumberFormat="1" applyFont="1" applyFill="1" applyAlignment="1">
      <alignment horizontal="center"/>
    </xf>
    <xf numFmtId="14" fontId="5" fillId="6" borderId="0" xfId="3" applyNumberFormat="1" applyFont="1" applyFill="1" applyBorder="1"/>
    <xf numFmtId="14" fontId="4" fillId="6" borderId="0" xfId="3" applyNumberFormat="1" applyFont="1" applyFill="1" applyBorder="1" applyAlignment="1">
      <alignment horizontal="right"/>
    </xf>
    <xf numFmtId="17" fontId="2" fillId="6" borderId="0" xfId="0" applyNumberFormat="1" applyFont="1" applyFill="1" applyBorder="1" applyAlignment="1" applyProtection="1">
      <alignment horizontal="right"/>
    </xf>
    <xf numFmtId="0" fontId="2" fillId="6" borderId="0" xfId="0" applyFont="1" applyFill="1" applyBorder="1" applyAlignment="1">
      <alignment horizontal="right"/>
    </xf>
    <xf numFmtId="1" fontId="0" fillId="6" borderId="0" xfId="0" applyNumberFormat="1" applyFill="1" applyBorder="1"/>
    <xf numFmtId="203" fontId="0" fillId="6" borderId="0" xfId="0" applyNumberFormat="1" applyFill="1" applyBorder="1"/>
    <xf numFmtId="14" fontId="27" fillId="6" borderId="0" xfId="3" applyNumberFormat="1" applyFont="1" applyFill="1" applyBorder="1" applyAlignment="1">
      <alignment horizontal="right"/>
    </xf>
    <xf numFmtId="0" fontId="12" fillId="6" borderId="0" xfId="0" applyFont="1" applyFill="1" applyBorder="1"/>
    <xf numFmtId="0" fontId="19" fillId="6" borderId="0" xfId="0" applyFont="1" applyFill="1" applyBorder="1"/>
    <xf numFmtId="17" fontId="0" fillId="6" borderId="0" xfId="0" applyNumberFormat="1" applyFill="1" applyBorder="1"/>
    <xf numFmtId="165" fontId="0" fillId="6" borderId="0" xfId="0" applyNumberFormat="1" applyFill="1" applyBorder="1"/>
    <xf numFmtId="3" fontId="0" fillId="6" borderId="0" xfId="0" applyNumberFormat="1" applyFill="1" applyBorder="1"/>
    <xf numFmtId="10" fontId="0" fillId="6" borderId="0" xfId="0" applyNumberFormat="1" applyFill="1" applyBorder="1"/>
    <xf numFmtId="14" fontId="9" fillId="6" borderId="0" xfId="0" applyNumberFormat="1" applyFont="1" applyFill="1" applyBorder="1"/>
    <xf numFmtId="14" fontId="6" fillId="6" borderId="0" xfId="3" applyNumberFormat="1" applyFont="1" applyFill="1" applyBorder="1" applyAlignment="1">
      <alignment horizontal="right"/>
    </xf>
    <xf numFmtId="6" fontId="4" fillId="0" borderId="0" xfId="0" applyNumberFormat="1" applyFont="1" applyBorder="1"/>
    <xf numFmtId="216" fontId="11" fillId="0" borderId="0" xfId="2" applyNumberFormat="1" applyFont="1" applyBorder="1"/>
    <xf numFmtId="17" fontId="0" fillId="6" borderId="44" xfId="0" applyNumberFormat="1" applyFill="1" applyBorder="1"/>
    <xf numFmtId="43" fontId="0" fillId="0" borderId="0" xfId="1" applyFont="1"/>
    <xf numFmtId="0" fontId="8" fillId="12" borderId="0" xfId="0" applyFont="1" applyFill="1" applyBorder="1"/>
    <xf numFmtId="17" fontId="4" fillId="0" borderId="28" xfId="3" applyNumberFormat="1" applyFont="1" applyBorder="1" applyAlignment="1" applyProtection="1">
      <alignment horizontal="right"/>
    </xf>
    <xf numFmtId="274" fontId="23" fillId="0" borderId="0" xfId="1" applyNumberFormat="1" applyFont="1"/>
    <xf numFmtId="277" fontId="23" fillId="0" borderId="0" xfId="1" applyNumberFormat="1" applyFont="1"/>
    <xf numFmtId="44" fontId="12" fillId="4" borderId="5" xfId="2" applyFont="1" applyFill="1" applyBorder="1" applyAlignment="1">
      <alignment horizontal="centerContinuous"/>
    </xf>
    <xf numFmtId="14" fontId="13" fillId="0" borderId="0" xfId="0" applyNumberFormat="1" applyFont="1"/>
    <xf numFmtId="0" fontId="29" fillId="0" borderId="0" xfId="0" applyFont="1"/>
    <xf numFmtId="0" fontId="28" fillId="0" borderId="0" xfId="0" applyFont="1"/>
    <xf numFmtId="0" fontId="0" fillId="0" borderId="0" xfId="0" applyFill="1" applyBorder="1"/>
    <xf numFmtId="0" fontId="13" fillId="0" borderId="0" xfId="0" applyFont="1" applyFill="1" applyBorder="1"/>
    <xf numFmtId="14" fontId="13" fillId="0" borderId="0" xfId="0" applyNumberFormat="1" applyFont="1" applyFill="1" applyBorder="1"/>
    <xf numFmtId="2" fontId="13" fillId="0" borderId="0" xfId="0" applyNumberFormat="1" applyFont="1" applyFill="1" applyBorder="1"/>
    <xf numFmtId="14" fontId="0" fillId="0" borderId="0" xfId="0" applyNumberFormat="1" applyFill="1" applyBorder="1"/>
    <xf numFmtId="2" fontId="0" fillId="0" borderId="0" xfId="0" applyNumberFormat="1" applyFill="1" applyBorder="1"/>
    <xf numFmtId="171" fontId="0" fillId="6" borderId="14" xfId="1" applyNumberFormat="1" applyFont="1" applyFill="1" applyBorder="1"/>
    <xf numFmtId="171" fontId="0" fillId="6" borderId="15" xfId="1" applyNumberFormat="1" applyFont="1" applyFill="1" applyBorder="1"/>
    <xf numFmtId="171" fontId="0" fillId="6" borderId="16" xfId="1" applyNumberFormat="1" applyFont="1" applyFill="1" applyBorder="1"/>
    <xf numFmtId="171" fontId="0" fillId="6" borderId="29" xfId="1" applyNumberFormat="1" applyFont="1" applyFill="1" applyBorder="1"/>
    <xf numFmtId="171" fontId="0" fillId="6" borderId="22" xfId="1" applyNumberFormat="1" applyFont="1" applyFill="1" applyBorder="1"/>
    <xf numFmtId="171" fontId="0" fillId="6" borderId="44" xfId="1" applyNumberFormat="1" applyFont="1" applyFill="1" applyBorder="1"/>
    <xf numFmtId="171" fontId="0" fillId="6" borderId="23" xfId="1" applyNumberFormat="1" applyFont="1" applyFill="1" applyBorder="1"/>
    <xf numFmtId="171" fontId="0" fillId="6" borderId="24" xfId="1" applyNumberFormat="1" applyFont="1" applyFill="1" applyBorder="1"/>
    <xf numFmtId="0" fontId="0" fillId="11" borderId="0" xfId="0" applyFill="1"/>
    <xf numFmtId="14" fontId="0" fillId="6" borderId="31" xfId="0" applyNumberFormat="1" applyFill="1" applyBorder="1"/>
    <xf numFmtId="14" fontId="0" fillId="6" borderId="42" xfId="0" applyNumberFormat="1" applyFill="1" applyBorder="1"/>
    <xf numFmtId="14" fontId="0" fillId="6" borderId="45" xfId="0" applyNumberFormat="1" applyFill="1" applyBorder="1"/>
    <xf numFmtId="0" fontId="13" fillId="11" borderId="0" xfId="0" applyFont="1" applyFill="1"/>
    <xf numFmtId="0" fontId="8" fillId="3" borderId="4" xfId="0" applyFont="1" applyFill="1" applyBorder="1" applyAlignment="1">
      <alignment horizontal="centerContinuous"/>
    </xf>
    <xf numFmtId="15" fontId="0" fillId="0" borderId="0" xfId="0" applyNumberFormat="1" applyBorder="1"/>
    <xf numFmtId="15" fontId="22" fillId="0" borderId="0" xfId="0" applyNumberFormat="1" applyFont="1"/>
    <xf numFmtId="15" fontId="22" fillId="0" borderId="0" xfId="0" applyNumberFormat="1" applyFont="1" applyBorder="1"/>
    <xf numFmtId="0" fontId="15" fillId="6" borderId="29" xfId="0" applyFont="1" applyFill="1" applyBorder="1"/>
    <xf numFmtId="0" fontId="15" fillId="6" borderId="0" xfId="0" applyFont="1" applyFill="1" applyBorder="1"/>
    <xf numFmtId="0" fontId="15" fillId="6" borderId="22" xfId="0" applyFont="1" applyFill="1" applyBorder="1"/>
    <xf numFmtId="6" fontId="30" fillId="6" borderId="14" xfId="0" applyNumberFormat="1" applyFont="1" applyFill="1" applyBorder="1"/>
    <xf numFmtId="6" fontId="30" fillId="6" borderId="16" xfId="0" applyNumberFormat="1" applyFont="1" applyFill="1" applyBorder="1"/>
    <xf numFmtId="6" fontId="30" fillId="6" borderId="29" xfId="0" applyNumberFormat="1" applyFont="1" applyFill="1" applyBorder="1"/>
    <xf numFmtId="6" fontId="30" fillId="6" borderId="44" xfId="0" applyNumberFormat="1" applyFont="1" applyFill="1" applyBorder="1"/>
    <xf numFmtId="6" fontId="30" fillId="6" borderId="23" xfId="0" applyNumberFormat="1" applyFont="1" applyFill="1" applyBorder="1"/>
    <xf numFmtId="6" fontId="30" fillId="6" borderId="24" xfId="0" applyNumberFormat="1" applyFont="1" applyFill="1" applyBorder="1"/>
    <xf numFmtId="0" fontId="9" fillId="0" borderId="0" xfId="0" applyFont="1" applyFill="1" applyBorder="1"/>
    <xf numFmtId="6" fontId="9" fillId="0" borderId="0" xfId="0" applyNumberFormat="1" applyFont="1" applyFill="1" applyBorder="1"/>
    <xf numFmtId="14" fontId="11" fillId="0" borderId="0" xfId="0" applyNumberFormat="1" applyFont="1" applyBorder="1"/>
    <xf numFmtId="0" fontId="0" fillId="0" borderId="56" xfId="0" applyBorder="1"/>
    <xf numFmtId="0" fontId="0" fillId="0" borderId="3" xfId="0" applyBorder="1"/>
    <xf numFmtId="0" fontId="0" fillId="0" borderId="4" xfId="0" applyBorder="1"/>
    <xf numFmtId="6" fontId="0" fillId="0" borderId="5" xfId="0" applyNumberFormat="1" applyBorder="1"/>
    <xf numFmtId="43" fontId="13" fillId="11" borderId="42" xfId="1" applyNumberFormat="1" applyFont="1" applyFill="1" applyBorder="1" applyAlignment="1">
      <alignment horizontal="left"/>
    </xf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29" xfId="0" applyFill="1" applyBorder="1"/>
    <xf numFmtId="0" fontId="0" fillId="3" borderId="0" xfId="0" applyFill="1" applyBorder="1"/>
    <xf numFmtId="0" fontId="0" fillId="3" borderId="22" xfId="0" applyFill="1" applyBorder="1"/>
    <xf numFmtId="0" fontId="0" fillId="3" borderId="44" xfId="0" applyFill="1" applyBorder="1"/>
    <xf numFmtId="0" fontId="0" fillId="3" borderId="23" xfId="0" applyFill="1" applyBorder="1"/>
    <xf numFmtId="0" fontId="0" fillId="3" borderId="24" xfId="0" applyFill="1" applyBorder="1"/>
    <xf numFmtId="205" fontId="0" fillId="0" borderId="0" xfId="0" applyNumberFormat="1"/>
    <xf numFmtId="0" fontId="34" fillId="0" borderId="28" xfId="0" applyFont="1" applyBorder="1" applyAlignment="1">
      <alignment vertical="top"/>
    </xf>
    <xf numFmtId="0" fontId="34" fillId="0" borderId="0" xfId="0" applyFont="1" applyBorder="1" applyAlignment="1">
      <alignment vertical="top"/>
    </xf>
    <xf numFmtId="0" fontId="0" fillId="0" borderId="28" xfId="0" applyBorder="1"/>
    <xf numFmtId="0" fontId="35" fillId="0" borderId="0" xfId="0" applyFont="1" applyBorder="1" applyAlignment="1">
      <alignment vertical="top"/>
    </xf>
    <xf numFmtId="214" fontId="11" fillId="11" borderId="29" xfId="0" applyNumberFormat="1" applyFont="1" applyFill="1" applyBorder="1"/>
    <xf numFmtId="8" fontId="13" fillId="6" borderId="29" xfId="2" applyNumberFormat="1" applyFont="1" applyFill="1" applyBorder="1"/>
    <xf numFmtId="8" fontId="13" fillId="6" borderId="44" xfId="2" applyNumberFormat="1" applyFont="1" applyFill="1" applyBorder="1"/>
    <xf numFmtId="11" fontId="23" fillId="0" borderId="0" xfId="0" applyNumberFormat="1" applyFont="1" applyAlignment="1">
      <alignment horizontal="center"/>
    </xf>
    <xf numFmtId="11" fontId="23" fillId="0" borderId="0" xfId="0" applyNumberFormat="1" applyFont="1"/>
    <xf numFmtId="0" fontId="0" fillId="0" borderId="46" xfId="0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14" fontId="0" fillId="6" borderId="29" xfId="0" applyNumberFormat="1" applyFill="1" applyBorder="1"/>
    <xf numFmtId="6" fontId="0" fillId="6" borderId="0" xfId="0" applyNumberFormat="1" applyFill="1" applyBorder="1"/>
    <xf numFmtId="8" fontId="0" fillId="6" borderId="22" xfId="0" applyNumberFormat="1" applyFill="1" applyBorder="1"/>
    <xf numFmtId="14" fontId="0" fillId="6" borderId="44" xfId="0" applyNumberFormat="1" applyFill="1" applyBorder="1"/>
    <xf numFmtId="6" fontId="0" fillId="6" borderId="23" xfId="0" applyNumberFormat="1" applyFill="1" applyBorder="1"/>
    <xf numFmtId="0" fontId="0" fillId="6" borderId="23" xfId="0" applyFill="1" applyBorder="1"/>
    <xf numFmtId="8" fontId="0" fillId="6" borderId="24" xfId="0" applyNumberFormat="1" applyFill="1" applyBorder="1"/>
    <xf numFmtId="0" fontId="0" fillId="6" borderId="46" xfId="0" applyFill="1" applyBorder="1"/>
    <xf numFmtId="0" fontId="0" fillId="6" borderId="48" xfId="0" applyFill="1" applyBorder="1" applyAlignment="1">
      <alignment wrapText="1"/>
    </xf>
    <xf numFmtId="0" fontId="0" fillId="6" borderId="48" xfId="0" applyFill="1" applyBorder="1"/>
    <xf numFmtId="0" fontId="0" fillId="6" borderId="47" xfId="0" applyFill="1" applyBorder="1" applyAlignment="1">
      <alignment wrapText="1"/>
    </xf>
    <xf numFmtId="6" fontId="0" fillId="6" borderId="22" xfId="2" applyNumberFormat="1" applyFont="1" applyFill="1" applyBorder="1"/>
    <xf numFmtId="216" fontId="0" fillId="6" borderId="22" xfId="2" applyNumberFormat="1" applyFont="1" applyFill="1" applyBorder="1"/>
    <xf numFmtId="0" fontId="0" fillId="6" borderId="22" xfId="0" applyFill="1" applyBorder="1"/>
    <xf numFmtId="0" fontId="0" fillId="6" borderId="24" xfId="0" applyFill="1" applyBorder="1"/>
    <xf numFmtId="0" fontId="0" fillId="0" borderId="47" xfId="0" applyBorder="1"/>
    <xf numFmtId="14" fontId="0" fillId="6" borderId="14" xfId="0" applyNumberFormat="1" applyFill="1" applyBorder="1"/>
    <xf numFmtId="6" fontId="0" fillId="6" borderId="15" xfId="2" applyNumberFormat="1" applyFont="1" applyFill="1" applyBorder="1"/>
    <xf numFmtId="6" fontId="0" fillId="6" borderId="16" xfId="2" applyNumberFormat="1" applyFont="1" applyFill="1" applyBorder="1"/>
    <xf numFmtId="6" fontId="0" fillId="6" borderId="0" xfId="2" applyNumberFormat="1" applyFont="1" applyFill="1" applyBorder="1"/>
    <xf numFmtId="6" fontId="0" fillId="6" borderId="23" xfId="2" applyNumberFormat="1" applyFont="1" applyFill="1" applyBorder="1"/>
    <xf numFmtId="6" fontId="0" fillId="6" borderId="24" xfId="2" applyNumberFormat="1" applyFont="1" applyFill="1" applyBorder="1"/>
    <xf numFmtId="0" fontId="4" fillId="0" borderId="0" xfId="0" applyFont="1" applyFill="1" applyBorder="1"/>
    <xf numFmtId="0" fontId="11" fillId="0" borderId="0" xfId="0" applyFont="1" applyFill="1" applyBorder="1"/>
    <xf numFmtId="43" fontId="4" fillId="0" borderId="0" xfId="0" applyNumberFormat="1" applyFont="1"/>
    <xf numFmtId="14" fontId="0" fillId="0" borderId="51" xfId="0" applyNumberFormat="1" applyBorder="1"/>
    <xf numFmtId="14" fontId="0" fillId="0" borderId="52" xfId="0" applyNumberFormat="1" applyBorder="1"/>
    <xf numFmtId="0" fontId="0" fillId="0" borderId="62" xfId="0" applyBorder="1"/>
    <xf numFmtId="220" fontId="0" fillId="0" borderId="51" xfId="0" applyNumberFormat="1" applyBorder="1"/>
    <xf numFmtId="220" fontId="0" fillId="0" borderId="52" xfId="0" applyNumberFormat="1" applyBorder="1"/>
    <xf numFmtId="220" fontId="0" fillId="0" borderId="54" xfId="0" applyNumberFormat="1" applyBorder="1"/>
    <xf numFmtId="220" fontId="0" fillId="0" borderId="56" xfId="0" applyNumberFormat="1" applyBorder="1"/>
    <xf numFmtId="220" fontId="0" fillId="0" borderId="0" xfId="0" applyNumberFormat="1"/>
    <xf numFmtId="220" fontId="0" fillId="0" borderId="57" xfId="0" applyNumberFormat="1" applyBorder="1"/>
    <xf numFmtId="220" fontId="0" fillId="0" borderId="59" xfId="0" applyNumberFormat="1" applyBorder="1"/>
    <xf numFmtId="220" fontId="0" fillId="0" borderId="61" xfId="0" applyNumberFormat="1" applyBorder="1"/>
    <xf numFmtId="220" fontId="0" fillId="0" borderId="62" xfId="0" applyNumberFormat="1" applyBorder="1"/>
    <xf numFmtId="44" fontId="30" fillId="6" borderId="15" xfId="0" applyNumberFormat="1" applyFont="1" applyFill="1" applyBorder="1"/>
    <xf numFmtId="280" fontId="23" fillId="0" borderId="0" xfId="0" applyNumberFormat="1" applyFont="1"/>
    <xf numFmtId="280" fontId="23" fillId="0" borderId="0" xfId="1" applyNumberFormat="1" applyFont="1"/>
    <xf numFmtId="0" fontId="0" fillId="0" borderId="51" xfId="0" pivotButton="1" applyBorder="1"/>
  </cellXfs>
  <cellStyles count="5">
    <cellStyle name="Comma" xfId="1" builtinId="3"/>
    <cellStyle name="Currency" xfId="2" builtinId="4"/>
    <cellStyle name="Normal" xfId="0" builtinId="0"/>
    <cellStyle name="Normal_June Options 97" xfId="3"/>
    <cellStyle name="Percent" xfId="4" builtinId="5"/>
  </cellStyles>
  <dxfs count="2">
    <dxf>
      <numFmt numFmtId="10" formatCode="&quot;$&quot;#,##0_);[Red]\(&quot;$&quot;#,##0\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45720</xdr:colOff>
          <xdr:row>6</xdr:row>
          <xdr:rowOff>53340</xdr:rowOff>
        </xdr:from>
        <xdr:to>
          <xdr:col>17</xdr:col>
          <xdr:colOff>297180</xdr:colOff>
          <xdr:row>9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22860</xdr:colOff>
          <xdr:row>1</xdr:row>
          <xdr:rowOff>144780</xdr:rowOff>
        </xdr:from>
        <xdr:to>
          <xdr:col>18</xdr:col>
          <xdr:colOff>297180</xdr:colOff>
          <xdr:row>5</xdr:row>
          <xdr:rowOff>30480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AND PRINT ALL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0</xdr:row>
      <xdr:rowOff>106680</xdr:rowOff>
    </xdr:from>
    <xdr:to>
      <xdr:col>37</xdr:col>
      <xdr:colOff>68580</xdr:colOff>
      <xdr:row>0</xdr:row>
      <xdr:rowOff>106680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5425440" y="106680"/>
          <a:ext cx="23286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563880</xdr:colOff>
          <xdr:row>0</xdr:row>
          <xdr:rowOff>38100</xdr:rowOff>
        </xdr:from>
        <xdr:to>
          <xdr:col>7</xdr:col>
          <xdr:colOff>601980</xdr:colOff>
          <xdr:row>1</xdr:row>
          <xdr:rowOff>99060</xdr:rowOff>
        </xdr:to>
        <xdr:sp macro="" textlink="">
          <xdr:nvSpPr>
            <xdr:cNvPr id="12289" name="Button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800080"/>
                  </a:solidFill>
                  <a:latin typeface="Arial"/>
                  <a:cs typeface="Arial"/>
                </a:rPr>
                <a:t>Rho &amp; Drift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419100</xdr:colOff>
          <xdr:row>1</xdr:row>
          <xdr:rowOff>114300</xdr:rowOff>
        </xdr:from>
        <xdr:to>
          <xdr:col>18</xdr:col>
          <xdr:colOff>365760</xdr:colOff>
          <xdr:row>5</xdr:row>
          <xdr:rowOff>7620</xdr:rowOff>
        </xdr:to>
        <xdr:sp macro="" textlink="">
          <xdr:nvSpPr>
            <xdr:cNvPr id="6149" name="Button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EXOTIC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182880</xdr:colOff>
          <xdr:row>5</xdr:row>
          <xdr:rowOff>68580</xdr:rowOff>
        </xdr:from>
        <xdr:to>
          <xdr:col>1</xdr:col>
          <xdr:colOff>228600</xdr:colOff>
          <xdr:row>7</xdr:row>
          <xdr:rowOff>30480</xdr:rowOff>
        </xdr:to>
        <xdr:sp macro="" textlink="">
          <xdr:nvSpPr>
            <xdr:cNvPr id="11265" name="CommandButton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289560</xdr:colOff>
          <xdr:row>5</xdr:row>
          <xdr:rowOff>76200</xdr:rowOff>
        </xdr:from>
        <xdr:to>
          <xdr:col>2</xdr:col>
          <xdr:colOff>167640</xdr:colOff>
          <xdr:row>7</xdr:row>
          <xdr:rowOff>38100</xdr:rowOff>
        </xdr:to>
        <xdr:sp macro="" textlink="">
          <xdr:nvSpPr>
            <xdr:cNvPr id="11266" name="CommandButton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441960</xdr:colOff>
          <xdr:row>5</xdr:row>
          <xdr:rowOff>76200</xdr:rowOff>
        </xdr:from>
        <xdr:to>
          <xdr:col>4</xdr:col>
          <xdr:colOff>198120</xdr:colOff>
          <xdr:row>7</xdr:row>
          <xdr:rowOff>38100</xdr:rowOff>
        </xdr:to>
        <xdr:sp macro="" textlink="">
          <xdr:nvSpPr>
            <xdr:cNvPr id="11267" name="CommandButton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curvefetc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_Dropbox/fred/Extend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_Dropbox/fred/PIPE%20OPTIONS%20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1999/0799/Rgns/Omic07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Profiles/jbuss/Exotic%20Pipe%20Options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Gasdaily/PIPEFLDR/Studies/Transport/Intra_Trans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  <sheetName val="Module1"/>
    </sheetNames>
    <definedNames>
      <definedName name="FetchCurves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urves"/>
      <sheetName val="FetchCurves"/>
    </sheetNames>
    <sheetDataSet>
      <sheetData sheetId="0" refreshError="1"/>
      <sheetData sheetId="1">
        <row r="14">
          <cell r="D14">
            <v>36161</v>
          </cell>
          <cell r="E14">
            <v>1.9520000000000002</v>
          </cell>
          <cell r="F14">
            <v>-0.04</v>
          </cell>
          <cell r="G14">
            <v>-0.04</v>
          </cell>
        </row>
        <row r="15">
          <cell r="D15">
            <v>36192</v>
          </cell>
          <cell r="E15">
            <v>1.9909999999999999</v>
          </cell>
          <cell r="F15">
            <v>-5.7500000000000002E-2</v>
          </cell>
          <cell r="G15">
            <v>-5.7500000000000002E-2</v>
          </cell>
        </row>
        <row r="16">
          <cell r="D16">
            <v>36220</v>
          </cell>
          <cell r="E16">
            <v>1.996</v>
          </cell>
          <cell r="F16">
            <v>-0.06</v>
          </cell>
          <cell r="G16">
            <v>-0.06</v>
          </cell>
        </row>
        <row r="17">
          <cell r="D17">
            <v>36251</v>
          </cell>
          <cell r="E17">
            <v>1.9740000000000002</v>
          </cell>
          <cell r="F17">
            <v>-0.115</v>
          </cell>
          <cell r="G17">
            <v>-0.115</v>
          </cell>
        </row>
        <row r="18">
          <cell r="D18">
            <v>36281</v>
          </cell>
          <cell r="E18">
            <v>1.9720000000000002</v>
          </cell>
          <cell r="F18">
            <v>-0.115</v>
          </cell>
          <cell r="G18">
            <v>-0.115</v>
          </cell>
        </row>
        <row r="19">
          <cell r="D19">
            <v>36312</v>
          </cell>
          <cell r="E19">
            <v>1.9840000000000002</v>
          </cell>
          <cell r="F19">
            <v>-0.115</v>
          </cell>
          <cell r="G19">
            <v>-0.115</v>
          </cell>
        </row>
        <row r="20">
          <cell r="D20">
            <v>36342</v>
          </cell>
          <cell r="E20">
            <v>1.9950000000000001</v>
          </cell>
          <cell r="F20">
            <v>-0.115</v>
          </cell>
          <cell r="G20">
            <v>-0.115</v>
          </cell>
        </row>
        <row r="21">
          <cell r="D21">
            <v>36373</v>
          </cell>
          <cell r="E21">
            <v>2.0049999999999999</v>
          </cell>
          <cell r="F21">
            <v>-0.115</v>
          </cell>
          <cell r="G21">
            <v>-0.115</v>
          </cell>
        </row>
        <row r="22">
          <cell r="D22">
            <v>36404</v>
          </cell>
          <cell r="E22">
            <v>2.02</v>
          </cell>
          <cell r="F22">
            <v>-0.115</v>
          </cell>
          <cell r="G22">
            <v>-0.115</v>
          </cell>
        </row>
        <row r="23">
          <cell r="D23">
            <v>36434</v>
          </cell>
          <cell r="E23">
            <v>2.0670000000000002</v>
          </cell>
          <cell r="F23">
            <v>-0.115</v>
          </cell>
          <cell r="G23">
            <v>-0.115</v>
          </cell>
        </row>
        <row r="24">
          <cell r="D24">
            <v>36465</v>
          </cell>
          <cell r="E24">
            <v>2.2070000000000003</v>
          </cell>
          <cell r="F24">
            <v>-0.13500000000000001</v>
          </cell>
          <cell r="G24">
            <v>-0.13500000000000001</v>
          </cell>
        </row>
        <row r="25">
          <cell r="D25">
            <v>36495</v>
          </cell>
          <cell r="E25">
            <v>2.3620000000000001</v>
          </cell>
          <cell r="F25">
            <v>-0.13750000000000001</v>
          </cell>
          <cell r="G25">
            <v>-0.13750000000000001</v>
          </cell>
        </row>
        <row r="26">
          <cell r="D26">
            <v>36526</v>
          </cell>
          <cell r="E26">
            <v>2.4170000000000003</v>
          </cell>
          <cell r="F26">
            <v>-0.14000000000000001</v>
          </cell>
          <cell r="G26">
            <v>-0.14000000000000001</v>
          </cell>
        </row>
        <row r="27">
          <cell r="D27">
            <v>36557</v>
          </cell>
          <cell r="E27">
            <v>2.33</v>
          </cell>
          <cell r="F27">
            <v>-0.14249999999999999</v>
          </cell>
          <cell r="G27">
            <v>-0.14249999999999999</v>
          </cell>
        </row>
        <row r="28">
          <cell r="D28">
            <v>36586</v>
          </cell>
          <cell r="E28">
            <v>2.23</v>
          </cell>
          <cell r="F28">
            <v>-0.14499999999999999</v>
          </cell>
          <cell r="G28">
            <v>-0.14499999999999999</v>
          </cell>
        </row>
        <row r="29">
          <cell r="D29">
            <v>36617</v>
          </cell>
          <cell r="E29">
            <v>2.1430000000000002</v>
          </cell>
          <cell r="F29">
            <v>-0.14499999999999999</v>
          </cell>
          <cell r="G29">
            <v>-0.14499999999999999</v>
          </cell>
        </row>
        <row r="30">
          <cell r="D30">
            <v>36647</v>
          </cell>
          <cell r="E30">
            <v>2.1180000000000003</v>
          </cell>
          <cell r="F30">
            <v>-0.14499999999999999</v>
          </cell>
          <cell r="G30">
            <v>-0.14499999999999999</v>
          </cell>
        </row>
        <row r="31">
          <cell r="D31">
            <v>36678</v>
          </cell>
          <cell r="E31">
            <v>2.1220000000000003</v>
          </cell>
          <cell r="F31">
            <v>-0.14499999999999999</v>
          </cell>
          <cell r="G31">
            <v>-0.14499999999999999</v>
          </cell>
        </row>
        <row r="32">
          <cell r="D32">
            <v>36708</v>
          </cell>
          <cell r="E32">
            <v>2.1320000000000001</v>
          </cell>
          <cell r="F32">
            <v>-0.14499999999999999</v>
          </cell>
          <cell r="G32">
            <v>-0.14499999999999999</v>
          </cell>
        </row>
        <row r="33">
          <cell r="D33">
            <v>36739</v>
          </cell>
          <cell r="E33">
            <v>2.14</v>
          </cell>
          <cell r="F33">
            <v>-0.14499999999999999</v>
          </cell>
          <cell r="G33">
            <v>-0.14499999999999999</v>
          </cell>
        </row>
        <row r="34">
          <cell r="D34">
            <v>36770</v>
          </cell>
          <cell r="E34">
            <v>2.1459999999999999</v>
          </cell>
          <cell r="F34">
            <v>-0.14499999999999999</v>
          </cell>
          <cell r="G34">
            <v>-0.14499999999999999</v>
          </cell>
        </row>
        <row r="35">
          <cell r="D35">
            <v>36800</v>
          </cell>
          <cell r="E35">
            <v>2.173</v>
          </cell>
          <cell r="F35">
            <v>-0.14499999999999999</v>
          </cell>
          <cell r="G35">
            <v>-0.14499999999999999</v>
          </cell>
        </row>
        <row r="36">
          <cell r="D36">
            <v>36831</v>
          </cell>
          <cell r="E36">
            <v>2.3050000000000002</v>
          </cell>
          <cell r="F36">
            <v>-0.16</v>
          </cell>
          <cell r="G36">
            <v>-0.16</v>
          </cell>
        </row>
        <row r="37">
          <cell r="D37">
            <v>36861</v>
          </cell>
          <cell r="E37">
            <v>2.4449999999999998</v>
          </cell>
          <cell r="F37">
            <v>-0.16250000000000001</v>
          </cell>
          <cell r="G37">
            <v>-0.16250000000000001</v>
          </cell>
        </row>
        <row r="38">
          <cell r="D38">
            <v>36892</v>
          </cell>
          <cell r="E38">
            <v>2.4849999999999999</v>
          </cell>
          <cell r="F38">
            <v>-0.16500000000000001</v>
          </cell>
          <cell r="G38">
            <v>-0.16500000000000001</v>
          </cell>
        </row>
        <row r="39">
          <cell r="D39">
            <v>36923</v>
          </cell>
          <cell r="E39">
            <v>2.3610000000000002</v>
          </cell>
          <cell r="F39">
            <v>-0.16750000000000001</v>
          </cell>
          <cell r="G39">
            <v>-0.16750000000000001</v>
          </cell>
        </row>
        <row r="40">
          <cell r="D40">
            <v>36951</v>
          </cell>
          <cell r="E40">
            <v>2.262</v>
          </cell>
          <cell r="F40">
            <v>-0.17</v>
          </cell>
          <cell r="G40">
            <v>-0.17</v>
          </cell>
        </row>
        <row r="41">
          <cell r="D41">
            <v>36982</v>
          </cell>
          <cell r="E41">
            <v>2.161</v>
          </cell>
          <cell r="F41">
            <v>-0.185</v>
          </cell>
          <cell r="G41">
            <v>-0.185</v>
          </cell>
        </row>
        <row r="42">
          <cell r="D42">
            <v>37012</v>
          </cell>
          <cell r="E42">
            <v>2.145</v>
          </cell>
          <cell r="F42">
            <v>-0.185</v>
          </cell>
          <cell r="G42">
            <v>-0.185</v>
          </cell>
        </row>
        <row r="43">
          <cell r="D43">
            <v>37043</v>
          </cell>
          <cell r="E43">
            <v>2.1470000000000002</v>
          </cell>
          <cell r="F43">
            <v>-0.185</v>
          </cell>
          <cell r="G43">
            <v>-0.185</v>
          </cell>
        </row>
        <row r="44">
          <cell r="D44">
            <v>37073</v>
          </cell>
          <cell r="E44">
            <v>2.1520000000000001</v>
          </cell>
          <cell r="F44">
            <v>-0.185</v>
          </cell>
          <cell r="G44">
            <v>-0.185</v>
          </cell>
        </row>
        <row r="45">
          <cell r="D45">
            <v>37104</v>
          </cell>
          <cell r="E45">
            <v>2.16</v>
          </cell>
          <cell r="F45">
            <v>-0.185</v>
          </cell>
          <cell r="G45">
            <v>-0.185</v>
          </cell>
        </row>
        <row r="46">
          <cell r="D46">
            <v>37135</v>
          </cell>
          <cell r="E46">
            <v>2.1659999999999999</v>
          </cell>
          <cell r="F46">
            <v>-0.185</v>
          </cell>
          <cell r="G46">
            <v>-0.185</v>
          </cell>
        </row>
        <row r="47">
          <cell r="D47">
            <v>37165</v>
          </cell>
          <cell r="E47">
            <v>2.1930000000000001</v>
          </cell>
          <cell r="F47">
            <v>-0.185</v>
          </cell>
          <cell r="G47">
            <v>-0.185</v>
          </cell>
        </row>
        <row r="48">
          <cell r="D48">
            <v>37196</v>
          </cell>
          <cell r="E48">
            <v>2.3250000000000002</v>
          </cell>
          <cell r="F48">
            <v>-0.19</v>
          </cell>
          <cell r="G48">
            <v>-0.19</v>
          </cell>
        </row>
        <row r="49">
          <cell r="D49">
            <v>37226</v>
          </cell>
          <cell r="E49">
            <v>2.4649999999999999</v>
          </cell>
          <cell r="F49">
            <v>-0.19750000000000001</v>
          </cell>
          <cell r="G49">
            <v>-0.19750000000000001</v>
          </cell>
        </row>
        <row r="50">
          <cell r="D50">
            <v>37257</v>
          </cell>
          <cell r="E50">
            <v>2.5150000000000001</v>
          </cell>
          <cell r="F50">
            <v>-0.2</v>
          </cell>
          <cell r="G50">
            <v>-0.2</v>
          </cell>
        </row>
        <row r="51">
          <cell r="D51">
            <v>37288</v>
          </cell>
          <cell r="E51">
            <v>2.3610000000000002</v>
          </cell>
          <cell r="F51">
            <v>-0.20250000000000001</v>
          </cell>
          <cell r="G51">
            <v>-0.20250000000000001</v>
          </cell>
        </row>
        <row r="52">
          <cell r="D52">
            <v>37316</v>
          </cell>
          <cell r="E52">
            <v>2.262</v>
          </cell>
          <cell r="F52">
            <v>-0.20499999999999999</v>
          </cell>
          <cell r="G52">
            <v>-0.20499999999999999</v>
          </cell>
        </row>
        <row r="53">
          <cell r="D53">
            <v>37347</v>
          </cell>
          <cell r="E53">
            <v>2.161</v>
          </cell>
          <cell r="F53">
            <v>-0.20499999999999999</v>
          </cell>
          <cell r="G53">
            <v>-0.20499999999999999</v>
          </cell>
        </row>
        <row r="54">
          <cell r="D54">
            <v>37377</v>
          </cell>
          <cell r="E54">
            <v>2.165</v>
          </cell>
          <cell r="F54">
            <v>-0.19500000000000001</v>
          </cell>
          <cell r="G54">
            <v>-0.19500000000000001</v>
          </cell>
        </row>
        <row r="55">
          <cell r="D55">
            <v>37408</v>
          </cell>
          <cell r="E55">
            <v>2.177</v>
          </cell>
          <cell r="F55">
            <v>-0.19500000000000001</v>
          </cell>
          <cell r="G55">
            <v>-0.19500000000000001</v>
          </cell>
        </row>
        <row r="56">
          <cell r="D56">
            <v>37438</v>
          </cell>
          <cell r="E56">
            <v>2.1820000000000004</v>
          </cell>
          <cell r="F56">
            <v>-0.19500000000000001</v>
          </cell>
          <cell r="G56">
            <v>-0.19500000000000001</v>
          </cell>
        </row>
        <row r="57">
          <cell r="D57">
            <v>37469</v>
          </cell>
          <cell r="E57">
            <v>2.19</v>
          </cell>
          <cell r="F57">
            <v>-0.19500000000000001</v>
          </cell>
          <cell r="G57">
            <v>-0.19500000000000001</v>
          </cell>
        </row>
        <row r="58">
          <cell r="D58">
            <v>37500</v>
          </cell>
          <cell r="E58">
            <v>2.1960000000000002</v>
          </cell>
          <cell r="F58">
            <v>-0.19500000000000001</v>
          </cell>
          <cell r="G58">
            <v>-0.19500000000000001</v>
          </cell>
        </row>
        <row r="59">
          <cell r="D59">
            <v>37530</v>
          </cell>
          <cell r="E59">
            <v>2.2230000000000003</v>
          </cell>
          <cell r="F59">
            <v>-0.19500000000000001</v>
          </cell>
          <cell r="G59">
            <v>-0.19500000000000001</v>
          </cell>
        </row>
        <row r="60">
          <cell r="D60">
            <v>37561</v>
          </cell>
          <cell r="E60">
            <v>2.355</v>
          </cell>
          <cell r="F60">
            <v>-0.19</v>
          </cell>
          <cell r="G60">
            <v>-0.19</v>
          </cell>
        </row>
        <row r="61">
          <cell r="D61">
            <v>37591</v>
          </cell>
          <cell r="E61">
            <v>2.4950000000000001</v>
          </cell>
          <cell r="F61">
            <v>-0.19750000000000001</v>
          </cell>
          <cell r="G61">
            <v>-0.19750000000000001</v>
          </cell>
        </row>
        <row r="62">
          <cell r="D62">
            <v>37622</v>
          </cell>
          <cell r="E62">
            <v>2.5550000000000002</v>
          </cell>
          <cell r="F62">
            <v>-0.2</v>
          </cell>
          <cell r="G62">
            <v>-0.2</v>
          </cell>
        </row>
        <row r="63">
          <cell r="D63">
            <v>37653</v>
          </cell>
          <cell r="E63">
            <v>2.4009999999999998</v>
          </cell>
          <cell r="F63">
            <v>-0.20250000000000001</v>
          </cell>
          <cell r="G63">
            <v>-0.20250000000000001</v>
          </cell>
        </row>
        <row r="64">
          <cell r="D64">
            <v>37681</v>
          </cell>
          <cell r="E64">
            <v>2.302</v>
          </cell>
          <cell r="F64">
            <v>-0.20499999999999999</v>
          </cell>
          <cell r="G64">
            <v>-0.20499999999999999</v>
          </cell>
        </row>
        <row r="65">
          <cell r="D65">
            <v>37712</v>
          </cell>
          <cell r="E65">
            <v>2.2010000000000001</v>
          </cell>
          <cell r="F65">
            <v>-0.20499999999999999</v>
          </cell>
          <cell r="G65">
            <v>-0.20499999999999999</v>
          </cell>
        </row>
        <row r="66">
          <cell r="D66">
            <v>37742</v>
          </cell>
          <cell r="E66">
            <v>2.2050000000000001</v>
          </cell>
          <cell r="F66">
            <v>-0.19500000000000001</v>
          </cell>
          <cell r="G66">
            <v>-0.19500000000000001</v>
          </cell>
        </row>
        <row r="67">
          <cell r="D67">
            <v>37773</v>
          </cell>
          <cell r="E67">
            <v>2.2170000000000001</v>
          </cell>
          <cell r="F67">
            <v>-0.19500000000000001</v>
          </cell>
          <cell r="G67">
            <v>-0.19500000000000001</v>
          </cell>
        </row>
        <row r="68">
          <cell r="D68">
            <v>37803</v>
          </cell>
          <cell r="E68">
            <v>2.2220000000000004</v>
          </cell>
          <cell r="F68">
            <v>-0.19500000000000001</v>
          </cell>
          <cell r="G68">
            <v>-0.19500000000000001</v>
          </cell>
        </row>
        <row r="69">
          <cell r="D69">
            <v>37834</v>
          </cell>
          <cell r="E69">
            <v>2.23</v>
          </cell>
          <cell r="F69">
            <v>-0.19500000000000001</v>
          </cell>
          <cell r="G69">
            <v>-0.19500000000000001</v>
          </cell>
        </row>
        <row r="70">
          <cell r="D70">
            <v>37865</v>
          </cell>
          <cell r="E70">
            <v>2.2360000000000002</v>
          </cell>
          <cell r="F70">
            <v>-0.19500000000000001</v>
          </cell>
          <cell r="G70">
            <v>-0.19500000000000001</v>
          </cell>
        </row>
        <row r="71">
          <cell r="D71">
            <v>37895</v>
          </cell>
          <cell r="E71">
            <v>2.2630000000000003</v>
          </cell>
          <cell r="F71">
            <v>-0.19500000000000001</v>
          </cell>
          <cell r="G71">
            <v>-0.19500000000000001</v>
          </cell>
        </row>
        <row r="72">
          <cell r="D72">
            <v>37926</v>
          </cell>
          <cell r="E72">
            <v>2.395</v>
          </cell>
          <cell r="F72">
            <v>-0.19</v>
          </cell>
          <cell r="G72">
            <v>-0.19</v>
          </cell>
        </row>
        <row r="73">
          <cell r="D73">
            <v>37956</v>
          </cell>
          <cell r="E73">
            <v>2.5350000000000001</v>
          </cell>
          <cell r="F73">
            <v>-0.19750000000000001</v>
          </cell>
          <cell r="G73">
            <v>-0.19750000000000001</v>
          </cell>
        </row>
        <row r="74">
          <cell r="D74">
            <v>37987</v>
          </cell>
          <cell r="E74">
            <v>2.605</v>
          </cell>
          <cell r="F74">
            <v>-0.2</v>
          </cell>
          <cell r="G74">
            <v>-0.2</v>
          </cell>
        </row>
        <row r="75">
          <cell r="D75">
            <v>38018</v>
          </cell>
          <cell r="E75">
            <v>2.4510000000000001</v>
          </cell>
          <cell r="F75">
            <v>-0.20250000000000001</v>
          </cell>
          <cell r="G75">
            <v>-0.20250000000000001</v>
          </cell>
        </row>
        <row r="76">
          <cell r="D76">
            <v>38047</v>
          </cell>
          <cell r="E76">
            <v>2.3520000000000003</v>
          </cell>
          <cell r="F76">
            <v>-0.20499999999999999</v>
          </cell>
          <cell r="G76">
            <v>-0.20499999999999999</v>
          </cell>
        </row>
        <row r="77">
          <cell r="D77">
            <v>38078</v>
          </cell>
          <cell r="E77">
            <v>2.2509999999999999</v>
          </cell>
          <cell r="F77">
            <v>-0.20499999999999999</v>
          </cell>
          <cell r="G77">
            <v>-0.20499999999999999</v>
          </cell>
        </row>
        <row r="78">
          <cell r="D78">
            <v>38108</v>
          </cell>
          <cell r="E78">
            <v>2.2549999999999999</v>
          </cell>
          <cell r="F78">
            <v>-0.19500000000000001</v>
          </cell>
          <cell r="G78">
            <v>-0.19500000000000001</v>
          </cell>
        </row>
        <row r="79">
          <cell r="D79">
            <v>38139</v>
          </cell>
          <cell r="E79">
            <v>2.2670000000000003</v>
          </cell>
          <cell r="F79">
            <v>-0.19500000000000001</v>
          </cell>
          <cell r="G79">
            <v>-0.19500000000000001</v>
          </cell>
        </row>
        <row r="80">
          <cell r="D80">
            <v>38169</v>
          </cell>
          <cell r="E80">
            <v>2.2720000000000002</v>
          </cell>
          <cell r="F80">
            <v>-0.19500000000000001</v>
          </cell>
          <cell r="G80">
            <v>-0.19500000000000001</v>
          </cell>
        </row>
        <row r="81">
          <cell r="D81">
            <v>38200</v>
          </cell>
          <cell r="E81">
            <v>2.2799999999999998</v>
          </cell>
          <cell r="F81">
            <v>-0.19500000000000001</v>
          </cell>
          <cell r="G81">
            <v>-0.19500000000000001</v>
          </cell>
        </row>
        <row r="82">
          <cell r="D82">
            <v>38231</v>
          </cell>
          <cell r="E82">
            <v>2.286</v>
          </cell>
          <cell r="F82">
            <v>-0.19500000000000001</v>
          </cell>
          <cell r="G82">
            <v>-0.19500000000000001</v>
          </cell>
        </row>
        <row r="83">
          <cell r="D83">
            <v>38261</v>
          </cell>
          <cell r="E83">
            <v>2.3130000000000002</v>
          </cell>
          <cell r="F83">
            <v>-0.19500000000000001</v>
          </cell>
          <cell r="G83">
            <v>-0.19500000000000001</v>
          </cell>
        </row>
        <row r="84">
          <cell r="D84">
            <v>38292</v>
          </cell>
          <cell r="E84">
            <v>2.4449999999999998</v>
          </cell>
          <cell r="F84">
            <v>-0.19</v>
          </cell>
          <cell r="G84">
            <v>-0.19</v>
          </cell>
        </row>
        <row r="85">
          <cell r="D85">
            <v>38322</v>
          </cell>
          <cell r="E85">
            <v>2.585</v>
          </cell>
          <cell r="F85">
            <v>-0.19750000000000001</v>
          </cell>
          <cell r="G85">
            <v>-0.19750000000000001</v>
          </cell>
        </row>
        <row r="86">
          <cell r="D86">
            <v>38353</v>
          </cell>
          <cell r="E86">
            <v>2.665</v>
          </cell>
          <cell r="F86">
            <v>-0.2</v>
          </cell>
          <cell r="G86">
            <v>-0.2</v>
          </cell>
        </row>
        <row r="87">
          <cell r="D87">
            <v>38384</v>
          </cell>
          <cell r="E87">
            <v>2.5110000000000001</v>
          </cell>
          <cell r="F87">
            <v>-0.20250000000000001</v>
          </cell>
          <cell r="G87">
            <v>-0.20250000000000001</v>
          </cell>
        </row>
        <row r="88">
          <cell r="D88">
            <v>38412</v>
          </cell>
          <cell r="E88">
            <v>2.4120000000000004</v>
          </cell>
          <cell r="F88">
            <v>-0.20499999999999999</v>
          </cell>
          <cell r="G88">
            <v>-0.20499999999999999</v>
          </cell>
        </row>
        <row r="89">
          <cell r="D89">
            <v>38443</v>
          </cell>
          <cell r="E89">
            <v>2.3109999999999999</v>
          </cell>
          <cell r="F89">
            <v>-0.20499999999999999</v>
          </cell>
          <cell r="G89">
            <v>-0.20499999999999999</v>
          </cell>
        </row>
        <row r="90">
          <cell r="D90">
            <v>38473</v>
          </cell>
          <cell r="E90">
            <v>2.3149999999999999</v>
          </cell>
          <cell r="F90">
            <v>-0.19500000000000001</v>
          </cell>
          <cell r="G90">
            <v>-0.19500000000000001</v>
          </cell>
        </row>
        <row r="91">
          <cell r="D91">
            <v>38504</v>
          </cell>
          <cell r="E91">
            <v>2.3270000000000004</v>
          </cell>
          <cell r="F91">
            <v>-0.19500000000000001</v>
          </cell>
          <cell r="G91">
            <v>-0.19500000000000001</v>
          </cell>
        </row>
        <row r="92">
          <cell r="D92">
            <v>38534</v>
          </cell>
          <cell r="E92">
            <v>2.3320000000000003</v>
          </cell>
          <cell r="F92">
            <v>-0.19500000000000001</v>
          </cell>
          <cell r="G92">
            <v>-0.19500000000000001</v>
          </cell>
        </row>
        <row r="93">
          <cell r="D93">
            <v>38565</v>
          </cell>
          <cell r="E93">
            <v>2.34</v>
          </cell>
          <cell r="F93">
            <v>-0.19500000000000001</v>
          </cell>
          <cell r="G93">
            <v>-0.19500000000000001</v>
          </cell>
        </row>
        <row r="94">
          <cell r="D94">
            <v>38596</v>
          </cell>
          <cell r="E94">
            <v>2.3460000000000001</v>
          </cell>
          <cell r="F94">
            <v>-0.19500000000000001</v>
          </cell>
          <cell r="G94">
            <v>-0.19500000000000001</v>
          </cell>
        </row>
        <row r="95">
          <cell r="D95">
            <v>38626</v>
          </cell>
          <cell r="E95">
            <v>2.3730000000000002</v>
          </cell>
          <cell r="F95">
            <v>-0.19500000000000001</v>
          </cell>
          <cell r="G95">
            <v>-0.19500000000000001</v>
          </cell>
        </row>
        <row r="96">
          <cell r="D96">
            <v>38657</v>
          </cell>
          <cell r="E96">
            <v>2.5049999999999999</v>
          </cell>
          <cell r="F96">
            <v>-0.19</v>
          </cell>
          <cell r="G96">
            <v>-0.19</v>
          </cell>
        </row>
        <row r="97">
          <cell r="D97">
            <v>38687</v>
          </cell>
          <cell r="E97">
            <v>2.645</v>
          </cell>
          <cell r="F97">
            <v>-0.19750000000000001</v>
          </cell>
          <cell r="G97">
            <v>-0.19750000000000001</v>
          </cell>
        </row>
        <row r="98">
          <cell r="D98">
            <v>38718</v>
          </cell>
          <cell r="E98">
            <v>2.71</v>
          </cell>
          <cell r="F98">
            <v>-0.2</v>
          </cell>
          <cell r="G98">
            <v>-0.2</v>
          </cell>
        </row>
        <row r="99">
          <cell r="D99">
            <v>38749</v>
          </cell>
          <cell r="E99">
            <v>2.5860000000000003</v>
          </cell>
          <cell r="F99">
            <v>-0.20250000000000001</v>
          </cell>
          <cell r="G99">
            <v>-0.20250000000000001</v>
          </cell>
        </row>
        <row r="100">
          <cell r="D100">
            <v>38777</v>
          </cell>
          <cell r="E100">
            <v>2.4870000000000001</v>
          </cell>
          <cell r="F100">
            <v>-0.20499999999999999</v>
          </cell>
          <cell r="G100">
            <v>-0.20499999999999999</v>
          </cell>
        </row>
        <row r="101">
          <cell r="D101">
            <v>38808</v>
          </cell>
          <cell r="E101">
            <v>2.3860000000000001</v>
          </cell>
          <cell r="F101">
            <v>-0.20499999999999999</v>
          </cell>
          <cell r="G101">
            <v>-0.20499999999999999</v>
          </cell>
        </row>
        <row r="102">
          <cell r="D102">
            <v>38838</v>
          </cell>
          <cell r="E102">
            <v>2.37</v>
          </cell>
          <cell r="F102">
            <v>-0.19500000000000001</v>
          </cell>
          <cell r="G102">
            <v>-0.19500000000000001</v>
          </cell>
        </row>
        <row r="103">
          <cell r="D103">
            <v>38869</v>
          </cell>
          <cell r="E103">
            <v>2.3720000000000003</v>
          </cell>
          <cell r="F103">
            <v>-0.19500000000000001</v>
          </cell>
          <cell r="G103">
            <v>-0.19500000000000001</v>
          </cell>
        </row>
        <row r="104">
          <cell r="D104">
            <v>38899</v>
          </cell>
          <cell r="E104">
            <v>2.3720000000000003</v>
          </cell>
          <cell r="F104">
            <v>-0.19500000000000001</v>
          </cell>
          <cell r="G104">
            <v>-0.19500000000000001</v>
          </cell>
        </row>
        <row r="105">
          <cell r="D105">
            <v>38930</v>
          </cell>
          <cell r="E105">
            <v>2.3780000000000001</v>
          </cell>
          <cell r="F105">
            <v>-0.19500000000000001</v>
          </cell>
          <cell r="G105">
            <v>-0.19500000000000001</v>
          </cell>
        </row>
        <row r="106">
          <cell r="D106">
            <v>38961</v>
          </cell>
          <cell r="E106">
            <v>2.3839999999999999</v>
          </cell>
          <cell r="F106">
            <v>-0.19500000000000001</v>
          </cell>
          <cell r="G106">
            <v>-0.19500000000000001</v>
          </cell>
        </row>
        <row r="107">
          <cell r="D107">
            <v>38991</v>
          </cell>
          <cell r="E107">
            <v>2.4090000000000003</v>
          </cell>
          <cell r="F107">
            <v>-0.19500000000000001</v>
          </cell>
          <cell r="G107">
            <v>-0.19500000000000001</v>
          </cell>
        </row>
        <row r="108">
          <cell r="D108">
            <v>39022</v>
          </cell>
          <cell r="E108">
            <v>2.5470000000000002</v>
          </cell>
          <cell r="F108">
            <v>-0.19</v>
          </cell>
          <cell r="G108">
            <v>-0.19</v>
          </cell>
        </row>
        <row r="109">
          <cell r="D109">
            <v>39052</v>
          </cell>
          <cell r="E109">
            <v>2.6860000000000004</v>
          </cell>
          <cell r="F109">
            <v>-0.19750000000000001</v>
          </cell>
          <cell r="G109">
            <v>-0.19750000000000001</v>
          </cell>
        </row>
        <row r="110">
          <cell r="D110">
            <v>39083</v>
          </cell>
          <cell r="E110">
            <v>2.8050000000000002</v>
          </cell>
          <cell r="F110">
            <v>-0.2</v>
          </cell>
          <cell r="G110">
            <v>-0.2</v>
          </cell>
        </row>
        <row r="111">
          <cell r="D111">
            <v>39114</v>
          </cell>
          <cell r="E111">
            <v>2.6810000000000005</v>
          </cell>
          <cell r="F111">
            <v>-0.20250000000000001</v>
          </cell>
          <cell r="G111">
            <v>-0.20250000000000001</v>
          </cell>
        </row>
        <row r="112">
          <cell r="D112">
            <v>39142</v>
          </cell>
          <cell r="E112">
            <v>2.5819999999999999</v>
          </cell>
          <cell r="F112">
            <v>-0.20499999999999999</v>
          </cell>
          <cell r="G112">
            <v>-0.20499999999999999</v>
          </cell>
        </row>
        <row r="113">
          <cell r="D113">
            <v>39173</v>
          </cell>
          <cell r="E113">
            <v>2.4809999999999999</v>
          </cell>
          <cell r="F113">
            <v>-0.20499999999999999</v>
          </cell>
          <cell r="G113">
            <v>-0.20499999999999999</v>
          </cell>
        </row>
        <row r="114">
          <cell r="D114">
            <v>39203</v>
          </cell>
          <cell r="E114">
            <v>2.4649999999999999</v>
          </cell>
          <cell r="F114">
            <v>-0.19500000000000001</v>
          </cell>
          <cell r="G114">
            <v>-0.19500000000000001</v>
          </cell>
        </row>
        <row r="115">
          <cell r="D115">
            <v>39234</v>
          </cell>
          <cell r="E115">
            <v>2.4670000000000001</v>
          </cell>
          <cell r="F115">
            <v>-0.19500000000000001</v>
          </cell>
          <cell r="G115">
            <v>-0.19500000000000001</v>
          </cell>
        </row>
        <row r="116">
          <cell r="D116">
            <v>39264</v>
          </cell>
          <cell r="E116">
            <v>2.4670000000000001</v>
          </cell>
          <cell r="F116">
            <v>-0.19500000000000001</v>
          </cell>
          <cell r="G116">
            <v>-0.19500000000000001</v>
          </cell>
        </row>
        <row r="117">
          <cell r="D117">
            <v>39295</v>
          </cell>
          <cell r="E117">
            <v>2.4730000000000003</v>
          </cell>
          <cell r="F117">
            <v>-0.19500000000000001</v>
          </cell>
          <cell r="G117">
            <v>-0.19500000000000001</v>
          </cell>
        </row>
        <row r="118">
          <cell r="D118">
            <v>39326</v>
          </cell>
          <cell r="E118">
            <v>2.4790000000000001</v>
          </cell>
          <cell r="F118">
            <v>-0.19500000000000001</v>
          </cell>
          <cell r="G118">
            <v>-0.19500000000000001</v>
          </cell>
        </row>
        <row r="119">
          <cell r="D119">
            <v>39356</v>
          </cell>
          <cell r="E119">
            <v>2.504</v>
          </cell>
          <cell r="F119">
            <v>-0.19500000000000001</v>
          </cell>
          <cell r="G119">
            <v>-0.19500000000000001</v>
          </cell>
        </row>
        <row r="120">
          <cell r="D120">
            <v>39387</v>
          </cell>
          <cell r="E120">
            <v>2.6419999999999999</v>
          </cell>
          <cell r="F120">
            <v>-0.19</v>
          </cell>
          <cell r="G120">
            <v>-0.19</v>
          </cell>
        </row>
        <row r="121">
          <cell r="D121">
            <v>39417</v>
          </cell>
          <cell r="E121">
            <v>2.7810000000000001</v>
          </cell>
          <cell r="F121">
            <v>-0.19750000000000001</v>
          </cell>
          <cell r="G121">
            <v>-0.19750000000000001</v>
          </cell>
        </row>
        <row r="122">
          <cell r="D122">
            <v>39448</v>
          </cell>
          <cell r="E122">
            <v>2.92</v>
          </cell>
          <cell r="F122">
            <v>-0.2</v>
          </cell>
          <cell r="G122">
            <v>-0.2</v>
          </cell>
        </row>
        <row r="123">
          <cell r="D123">
            <v>39479</v>
          </cell>
          <cell r="E123">
            <v>2.7960000000000003</v>
          </cell>
          <cell r="F123">
            <v>-0.20250000000000001</v>
          </cell>
          <cell r="G123">
            <v>-0.20250000000000001</v>
          </cell>
        </row>
        <row r="124">
          <cell r="D124">
            <v>39508</v>
          </cell>
          <cell r="E124">
            <v>2.6970000000000001</v>
          </cell>
          <cell r="F124">
            <v>-0.20499999999999999</v>
          </cell>
          <cell r="G124">
            <v>-0.20499999999999999</v>
          </cell>
        </row>
        <row r="125">
          <cell r="D125">
            <v>39539</v>
          </cell>
          <cell r="E125">
            <v>2.5960000000000001</v>
          </cell>
          <cell r="F125">
            <v>-0.20499999999999999</v>
          </cell>
          <cell r="G125">
            <v>-0.20499999999999999</v>
          </cell>
        </row>
        <row r="126">
          <cell r="D126">
            <v>39569</v>
          </cell>
          <cell r="E126">
            <v>2.58</v>
          </cell>
          <cell r="F126">
            <v>-0.19500000000000001</v>
          </cell>
          <cell r="G126">
            <v>-0.19500000000000001</v>
          </cell>
        </row>
        <row r="127">
          <cell r="D127">
            <v>39600</v>
          </cell>
          <cell r="E127">
            <v>2.5819999999999999</v>
          </cell>
          <cell r="F127">
            <v>-0.19500000000000001</v>
          </cell>
          <cell r="G127">
            <v>-0.19500000000000001</v>
          </cell>
        </row>
        <row r="128">
          <cell r="D128">
            <v>39630</v>
          </cell>
          <cell r="E128">
            <v>2.5819999999999999</v>
          </cell>
          <cell r="F128">
            <v>-0.19500000000000001</v>
          </cell>
          <cell r="G128">
            <v>-0.19500000000000001</v>
          </cell>
        </row>
        <row r="129">
          <cell r="D129">
            <v>39661</v>
          </cell>
          <cell r="E129">
            <v>2.5880000000000001</v>
          </cell>
          <cell r="F129">
            <v>-0.19500000000000001</v>
          </cell>
          <cell r="G129">
            <v>-0.19500000000000001</v>
          </cell>
        </row>
        <row r="130">
          <cell r="D130">
            <v>39692</v>
          </cell>
          <cell r="E130">
            <v>2.5939999999999999</v>
          </cell>
          <cell r="F130">
            <v>-0.19500000000000001</v>
          </cell>
          <cell r="G130">
            <v>-0.19500000000000001</v>
          </cell>
        </row>
        <row r="131">
          <cell r="D131">
            <v>39722</v>
          </cell>
          <cell r="E131">
            <v>2.6189999999999998</v>
          </cell>
          <cell r="F131">
            <v>-0.19500000000000001</v>
          </cell>
          <cell r="G131">
            <v>-0.19500000000000001</v>
          </cell>
        </row>
        <row r="132">
          <cell r="D132">
            <v>39753</v>
          </cell>
          <cell r="E132">
            <v>2.7570000000000001</v>
          </cell>
          <cell r="F132">
            <v>-0.19</v>
          </cell>
          <cell r="G132">
            <v>-0.19</v>
          </cell>
        </row>
        <row r="133">
          <cell r="D133">
            <v>39783</v>
          </cell>
          <cell r="E133">
            <v>2.8960000000000004</v>
          </cell>
          <cell r="F133">
            <v>-0.19750000000000001</v>
          </cell>
          <cell r="G133">
            <v>-0.19750000000000001</v>
          </cell>
        </row>
        <row r="134">
          <cell r="D134">
            <v>39814</v>
          </cell>
          <cell r="E134">
            <v>3.0550000000000002</v>
          </cell>
          <cell r="F134">
            <v>-0.2</v>
          </cell>
          <cell r="G134">
            <v>-0.2</v>
          </cell>
        </row>
        <row r="135">
          <cell r="D135">
            <v>39845</v>
          </cell>
          <cell r="E135">
            <v>2.9310000000000005</v>
          </cell>
          <cell r="F135">
            <v>-0.20250000000000001</v>
          </cell>
          <cell r="G135">
            <v>-0.20250000000000001</v>
          </cell>
        </row>
        <row r="136">
          <cell r="D136">
            <v>39873</v>
          </cell>
          <cell r="E136">
            <v>2.8319999999999999</v>
          </cell>
          <cell r="F136">
            <v>-0.20499999999999999</v>
          </cell>
          <cell r="G136">
            <v>-0.20499999999999999</v>
          </cell>
        </row>
        <row r="137">
          <cell r="D137">
            <v>39904</v>
          </cell>
          <cell r="E137">
            <v>2.7310000000000003</v>
          </cell>
          <cell r="F137">
            <v>-0.20499999999999999</v>
          </cell>
          <cell r="G137">
            <v>-0.20499999999999999</v>
          </cell>
        </row>
        <row r="138">
          <cell r="D138">
            <v>39934</v>
          </cell>
          <cell r="E138">
            <v>2.7149999999999999</v>
          </cell>
          <cell r="F138">
            <v>-0.19500000000000001</v>
          </cell>
          <cell r="G138">
            <v>-0.19500000000000001</v>
          </cell>
        </row>
        <row r="139">
          <cell r="D139">
            <v>39965</v>
          </cell>
          <cell r="E139">
            <v>2.7170000000000001</v>
          </cell>
          <cell r="F139">
            <v>-0.19500000000000001</v>
          </cell>
          <cell r="G139">
            <v>-0.19500000000000001</v>
          </cell>
        </row>
        <row r="140">
          <cell r="D140">
            <v>39995</v>
          </cell>
          <cell r="E140">
            <v>2.7170000000000001</v>
          </cell>
          <cell r="F140">
            <v>-0.19500000000000001</v>
          </cell>
          <cell r="G140">
            <v>-0.19500000000000001</v>
          </cell>
        </row>
        <row r="141">
          <cell r="D141">
            <v>40026</v>
          </cell>
          <cell r="E141">
            <v>2.7230000000000003</v>
          </cell>
          <cell r="F141">
            <v>-0.19500000000000001</v>
          </cell>
          <cell r="G141">
            <v>-0.19500000000000001</v>
          </cell>
        </row>
        <row r="142">
          <cell r="D142">
            <v>40057</v>
          </cell>
          <cell r="E142">
            <v>2.7289999999999996</v>
          </cell>
          <cell r="F142">
            <v>-0.19500000000000001</v>
          </cell>
          <cell r="G142">
            <v>-0.19500000000000001</v>
          </cell>
        </row>
        <row r="143">
          <cell r="D143">
            <v>40087</v>
          </cell>
          <cell r="E143">
            <v>2.7540000000000004</v>
          </cell>
          <cell r="F143">
            <v>-0.19500000000000001</v>
          </cell>
          <cell r="G143">
            <v>-0.19500000000000001</v>
          </cell>
        </row>
        <row r="144">
          <cell r="D144">
            <v>40118</v>
          </cell>
          <cell r="E144">
            <v>2.8919999999999999</v>
          </cell>
          <cell r="F144">
            <v>-0.19</v>
          </cell>
          <cell r="G144">
            <v>-0.19</v>
          </cell>
        </row>
        <row r="145">
          <cell r="D145">
            <v>40148</v>
          </cell>
          <cell r="E145">
            <v>3.0310000000000001</v>
          </cell>
          <cell r="F145">
            <v>-0.19750000000000001</v>
          </cell>
          <cell r="G145">
            <v>-0.19750000000000001</v>
          </cell>
        </row>
        <row r="146">
          <cell r="D146">
            <v>40179</v>
          </cell>
          <cell r="E146">
            <v>3.2050000000000001</v>
          </cell>
          <cell r="F146">
            <v>-0.2</v>
          </cell>
          <cell r="G146">
            <v>-0.2</v>
          </cell>
        </row>
        <row r="147">
          <cell r="D147">
            <v>40210</v>
          </cell>
          <cell r="E147">
            <v>3.0810000000000004</v>
          </cell>
          <cell r="F147">
            <v>-0.20250000000000001</v>
          </cell>
          <cell r="G147">
            <v>-0.20250000000000001</v>
          </cell>
        </row>
        <row r="148">
          <cell r="D148">
            <v>40238</v>
          </cell>
          <cell r="E148">
            <v>2.9819999999999998</v>
          </cell>
          <cell r="F148">
            <v>-0.20499999999999999</v>
          </cell>
          <cell r="G148">
            <v>-0.20499999999999999</v>
          </cell>
        </row>
        <row r="149">
          <cell r="D149">
            <v>40269</v>
          </cell>
          <cell r="E149">
            <v>2.8810000000000002</v>
          </cell>
          <cell r="F149">
            <v>-0.20499999999999999</v>
          </cell>
          <cell r="G149">
            <v>-0.20499999999999999</v>
          </cell>
        </row>
        <row r="150">
          <cell r="D150">
            <v>40299</v>
          </cell>
          <cell r="E150">
            <v>2.8650000000000002</v>
          </cell>
          <cell r="F150">
            <v>-0.19500000000000001</v>
          </cell>
          <cell r="G150">
            <v>-0.19500000000000001</v>
          </cell>
        </row>
        <row r="151">
          <cell r="D151">
            <v>40330</v>
          </cell>
          <cell r="E151">
            <v>2.867</v>
          </cell>
          <cell r="F151">
            <v>-0.19500000000000001</v>
          </cell>
          <cell r="G151">
            <v>-0.19500000000000001</v>
          </cell>
        </row>
        <row r="152">
          <cell r="D152">
            <v>40360</v>
          </cell>
          <cell r="E152">
            <v>2.867</v>
          </cell>
          <cell r="F152">
            <v>-0.19500000000000001</v>
          </cell>
          <cell r="G152">
            <v>-0.19500000000000001</v>
          </cell>
        </row>
        <row r="153">
          <cell r="D153">
            <v>40391</v>
          </cell>
          <cell r="E153">
            <v>2.8730000000000002</v>
          </cell>
          <cell r="F153">
            <v>-0.19500000000000001</v>
          </cell>
          <cell r="G153">
            <v>-0.19500000000000001</v>
          </cell>
        </row>
        <row r="154">
          <cell r="D154">
            <v>40422</v>
          </cell>
          <cell r="E154">
            <v>2.8790000000000004</v>
          </cell>
          <cell r="F154">
            <v>-0.19500000000000001</v>
          </cell>
          <cell r="G154">
            <v>-0.19500000000000001</v>
          </cell>
        </row>
        <row r="155">
          <cell r="D155">
            <v>40452</v>
          </cell>
          <cell r="E155">
            <v>2.9040000000000004</v>
          </cell>
          <cell r="F155">
            <v>-0.19500000000000001</v>
          </cell>
          <cell r="G155">
            <v>-0.19500000000000001</v>
          </cell>
        </row>
        <row r="156">
          <cell r="D156">
            <v>40483</v>
          </cell>
          <cell r="E156">
            <v>3.0419999999999998</v>
          </cell>
          <cell r="F156">
            <v>-0.19</v>
          </cell>
          <cell r="G156">
            <v>-0.19</v>
          </cell>
        </row>
        <row r="157">
          <cell r="D157">
            <v>40513</v>
          </cell>
          <cell r="E157">
            <v>3.1810000000000005</v>
          </cell>
          <cell r="F157">
            <v>-0.19750000000000001</v>
          </cell>
          <cell r="G157">
            <v>-0.19750000000000001</v>
          </cell>
        </row>
        <row r="158">
          <cell r="D158">
            <v>40544</v>
          </cell>
          <cell r="E158">
            <v>3.3650000000000002</v>
          </cell>
          <cell r="F158">
            <v>-0.2</v>
          </cell>
          <cell r="G158">
            <v>-0.2</v>
          </cell>
        </row>
        <row r="159">
          <cell r="D159">
            <v>40575</v>
          </cell>
          <cell r="E159">
            <v>3.2410000000000001</v>
          </cell>
          <cell r="F159">
            <v>-0.20250000000000001</v>
          </cell>
          <cell r="G159">
            <v>-0.20250000000000001</v>
          </cell>
        </row>
        <row r="160">
          <cell r="D160">
            <v>40603</v>
          </cell>
          <cell r="E160">
            <v>3.1419999999999999</v>
          </cell>
          <cell r="F160">
            <v>-0.20499999999999999</v>
          </cell>
          <cell r="G160">
            <v>-0.20499999999999999</v>
          </cell>
        </row>
        <row r="161">
          <cell r="D161">
            <v>40634</v>
          </cell>
          <cell r="E161">
            <v>3.0410000000000004</v>
          </cell>
          <cell r="F161">
            <v>-0.20499999999999999</v>
          </cell>
          <cell r="G161">
            <v>-0.20499999999999999</v>
          </cell>
        </row>
        <row r="162">
          <cell r="D162">
            <v>40664</v>
          </cell>
          <cell r="E162">
            <v>3.0249999999999999</v>
          </cell>
          <cell r="F162">
            <v>-0.19500000000000001</v>
          </cell>
          <cell r="G162">
            <v>-0.19500000000000001</v>
          </cell>
        </row>
        <row r="163">
          <cell r="D163">
            <v>40695</v>
          </cell>
          <cell r="E163">
            <v>3.0270000000000001</v>
          </cell>
          <cell r="F163">
            <v>-0.19500000000000001</v>
          </cell>
          <cell r="G163">
            <v>-0.19500000000000001</v>
          </cell>
        </row>
        <row r="164">
          <cell r="D164">
            <v>40725</v>
          </cell>
          <cell r="E164">
            <v>3.0270000000000001</v>
          </cell>
          <cell r="F164">
            <v>-0.19500000000000001</v>
          </cell>
          <cell r="G164">
            <v>-0.19500000000000001</v>
          </cell>
        </row>
        <row r="165">
          <cell r="D165">
            <v>40756</v>
          </cell>
          <cell r="E165">
            <v>3.0330000000000004</v>
          </cell>
          <cell r="F165">
            <v>-0.19500000000000001</v>
          </cell>
          <cell r="G165">
            <v>-0.19500000000000001</v>
          </cell>
        </row>
        <row r="166">
          <cell r="D166">
            <v>40787</v>
          </cell>
          <cell r="E166">
            <v>3.0390000000000006</v>
          </cell>
          <cell r="F166">
            <v>-0.19500000000000001</v>
          </cell>
          <cell r="G166">
            <v>-0.19500000000000001</v>
          </cell>
        </row>
        <row r="167">
          <cell r="D167">
            <v>40817</v>
          </cell>
          <cell r="E167">
            <v>3.0640000000000005</v>
          </cell>
          <cell r="F167">
            <v>-0.19500000000000001</v>
          </cell>
          <cell r="G167">
            <v>-0.19500000000000001</v>
          </cell>
        </row>
        <row r="168">
          <cell r="D168">
            <v>40848</v>
          </cell>
          <cell r="E168">
            <v>3.202</v>
          </cell>
          <cell r="F168">
            <v>-0.19</v>
          </cell>
          <cell r="G168">
            <v>-0.19</v>
          </cell>
        </row>
        <row r="169">
          <cell r="D169">
            <v>40878</v>
          </cell>
          <cell r="E169">
            <v>3.3410000000000002</v>
          </cell>
          <cell r="F169">
            <v>-0.19750000000000001</v>
          </cell>
          <cell r="G169">
            <v>-0.19750000000000001</v>
          </cell>
        </row>
        <row r="170">
          <cell r="D170">
            <v>40909</v>
          </cell>
          <cell r="E170">
            <v>3.5350000000000001</v>
          </cell>
          <cell r="F170">
            <v>-0.2</v>
          </cell>
          <cell r="G170">
            <v>-0.2</v>
          </cell>
        </row>
        <row r="171">
          <cell r="D171">
            <v>40940</v>
          </cell>
          <cell r="E171">
            <v>3.4110000000000005</v>
          </cell>
          <cell r="F171">
            <v>-0.20250000000000001</v>
          </cell>
          <cell r="G171">
            <v>-0.20250000000000001</v>
          </cell>
        </row>
        <row r="172">
          <cell r="D172">
            <v>40969</v>
          </cell>
          <cell r="E172">
            <v>3.3119999999999998</v>
          </cell>
          <cell r="F172">
            <v>-0.20499999999999999</v>
          </cell>
          <cell r="G172">
            <v>-0.20499999999999999</v>
          </cell>
        </row>
        <row r="173">
          <cell r="D173">
            <v>41000</v>
          </cell>
          <cell r="E173">
            <v>3.2110000000000003</v>
          </cell>
          <cell r="F173">
            <v>-0.20499999999999999</v>
          </cell>
          <cell r="G173">
            <v>-0.20499999999999999</v>
          </cell>
        </row>
        <row r="174">
          <cell r="D174">
            <v>41030</v>
          </cell>
          <cell r="E174">
            <v>3.1949999999999998</v>
          </cell>
          <cell r="F174">
            <v>-0.19500000000000001</v>
          </cell>
          <cell r="G174">
            <v>-0.19500000000000001</v>
          </cell>
        </row>
        <row r="175">
          <cell r="D175">
            <v>41061</v>
          </cell>
          <cell r="E175">
            <v>3.1970000000000001</v>
          </cell>
          <cell r="F175">
            <v>-0.19500000000000001</v>
          </cell>
          <cell r="G175">
            <v>-0.19500000000000001</v>
          </cell>
        </row>
        <row r="176">
          <cell r="D176">
            <v>41091</v>
          </cell>
          <cell r="E176">
            <v>3.1970000000000001</v>
          </cell>
          <cell r="F176">
            <v>-0.19500000000000001</v>
          </cell>
          <cell r="G176">
            <v>-0.19500000000000001</v>
          </cell>
        </row>
        <row r="177">
          <cell r="D177">
            <v>41122</v>
          </cell>
          <cell r="E177">
            <v>3.2030000000000003</v>
          </cell>
          <cell r="F177">
            <v>-0.19500000000000001</v>
          </cell>
          <cell r="G177">
            <v>-0.19500000000000001</v>
          </cell>
        </row>
        <row r="178">
          <cell r="D178">
            <v>41153</v>
          </cell>
          <cell r="E178">
            <v>3.2090000000000005</v>
          </cell>
          <cell r="F178">
            <v>-0.19500000000000001</v>
          </cell>
          <cell r="G178">
            <v>-0.19500000000000001</v>
          </cell>
        </row>
        <row r="179">
          <cell r="D179">
            <v>41183</v>
          </cell>
          <cell r="E179">
            <v>3.2340000000000004</v>
          </cell>
          <cell r="F179">
            <v>-0.19500000000000001</v>
          </cell>
          <cell r="G179">
            <v>-0.19500000000000001</v>
          </cell>
        </row>
        <row r="180">
          <cell r="D180">
            <v>41214</v>
          </cell>
          <cell r="E180">
            <v>3.3719999999999999</v>
          </cell>
          <cell r="F180">
            <v>-0.19</v>
          </cell>
          <cell r="G180">
            <v>-0.19</v>
          </cell>
        </row>
        <row r="181">
          <cell r="D181">
            <v>41244</v>
          </cell>
          <cell r="E181">
            <v>3.5110000000000001</v>
          </cell>
          <cell r="F181">
            <v>-0.19750000000000001</v>
          </cell>
          <cell r="G181">
            <v>-0.19750000000000001</v>
          </cell>
        </row>
        <row r="182">
          <cell r="D182">
            <v>41275</v>
          </cell>
          <cell r="E182">
            <v>3.7149999999999999</v>
          </cell>
          <cell r="F182">
            <v>-0.2</v>
          </cell>
          <cell r="G182">
            <v>-0.2</v>
          </cell>
        </row>
        <row r="183">
          <cell r="D183">
            <v>41306</v>
          </cell>
          <cell r="E183">
            <v>3.5910000000000002</v>
          </cell>
          <cell r="F183">
            <v>-0.20250000000000001</v>
          </cell>
          <cell r="G183">
            <v>-0.20250000000000001</v>
          </cell>
        </row>
        <row r="184">
          <cell r="D184">
            <v>41334</v>
          </cell>
          <cell r="E184">
            <v>3.492</v>
          </cell>
          <cell r="F184">
            <v>-0.20499999999999999</v>
          </cell>
          <cell r="G184">
            <v>-0.20499999999999999</v>
          </cell>
        </row>
        <row r="185">
          <cell r="D185">
            <v>41365</v>
          </cell>
          <cell r="E185">
            <v>3.3910000000000005</v>
          </cell>
          <cell r="F185">
            <v>-0.20499999999999999</v>
          </cell>
          <cell r="G185">
            <v>-0.20499999999999999</v>
          </cell>
        </row>
        <row r="186">
          <cell r="D186">
            <v>41395</v>
          </cell>
          <cell r="E186">
            <v>3.375</v>
          </cell>
          <cell r="F186">
            <v>-0.19500000000000001</v>
          </cell>
          <cell r="G186">
            <v>-0.19500000000000001</v>
          </cell>
        </row>
        <row r="187">
          <cell r="D187">
            <v>41426</v>
          </cell>
          <cell r="E187">
            <v>3.3769999999999998</v>
          </cell>
          <cell r="F187">
            <v>-0.19500000000000001</v>
          </cell>
          <cell r="G187">
            <v>-0.19500000000000001</v>
          </cell>
        </row>
        <row r="188">
          <cell r="D188">
            <v>41456</v>
          </cell>
          <cell r="E188">
            <v>3.3769999999999998</v>
          </cell>
          <cell r="F188">
            <v>-0.19500000000000001</v>
          </cell>
          <cell r="G188">
            <v>-0.19500000000000001</v>
          </cell>
        </row>
        <row r="189">
          <cell r="D189">
            <v>41487</v>
          </cell>
          <cell r="E189">
            <v>3.383</v>
          </cell>
          <cell r="F189">
            <v>-0.19500000000000001</v>
          </cell>
          <cell r="G189">
            <v>-0.19500000000000001</v>
          </cell>
        </row>
        <row r="190">
          <cell r="D190">
            <v>41518</v>
          </cell>
          <cell r="E190">
            <v>3.3890000000000002</v>
          </cell>
          <cell r="F190">
            <v>-0.19500000000000001</v>
          </cell>
          <cell r="G190">
            <v>-0.19500000000000001</v>
          </cell>
        </row>
        <row r="191">
          <cell r="D191">
            <v>41548</v>
          </cell>
          <cell r="E191">
            <v>3.4140000000000006</v>
          </cell>
          <cell r="F191">
            <v>-0.19500000000000001</v>
          </cell>
          <cell r="G191">
            <v>-0.19500000000000001</v>
          </cell>
        </row>
        <row r="192">
          <cell r="D192">
            <v>41579</v>
          </cell>
          <cell r="E192">
            <v>3.552</v>
          </cell>
          <cell r="F192">
            <v>-0.19</v>
          </cell>
          <cell r="G192">
            <v>-0.19</v>
          </cell>
        </row>
        <row r="193">
          <cell r="D193">
            <v>41609</v>
          </cell>
          <cell r="E193">
            <v>3.6910000000000003</v>
          </cell>
          <cell r="F193">
            <v>-0.19750000000000001</v>
          </cell>
          <cell r="G193">
            <v>-0.19750000000000001</v>
          </cell>
        </row>
        <row r="194">
          <cell r="D194">
            <v>41640</v>
          </cell>
          <cell r="E194">
            <v>3.9</v>
          </cell>
          <cell r="F194">
            <v>-0.2</v>
          </cell>
          <cell r="G194">
            <v>-0.2</v>
          </cell>
        </row>
        <row r="195">
          <cell r="D195">
            <v>41671</v>
          </cell>
          <cell r="E195">
            <v>3.7760000000000002</v>
          </cell>
          <cell r="F195">
            <v>-0.20250000000000001</v>
          </cell>
          <cell r="G195">
            <v>-0.20250000000000001</v>
          </cell>
        </row>
        <row r="196">
          <cell r="D196">
            <v>41699</v>
          </cell>
          <cell r="E196">
            <v>3.677</v>
          </cell>
          <cell r="F196">
            <v>-0.20499999999999999</v>
          </cell>
          <cell r="G196">
            <v>-0.20499999999999999</v>
          </cell>
        </row>
        <row r="197">
          <cell r="D197">
            <v>41730</v>
          </cell>
          <cell r="E197">
            <v>3.5760000000000005</v>
          </cell>
          <cell r="F197">
            <v>-0.20499999999999999</v>
          </cell>
          <cell r="G197">
            <v>-0.20499999999999999</v>
          </cell>
        </row>
        <row r="198">
          <cell r="D198">
            <v>41760</v>
          </cell>
          <cell r="E198">
            <v>3.56</v>
          </cell>
          <cell r="F198">
            <v>-0.19500000000000001</v>
          </cell>
          <cell r="G198">
            <v>-0.19500000000000001</v>
          </cell>
        </row>
        <row r="199">
          <cell r="D199">
            <v>41791</v>
          </cell>
          <cell r="E199">
            <v>3.5619999999999998</v>
          </cell>
          <cell r="F199">
            <v>-0.19500000000000001</v>
          </cell>
          <cell r="G199">
            <v>-0.19500000000000001</v>
          </cell>
        </row>
        <row r="200">
          <cell r="D200">
            <v>41821</v>
          </cell>
          <cell r="E200">
            <v>3.5619999999999998</v>
          </cell>
          <cell r="F200">
            <v>-0.19500000000000001</v>
          </cell>
          <cell r="G200">
            <v>-0.19500000000000001</v>
          </cell>
        </row>
        <row r="201">
          <cell r="D201">
            <v>41852</v>
          </cell>
          <cell r="E201">
            <v>3.5680000000000001</v>
          </cell>
          <cell r="F201">
            <v>-0.19500000000000001</v>
          </cell>
          <cell r="G201">
            <v>-0.19500000000000001</v>
          </cell>
        </row>
        <row r="202">
          <cell r="D202">
            <v>41883</v>
          </cell>
          <cell r="E202">
            <v>3.5740000000000003</v>
          </cell>
          <cell r="F202">
            <v>-0.19500000000000001</v>
          </cell>
          <cell r="G202">
            <v>-0.19500000000000001</v>
          </cell>
        </row>
        <row r="203">
          <cell r="D203">
            <v>41913</v>
          </cell>
          <cell r="E203">
            <v>3.5990000000000002</v>
          </cell>
          <cell r="F203">
            <v>-0.19500000000000001</v>
          </cell>
          <cell r="G203">
            <v>-0.19500000000000001</v>
          </cell>
        </row>
        <row r="204">
          <cell r="D204">
            <v>41944</v>
          </cell>
          <cell r="E204">
            <v>3.7370000000000001</v>
          </cell>
          <cell r="F204">
            <v>-0.19</v>
          </cell>
          <cell r="G204">
            <v>-0.19</v>
          </cell>
        </row>
        <row r="205">
          <cell r="D205">
            <v>41974</v>
          </cell>
          <cell r="E205">
            <v>3.8760000000000003</v>
          </cell>
          <cell r="F205">
            <v>-0.19750000000000001</v>
          </cell>
          <cell r="G205">
            <v>-0.19750000000000001</v>
          </cell>
        </row>
        <row r="206">
          <cell r="D206">
            <v>42005</v>
          </cell>
          <cell r="E206">
            <v>4.0880000000000001</v>
          </cell>
          <cell r="F206">
            <v>-0.2</v>
          </cell>
          <cell r="G206">
            <v>-0.2</v>
          </cell>
        </row>
        <row r="207">
          <cell r="D207">
            <v>42036</v>
          </cell>
          <cell r="E207">
            <v>3.9640000000000004</v>
          </cell>
          <cell r="F207">
            <v>-0.20250000000000001</v>
          </cell>
          <cell r="G207">
            <v>-0.20250000000000001</v>
          </cell>
        </row>
        <row r="208">
          <cell r="D208">
            <v>42064</v>
          </cell>
          <cell r="E208">
            <v>3.8650000000000002</v>
          </cell>
          <cell r="F208">
            <v>-0.20499999999999999</v>
          </cell>
          <cell r="G208">
            <v>-0.20499999999999999</v>
          </cell>
        </row>
        <row r="209">
          <cell r="D209">
            <v>42095</v>
          </cell>
          <cell r="E209">
            <v>3.7640000000000002</v>
          </cell>
          <cell r="F209">
            <v>-0.20499999999999999</v>
          </cell>
          <cell r="G209">
            <v>-0.20499999999999999</v>
          </cell>
        </row>
        <row r="210">
          <cell r="D210">
            <v>42125</v>
          </cell>
          <cell r="E210">
            <v>3.7480000000000002</v>
          </cell>
          <cell r="F210">
            <v>-0.19500000000000001</v>
          </cell>
          <cell r="G210">
            <v>-0.19500000000000001</v>
          </cell>
        </row>
        <row r="211">
          <cell r="D211">
            <v>42156</v>
          </cell>
          <cell r="E211">
            <v>3.75</v>
          </cell>
          <cell r="F211">
            <v>-0.19500000000000001</v>
          </cell>
          <cell r="G211">
            <v>-0.19500000000000001</v>
          </cell>
        </row>
        <row r="212">
          <cell r="D212">
            <v>42186</v>
          </cell>
          <cell r="E212">
            <v>3.75</v>
          </cell>
          <cell r="F212">
            <v>-0.19500000000000001</v>
          </cell>
          <cell r="G212">
            <v>-0.19500000000000001</v>
          </cell>
        </row>
        <row r="213">
          <cell r="D213">
            <v>42217</v>
          </cell>
          <cell r="E213">
            <v>3.7560000000000002</v>
          </cell>
          <cell r="F213">
            <v>-0.19500000000000001</v>
          </cell>
          <cell r="G213">
            <v>-0.19500000000000001</v>
          </cell>
        </row>
        <row r="214">
          <cell r="D214">
            <v>42248</v>
          </cell>
          <cell r="E214">
            <v>3.762</v>
          </cell>
          <cell r="F214">
            <v>-0.19500000000000001</v>
          </cell>
          <cell r="G214">
            <v>-0.19500000000000001</v>
          </cell>
        </row>
        <row r="215">
          <cell r="D215">
            <v>42278</v>
          </cell>
          <cell r="E215">
            <v>3.7869999999999999</v>
          </cell>
          <cell r="F215">
            <v>-0.19500000000000001</v>
          </cell>
          <cell r="G215">
            <v>-0.19500000000000001</v>
          </cell>
        </row>
        <row r="216">
          <cell r="D216">
            <v>42309</v>
          </cell>
          <cell r="E216">
            <v>3.9249999999999998</v>
          </cell>
          <cell r="F216">
            <v>-0.19</v>
          </cell>
          <cell r="G216">
            <v>-0.19</v>
          </cell>
        </row>
        <row r="217">
          <cell r="D217">
            <v>42339</v>
          </cell>
          <cell r="E217">
            <v>4.0640000000000001</v>
          </cell>
          <cell r="F217">
            <v>-0.19750000000000001</v>
          </cell>
          <cell r="G217">
            <v>-0.19750000000000001</v>
          </cell>
        </row>
        <row r="218">
          <cell r="D218">
            <v>42370</v>
          </cell>
          <cell r="E218">
            <v>4.2780000000000005</v>
          </cell>
          <cell r="F218">
            <v>-0.16</v>
          </cell>
          <cell r="G218">
            <v>-0.16</v>
          </cell>
        </row>
        <row r="219">
          <cell r="D219">
            <v>42401</v>
          </cell>
          <cell r="E219">
            <v>4.1540000000000008</v>
          </cell>
          <cell r="F219">
            <v>-0.16</v>
          </cell>
          <cell r="G219">
            <v>-0.16</v>
          </cell>
        </row>
        <row r="220">
          <cell r="D220">
            <v>42430</v>
          </cell>
          <cell r="E220">
            <v>4.0549999999999997</v>
          </cell>
          <cell r="F220">
            <v>-0.16</v>
          </cell>
          <cell r="G220">
            <v>-0.16</v>
          </cell>
        </row>
        <row r="221">
          <cell r="D221">
            <v>42461</v>
          </cell>
          <cell r="E221">
            <v>3.9540000000000006</v>
          </cell>
          <cell r="F221">
            <v>-0.16</v>
          </cell>
          <cell r="G221">
            <v>-0.16</v>
          </cell>
        </row>
        <row r="222">
          <cell r="D222">
            <v>42491</v>
          </cell>
          <cell r="E222">
            <v>3.9380000000000002</v>
          </cell>
          <cell r="F222">
            <v>0</v>
          </cell>
          <cell r="G222">
            <v>0</v>
          </cell>
        </row>
        <row r="223">
          <cell r="D223">
            <v>42522</v>
          </cell>
          <cell r="E223">
            <v>3.94</v>
          </cell>
          <cell r="F223">
            <v>0</v>
          </cell>
          <cell r="G223">
            <v>0</v>
          </cell>
        </row>
        <row r="224">
          <cell r="D224">
            <v>42552</v>
          </cell>
          <cell r="E224">
            <v>3.94</v>
          </cell>
          <cell r="F224">
            <v>0</v>
          </cell>
          <cell r="G224">
            <v>0</v>
          </cell>
        </row>
        <row r="225">
          <cell r="D225">
            <v>42583</v>
          </cell>
          <cell r="E225">
            <v>3.9460000000000002</v>
          </cell>
          <cell r="F225">
            <v>0</v>
          </cell>
          <cell r="G225">
            <v>0</v>
          </cell>
        </row>
        <row r="226">
          <cell r="D226">
            <v>42614</v>
          </cell>
          <cell r="E226">
            <v>3.952</v>
          </cell>
          <cell r="F226">
            <v>0</v>
          </cell>
          <cell r="G226">
            <v>0</v>
          </cell>
        </row>
        <row r="227">
          <cell r="D227">
            <v>42644</v>
          </cell>
          <cell r="E227">
            <v>3.9769999999999999</v>
          </cell>
          <cell r="F227">
            <v>0</v>
          </cell>
          <cell r="G227">
            <v>0</v>
          </cell>
        </row>
        <row r="228">
          <cell r="D228">
            <v>42675</v>
          </cell>
          <cell r="E228">
            <v>4.1150000000000002</v>
          </cell>
          <cell r="F228">
            <v>0</v>
          </cell>
          <cell r="G228">
            <v>0</v>
          </cell>
        </row>
        <row r="229">
          <cell r="D229">
            <v>42705</v>
          </cell>
          <cell r="E229">
            <v>4.2540000000000004</v>
          </cell>
          <cell r="F229">
            <v>0</v>
          </cell>
          <cell r="G229">
            <v>0</v>
          </cell>
        </row>
        <row r="230">
          <cell r="D230">
            <v>42736</v>
          </cell>
          <cell r="E230">
            <v>4.47</v>
          </cell>
          <cell r="F230">
            <v>0</v>
          </cell>
          <cell r="G230">
            <v>0</v>
          </cell>
        </row>
        <row r="231">
          <cell r="D231">
            <v>42767</v>
          </cell>
          <cell r="E231">
            <v>4.3460000000000001</v>
          </cell>
          <cell r="F231">
            <v>0</v>
          </cell>
          <cell r="G231">
            <v>0</v>
          </cell>
        </row>
        <row r="232">
          <cell r="D232">
            <v>42795</v>
          </cell>
          <cell r="E232">
            <v>4.2469999999999999</v>
          </cell>
          <cell r="F232">
            <v>0</v>
          </cell>
          <cell r="G232">
            <v>0</v>
          </cell>
        </row>
        <row r="233">
          <cell r="D233">
            <v>42826</v>
          </cell>
          <cell r="E233">
            <v>4.1459999999999999</v>
          </cell>
          <cell r="F233">
            <v>0</v>
          </cell>
          <cell r="G233">
            <v>0</v>
          </cell>
        </row>
        <row r="234">
          <cell r="D234">
            <v>42856</v>
          </cell>
          <cell r="E234">
            <v>4.13</v>
          </cell>
          <cell r="F234">
            <v>0</v>
          </cell>
          <cell r="G234">
            <v>0</v>
          </cell>
        </row>
        <row r="235">
          <cell r="D235">
            <v>42887</v>
          </cell>
          <cell r="E235">
            <v>4.1319999999999997</v>
          </cell>
          <cell r="F235">
            <v>0</v>
          </cell>
          <cell r="G235">
            <v>0</v>
          </cell>
        </row>
        <row r="236">
          <cell r="D236">
            <v>42917</v>
          </cell>
          <cell r="E236">
            <v>4.1319999999999997</v>
          </cell>
          <cell r="F236">
            <v>0</v>
          </cell>
          <cell r="G236">
            <v>0</v>
          </cell>
        </row>
        <row r="237">
          <cell r="D237">
            <v>42948</v>
          </cell>
          <cell r="E237">
            <v>4.1379999999999999</v>
          </cell>
          <cell r="F237">
            <v>0</v>
          </cell>
          <cell r="G237">
            <v>0</v>
          </cell>
        </row>
        <row r="238">
          <cell r="D238">
            <v>42979</v>
          </cell>
          <cell r="E238">
            <v>4.1440000000000001</v>
          </cell>
          <cell r="F238">
            <v>0</v>
          </cell>
          <cell r="G238">
            <v>0</v>
          </cell>
        </row>
        <row r="239">
          <cell r="D239">
            <v>43009</v>
          </cell>
          <cell r="E239">
            <v>4.1690000000000005</v>
          </cell>
          <cell r="F239">
            <v>0</v>
          </cell>
          <cell r="G239">
            <v>0</v>
          </cell>
        </row>
        <row r="240">
          <cell r="D240">
            <v>43040</v>
          </cell>
          <cell r="E240">
            <v>4.3070000000000004</v>
          </cell>
          <cell r="F240">
            <v>0</v>
          </cell>
          <cell r="G240">
            <v>0</v>
          </cell>
        </row>
        <row r="241">
          <cell r="D241">
            <v>43070</v>
          </cell>
          <cell r="E241">
            <v>4.4460000000000006</v>
          </cell>
          <cell r="F241">
            <v>0</v>
          </cell>
          <cell r="G241">
            <v>0</v>
          </cell>
        </row>
        <row r="242">
          <cell r="D242">
            <v>43101</v>
          </cell>
          <cell r="E242">
            <v>4.665</v>
          </cell>
          <cell r="F242">
            <v>0</v>
          </cell>
          <cell r="G242">
            <v>0</v>
          </cell>
        </row>
        <row r="243">
          <cell r="D243">
            <v>43132</v>
          </cell>
          <cell r="E243">
            <v>4.5410000000000004</v>
          </cell>
          <cell r="F243">
            <v>0</v>
          </cell>
          <cell r="G243">
            <v>0</v>
          </cell>
        </row>
        <row r="244">
          <cell r="D244">
            <v>43160</v>
          </cell>
          <cell r="E244">
            <v>4.4420000000000002</v>
          </cell>
          <cell r="F244">
            <v>0</v>
          </cell>
          <cell r="G244">
            <v>0</v>
          </cell>
        </row>
        <row r="245">
          <cell r="D245">
            <v>43191</v>
          </cell>
          <cell r="E245">
            <v>4.3410000000000002</v>
          </cell>
          <cell r="F245">
            <v>0</v>
          </cell>
          <cell r="G245">
            <v>0</v>
          </cell>
        </row>
        <row r="246">
          <cell r="D246">
            <v>43221</v>
          </cell>
          <cell r="E246">
            <v>4.3250000000000002</v>
          </cell>
          <cell r="F246">
            <v>0</v>
          </cell>
          <cell r="G246">
            <v>0</v>
          </cell>
        </row>
        <row r="247">
          <cell r="D247">
            <v>43252</v>
          </cell>
          <cell r="E247">
            <v>4.327</v>
          </cell>
          <cell r="F247">
            <v>0</v>
          </cell>
          <cell r="G247">
            <v>0</v>
          </cell>
        </row>
        <row r="248">
          <cell r="D248">
            <v>43282</v>
          </cell>
          <cell r="E248">
            <v>4.327</v>
          </cell>
          <cell r="F248">
            <v>0</v>
          </cell>
          <cell r="G248">
            <v>0</v>
          </cell>
        </row>
        <row r="249">
          <cell r="D249">
            <v>43313</v>
          </cell>
          <cell r="E249">
            <v>4.3330000000000002</v>
          </cell>
          <cell r="F249">
            <v>0</v>
          </cell>
          <cell r="G249">
            <v>0</v>
          </cell>
        </row>
        <row r="250">
          <cell r="D250">
            <v>43344</v>
          </cell>
          <cell r="E250">
            <v>4.3390000000000004</v>
          </cell>
          <cell r="F250">
            <v>0</v>
          </cell>
          <cell r="G250">
            <v>0</v>
          </cell>
        </row>
        <row r="251">
          <cell r="D251">
            <v>43374</v>
          </cell>
          <cell r="E251">
            <v>4.3640000000000008</v>
          </cell>
          <cell r="F251">
            <v>0</v>
          </cell>
          <cell r="G251">
            <v>0</v>
          </cell>
        </row>
        <row r="252">
          <cell r="D252">
            <v>43405</v>
          </cell>
          <cell r="E252">
            <v>4.5019999999999998</v>
          </cell>
          <cell r="F252">
            <v>0</v>
          </cell>
          <cell r="G252">
            <v>0</v>
          </cell>
        </row>
        <row r="253">
          <cell r="D253">
            <v>43435</v>
          </cell>
          <cell r="E253">
            <v>4.641</v>
          </cell>
          <cell r="F253">
            <v>0</v>
          </cell>
          <cell r="G253">
            <v>0</v>
          </cell>
        </row>
        <row r="254">
          <cell r="D254">
            <v>43466</v>
          </cell>
          <cell r="E254">
            <v>4.8630000000000004</v>
          </cell>
          <cell r="F254">
            <v>0</v>
          </cell>
          <cell r="G254">
            <v>0</v>
          </cell>
        </row>
        <row r="255">
          <cell r="D255">
            <v>43497</v>
          </cell>
          <cell r="E255">
            <v>4.7390000000000008</v>
          </cell>
          <cell r="F255">
            <v>0</v>
          </cell>
          <cell r="G255">
            <v>0</v>
          </cell>
        </row>
        <row r="256">
          <cell r="D256">
            <v>43525</v>
          </cell>
          <cell r="E256">
            <v>4.6399999999999997</v>
          </cell>
          <cell r="F256">
            <v>0</v>
          </cell>
          <cell r="G256">
            <v>0</v>
          </cell>
        </row>
        <row r="257">
          <cell r="D257">
            <v>43556</v>
          </cell>
          <cell r="E257">
            <v>4.5390000000000006</v>
          </cell>
          <cell r="F257">
            <v>0</v>
          </cell>
          <cell r="G257">
            <v>0</v>
          </cell>
        </row>
        <row r="258">
          <cell r="D258">
            <v>43586</v>
          </cell>
          <cell r="E258">
            <v>4.5230000000000006</v>
          </cell>
          <cell r="F258">
            <v>0</v>
          </cell>
          <cell r="G258">
            <v>0</v>
          </cell>
        </row>
        <row r="259">
          <cell r="D259">
            <v>43617</v>
          </cell>
          <cell r="E259">
            <v>4.5250000000000004</v>
          </cell>
          <cell r="F259">
            <v>0</v>
          </cell>
          <cell r="G259">
            <v>0</v>
          </cell>
        </row>
        <row r="260">
          <cell r="D260">
            <v>43647</v>
          </cell>
          <cell r="E260">
            <v>4.5250000000000004</v>
          </cell>
          <cell r="F260">
            <v>0</v>
          </cell>
          <cell r="G260">
            <v>0</v>
          </cell>
        </row>
        <row r="261">
          <cell r="D261">
            <v>43678</v>
          </cell>
          <cell r="E261">
            <v>4.5310000000000006</v>
          </cell>
          <cell r="F261">
            <v>0</v>
          </cell>
          <cell r="G261">
            <v>0</v>
          </cell>
        </row>
        <row r="262">
          <cell r="D262">
            <v>43709</v>
          </cell>
          <cell r="E262">
            <v>4.5369999999999999</v>
          </cell>
          <cell r="F262">
            <v>0</v>
          </cell>
          <cell r="G262">
            <v>0</v>
          </cell>
        </row>
        <row r="263">
          <cell r="D263">
            <v>43739</v>
          </cell>
          <cell r="E263">
            <v>4.5620000000000003</v>
          </cell>
          <cell r="F263">
            <v>0</v>
          </cell>
          <cell r="G263">
            <v>0</v>
          </cell>
        </row>
        <row r="264">
          <cell r="D264">
            <v>43770</v>
          </cell>
          <cell r="E264">
            <v>4.7</v>
          </cell>
          <cell r="F264">
            <v>0</v>
          </cell>
          <cell r="G264">
            <v>0</v>
          </cell>
        </row>
        <row r="265">
          <cell r="D265">
            <v>43800</v>
          </cell>
          <cell r="E265">
            <v>4.8390000000000004</v>
          </cell>
          <cell r="F265">
            <v>0</v>
          </cell>
          <cell r="G265">
            <v>0</v>
          </cell>
        </row>
        <row r="266">
          <cell r="D266">
            <v>43831</v>
          </cell>
          <cell r="E266">
            <v>5.0630000000000006</v>
          </cell>
          <cell r="F266">
            <v>0</v>
          </cell>
          <cell r="G266">
            <v>0</v>
          </cell>
        </row>
        <row r="267">
          <cell r="D267">
            <v>43862</v>
          </cell>
          <cell r="E267">
            <v>4.9390000000000001</v>
          </cell>
          <cell r="F267">
            <v>0</v>
          </cell>
          <cell r="G267">
            <v>0</v>
          </cell>
        </row>
        <row r="268">
          <cell r="D268">
            <v>43891</v>
          </cell>
          <cell r="E268">
            <v>4.84</v>
          </cell>
          <cell r="F268">
            <v>0</v>
          </cell>
          <cell r="G268">
            <v>0</v>
          </cell>
        </row>
        <row r="269">
          <cell r="D269">
            <v>43922</v>
          </cell>
          <cell r="E269">
            <v>4.7390000000000008</v>
          </cell>
          <cell r="F269">
            <v>0</v>
          </cell>
          <cell r="G269">
            <v>0</v>
          </cell>
        </row>
        <row r="270">
          <cell r="D270">
            <v>43952</v>
          </cell>
          <cell r="E270">
            <v>4.7229999999999999</v>
          </cell>
          <cell r="F270">
            <v>0</v>
          </cell>
          <cell r="G270">
            <v>0</v>
          </cell>
        </row>
        <row r="271">
          <cell r="D271">
            <v>43983</v>
          </cell>
          <cell r="E271">
            <v>4.7249999999999996</v>
          </cell>
          <cell r="F271">
            <v>0</v>
          </cell>
          <cell r="G271">
            <v>0</v>
          </cell>
        </row>
        <row r="272">
          <cell r="D272">
            <v>44013</v>
          </cell>
          <cell r="E272">
            <v>4.7249999999999996</v>
          </cell>
          <cell r="F272">
            <v>0</v>
          </cell>
          <cell r="G272">
            <v>0</v>
          </cell>
        </row>
        <row r="273">
          <cell r="D273">
            <v>44044</v>
          </cell>
          <cell r="E273">
            <v>4.7310000000000008</v>
          </cell>
          <cell r="F273">
            <v>0</v>
          </cell>
          <cell r="G273">
            <v>0</v>
          </cell>
        </row>
        <row r="274">
          <cell r="D274">
            <v>44075</v>
          </cell>
          <cell r="E274">
            <v>4.7370000000000001</v>
          </cell>
          <cell r="F274">
            <v>0</v>
          </cell>
          <cell r="G274">
            <v>0</v>
          </cell>
        </row>
        <row r="275">
          <cell r="D275">
            <v>44105</v>
          </cell>
          <cell r="E275">
            <v>4.7619999999999996</v>
          </cell>
          <cell r="F275">
            <v>0</v>
          </cell>
          <cell r="G275">
            <v>0</v>
          </cell>
        </row>
        <row r="276">
          <cell r="D276">
            <v>44136</v>
          </cell>
          <cell r="E276">
            <v>4.9000000000000004</v>
          </cell>
          <cell r="F276">
            <v>0</v>
          </cell>
          <cell r="G276">
            <v>0</v>
          </cell>
        </row>
        <row r="277">
          <cell r="D277">
            <v>44166</v>
          </cell>
          <cell r="E277">
            <v>5.0390000000000006</v>
          </cell>
          <cell r="F277">
            <v>0</v>
          </cell>
          <cell r="G277">
            <v>0</v>
          </cell>
        </row>
        <row r="278">
          <cell r="D278">
            <v>44197</v>
          </cell>
          <cell r="E278">
            <v>5.0940000000000003</v>
          </cell>
          <cell r="F278">
            <v>0</v>
          </cell>
          <cell r="G278">
            <v>0</v>
          </cell>
        </row>
        <row r="279">
          <cell r="D279">
            <v>44228</v>
          </cell>
          <cell r="E279">
            <v>5.0220000000000002</v>
          </cell>
          <cell r="F279">
            <v>0</v>
          </cell>
          <cell r="G279">
            <v>0</v>
          </cell>
        </row>
        <row r="280">
          <cell r="D280">
            <v>44256</v>
          </cell>
          <cell r="E280">
            <v>4.915</v>
          </cell>
          <cell r="F280">
            <v>0</v>
          </cell>
          <cell r="G280">
            <v>0</v>
          </cell>
        </row>
        <row r="281">
          <cell r="D281">
            <v>44287</v>
          </cell>
          <cell r="E281">
            <v>4.8029999999999999</v>
          </cell>
          <cell r="F281">
            <v>0</v>
          </cell>
          <cell r="G281">
            <v>0</v>
          </cell>
        </row>
        <row r="282">
          <cell r="D282">
            <v>44317</v>
          </cell>
          <cell r="E282">
            <v>4.7930000000000001</v>
          </cell>
          <cell r="F282">
            <v>0</v>
          </cell>
          <cell r="G282">
            <v>0</v>
          </cell>
        </row>
        <row r="283">
          <cell r="D283">
            <v>44348</v>
          </cell>
          <cell r="E283">
            <v>4.7890000000000006</v>
          </cell>
          <cell r="F283">
            <v>0</v>
          </cell>
          <cell r="G283">
            <v>0</v>
          </cell>
        </row>
        <row r="284">
          <cell r="D284">
            <v>44378</v>
          </cell>
          <cell r="E284">
            <v>4.7860000000000005</v>
          </cell>
          <cell r="F284">
            <v>0</v>
          </cell>
          <cell r="G284">
            <v>0</v>
          </cell>
        </row>
        <row r="285">
          <cell r="D285">
            <v>44409</v>
          </cell>
          <cell r="E285">
            <v>4.8160000000000007</v>
          </cell>
          <cell r="F285">
            <v>0</v>
          </cell>
          <cell r="G285">
            <v>0</v>
          </cell>
        </row>
        <row r="286">
          <cell r="D286">
            <v>44440</v>
          </cell>
          <cell r="E286">
            <v>4.8190000000000008</v>
          </cell>
          <cell r="F286">
            <v>0</v>
          </cell>
          <cell r="G286">
            <v>0</v>
          </cell>
        </row>
        <row r="287">
          <cell r="D287">
            <v>44470</v>
          </cell>
          <cell r="E287">
            <v>4.8419999999999996</v>
          </cell>
          <cell r="F287">
            <v>0</v>
          </cell>
          <cell r="G287">
            <v>0</v>
          </cell>
        </row>
        <row r="288">
          <cell r="D288">
            <v>44501</v>
          </cell>
          <cell r="E288">
            <v>4.9510000000000005</v>
          </cell>
          <cell r="F288">
            <v>0</v>
          </cell>
          <cell r="G288">
            <v>0</v>
          </cell>
        </row>
        <row r="289">
          <cell r="D289">
            <v>44531</v>
          </cell>
          <cell r="E289">
            <v>5.0720000000000001</v>
          </cell>
          <cell r="F289">
            <v>0</v>
          </cell>
          <cell r="G289">
            <v>0</v>
          </cell>
        </row>
        <row r="290">
          <cell r="D290">
            <v>44562</v>
          </cell>
          <cell r="E290">
            <v>5.3040000000000003</v>
          </cell>
          <cell r="F290">
            <v>0</v>
          </cell>
          <cell r="G290">
            <v>0</v>
          </cell>
        </row>
        <row r="291">
          <cell r="D291">
            <v>44593</v>
          </cell>
          <cell r="E291">
            <v>5.2320000000000002</v>
          </cell>
          <cell r="F291">
            <v>0</v>
          </cell>
          <cell r="G291">
            <v>0</v>
          </cell>
        </row>
        <row r="292">
          <cell r="D292">
            <v>44621</v>
          </cell>
          <cell r="E292">
            <v>5.125</v>
          </cell>
          <cell r="F292">
            <v>0</v>
          </cell>
          <cell r="G292">
            <v>0</v>
          </cell>
        </row>
        <row r="293">
          <cell r="D293">
            <v>44652</v>
          </cell>
          <cell r="E293">
            <v>5.0129999999999999</v>
          </cell>
          <cell r="F293">
            <v>0</v>
          </cell>
          <cell r="G293">
            <v>0</v>
          </cell>
        </row>
        <row r="294">
          <cell r="D294">
            <v>44682</v>
          </cell>
          <cell r="E294">
            <v>5.0030000000000001</v>
          </cell>
          <cell r="F294">
            <v>0</v>
          </cell>
          <cell r="G294">
            <v>0</v>
          </cell>
        </row>
        <row r="295">
          <cell r="D295">
            <v>44713</v>
          </cell>
          <cell r="E295">
            <v>4.9990000000000006</v>
          </cell>
          <cell r="F295">
            <v>0</v>
          </cell>
          <cell r="G295">
            <v>0</v>
          </cell>
        </row>
        <row r="296">
          <cell r="D296">
            <v>44743</v>
          </cell>
          <cell r="E296">
            <v>4.9960000000000004</v>
          </cell>
          <cell r="F296">
            <v>0</v>
          </cell>
          <cell r="G296">
            <v>0</v>
          </cell>
        </row>
        <row r="297">
          <cell r="D297">
            <v>44774</v>
          </cell>
          <cell r="E297">
            <v>5.0260000000000007</v>
          </cell>
          <cell r="F297">
            <v>0</v>
          </cell>
          <cell r="G297">
            <v>0</v>
          </cell>
        </row>
        <row r="298">
          <cell r="D298">
            <v>44805</v>
          </cell>
          <cell r="E298">
            <v>5.0290000000000008</v>
          </cell>
          <cell r="F298">
            <v>0</v>
          </cell>
          <cell r="G298">
            <v>0</v>
          </cell>
        </row>
        <row r="299">
          <cell r="D299">
            <v>44835</v>
          </cell>
          <cell r="E299">
            <v>5.0519999999999996</v>
          </cell>
          <cell r="F299">
            <v>0</v>
          </cell>
          <cell r="G299">
            <v>0</v>
          </cell>
        </row>
        <row r="300">
          <cell r="D300">
            <v>44866</v>
          </cell>
          <cell r="E300">
            <v>5.1610000000000005</v>
          </cell>
          <cell r="F300">
            <v>0</v>
          </cell>
          <cell r="G300">
            <v>0</v>
          </cell>
        </row>
        <row r="301">
          <cell r="D301">
            <v>44896</v>
          </cell>
          <cell r="E301">
            <v>5.2820000000000009</v>
          </cell>
          <cell r="F301">
            <v>0</v>
          </cell>
          <cell r="G301">
            <v>0</v>
          </cell>
        </row>
        <row r="302">
          <cell r="D302">
            <v>44927</v>
          </cell>
          <cell r="E302">
            <v>5.516</v>
          </cell>
          <cell r="F302">
            <v>0</v>
          </cell>
          <cell r="G302">
            <v>0</v>
          </cell>
        </row>
        <row r="303">
          <cell r="D303">
            <v>44958</v>
          </cell>
          <cell r="E303">
            <v>5.4450000000000003</v>
          </cell>
          <cell r="F303">
            <v>0</v>
          </cell>
          <cell r="G303">
            <v>0</v>
          </cell>
        </row>
        <row r="304">
          <cell r="D304">
            <v>44986</v>
          </cell>
          <cell r="E304">
            <v>5.3380000000000001</v>
          </cell>
          <cell r="F304">
            <v>0</v>
          </cell>
          <cell r="G304">
            <v>0</v>
          </cell>
        </row>
        <row r="305">
          <cell r="D305">
            <v>45017</v>
          </cell>
          <cell r="E305">
            <v>5.226</v>
          </cell>
          <cell r="F305">
            <v>0</v>
          </cell>
          <cell r="G305">
            <v>0</v>
          </cell>
        </row>
        <row r="306">
          <cell r="D306">
            <v>45047</v>
          </cell>
          <cell r="E306">
            <v>5.2160000000000002</v>
          </cell>
          <cell r="F306">
            <v>0</v>
          </cell>
          <cell r="G306">
            <v>0</v>
          </cell>
        </row>
        <row r="307">
          <cell r="D307">
            <v>45078</v>
          </cell>
          <cell r="E307">
            <v>5.2120000000000006</v>
          </cell>
          <cell r="F307">
            <v>0</v>
          </cell>
          <cell r="G307">
            <v>0</v>
          </cell>
        </row>
        <row r="308">
          <cell r="D308">
            <v>45108</v>
          </cell>
          <cell r="E308">
            <v>5.2089999999999996</v>
          </cell>
          <cell r="F308">
            <v>0</v>
          </cell>
          <cell r="G308">
            <v>0</v>
          </cell>
        </row>
        <row r="309">
          <cell r="D309">
            <v>45139</v>
          </cell>
          <cell r="E309">
            <v>5.2389999999999999</v>
          </cell>
          <cell r="F309">
            <v>0</v>
          </cell>
          <cell r="G309">
            <v>0</v>
          </cell>
        </row>
        <row r="310">
          <cell r="D310">
            <v>45170</v>
          </cell>
          <cell r="E310">
            <v>5.2420000000000009</v>
          </cell>
          <cell r="F310">
            <v>0</v>
          </cell>
          <cell r="G310">
            <v>0</v>
          </cell>
        </row>
        <row r="311">
          <cell r="D311">
            <v>45200</v>
          </cell>
          <cell r="E311">
            <v>5.2649999999999997</v>
          </cell>
          <cell r="F311">
            <v>0</v>
          </cell>
          <cell r="G311">
            <v>0</v>
          </cell>
        </row>
        <row r="312">
          <cell r="D312">
            <v>45231</v>
          </cell>
          <cell r="E312">
            <v>5.3739999999999997</v>
          </cell>
          <cell r="F312">
            <v>0</v>
          </cell>
          <cell r="G312">
            <v>0</v>
          </cell>
        </row>
        <row r="313">
          <cell r="D313">
            <v>45261</v>
          </cell>
          <cell r="E313">
            <v>5.4950000000000001</v>
          </cell>
          <cell r="F313">
            <v>0</v>
          </cell>
          <cell r="G313">
            <v>0</v>
          </cell>
        </row>
        <row r="314">
          <cell r="D314">
            <v>45292</v>
          </cell>
          <cell r="E314">
            <v>5.7310000000000008</v>
          </cell>
          <cell r="F314">
            <v>0</v>
          </cell>
          <cell r="G314">
            <v>0</v>
          </cell>
        </row>
        <row r="315">
          <cell r="D315">
            <v>45323</v>
          </cell>
          <cell r="E315">
            <v>5.66</v>
          </cell>
          <cell r="F315">
            <v>0</v>
          </cell>
          <cell r="G315">
            <v>0</v>
          </cell>
        </row>
        <row r="316">
          <cell r="D316">
            <v>45352</v>
          </cell>
          <cell r="E316">
            <v>5.5530000000000008</v>
          </cell>
          <cell r="F316">
            <v>0</v>
          </cell>
          <cell r="G316">
            <v>0</v>
          </cell>
        </row>
        <row r="317">
          <cell r="D317">
            <v>45383</v>
          </cell>
          <cell r="E317">
            <v>5.4410000000000007</v>
          </cell>
          <cell r="F317">
            <v>0</v>
          </cell>
          <cell r="G317">
            <v>0</v>
          </cell>
        </row>
        <row r="318">
          <cell r="D318">
            <v>45413</v>
          </cell>
          <cell r="E318">
            <v>5.431</v>
          </cell>
          <cell r="F318">
            <v>0</v>
          </cell>
          <cell r="G318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Value &amp; Positions"/>
      <sheetName val="Daily P&amp;L"/>
      <sheetName val="Update Instructions"/>
      <sheetName val="Benchmark Positions"/>
    </sheetNames>
    <sheetDataSet>
      <sheetData sheetId="0" refreshError="1">
        <row r="2">
          <cell r="B2">
            <v>36174</v>
          </cell>
        </row>
        <row r="16">
          <cell r="A16" t="str">
            <v>IF-TRANSCO/Z6</v>
          </cell>
          <cell r="B16">
            <v>0</v>
          </cell>
        </row>
        <row r="17">
          <cell r="A17" t="str">
            <v>IF-NWPL_ROCKY_M</v>
          </cell>
          <cell r="B17">
            <v>3</v>
          </cell>
        </row>
        <row r="18">
          <cell r="A18" t="str">
            <v>IF-CGT/APPALAC</v>
          </cell>
          <cell r="B18">
            <v>6</v>
          </cell>
        </row>
        <row r="19">
          <cell r="A19" t="str">
            <v>IF-HPL/SHPCHAN</v>
          </cell>
          <cell r="B19">
            <v>9</v>
          </cell>
        </row>
        <row r="20">
          <cell r="A20">
            <v>0</v>
          </cell>
          <cell r="B20">
            <v>12</v>
          </cell>
        </row>
        <row r="21">
          <cell r="A21">
            <v>0</v>
          </cell>
          <cell r="B21">
            <v>15</v>
          </cell>
        </row>
        <row r="22">
          <cell r="A22">
            <v>0</v>
          </cell>
          <cell r="B22">
            <v>18</v>
          </cell>
        </row>
        <row r="23">
          <cell r="A23">
            <v>0</v>
          </cell>
          <cell r="B23">
            <v>21</v>
          </cell>
        </row>
        <row r="24">
          <cell r="A24">
            <v>0</v>
          </cell>
          <cell r="B24">
            <v>24</v>
          </cell>
        </row>
        <row r="25">
          <cell r="A25">
            <v>0</v>
          </cell>
          <cell r="B25">
            <v>27</v>
          </cell>
        </row>
        <row r="26">
          <cell r="A26">
            <v>0</v>
          </cell>
          <cell r="B26">
            <v>30</v>
          </cell>
        </row>
        <row r="27">
          <cell r="A27">
            <v>0</v>
          </cell>
          <cell r="B27">
            <v>33</v>
          </cell>
        </row>
        <row r="28">
          <cell r="A28">
            <v>0</v>
          </cell>
          <cell r="B28">
            <v>36</v>
          </cell>
        </row>
        <row r="29">
          <cell r="A29">
            <v>0</v>
          </cell>
          <cell r="B29">
            <v>39</v>
          </cell>
        </row>
        <row r="30">
          <cell r="A30">
            <v>0</v>
          </cell>
          <cell r="B30">
            <v>42</v>
          </cell>
        </row>
        <row r="31">
          <cell r="A31">
            <v>0</v>
          </cell>
          <cell r="B31">
            <v>45</v>
          </cell>
        </row>
        <row r="32">
          <cell r="A32">
            <v>0</v>
          </cell>
          <cell r="B32">
            <v>48</v>
          </cell>
        </row>
        <row r="33">
          <cell r="A33">
            <v>0</v>
          </cell>
          <cell r="B33">
            <v>51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TopPages"/>
      <sheetName val="Roll-1"/>
      <sheetName val="Roll-2"/>
      <sheetName val="Roll-3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Peoples Unwind"/>
      <sheetName val="Orig Sched"/>
      <sheetName val="Roll-4"/>
      <sheetName val="Exotics"/>
      <sheetName val="CURVES"/>
      <sheetName val="Daily Macro"/>
      <sheetName val="Monthly Macro"/>
      <sheetName val="Module1"/>
      <sheetName val="Module2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4">
          <cell r="D14">
            <v>36342</v>
          </cell>
          <cell r="E14">
            <v>2.262</v>
          </cell>
          <cell r="F14">
            <v>6.8000000000000005E-2</v>
          </cell>
          <cell r="G14">
            <v>0</v>
          </cell>
          <cell r="H14">
            <v>0.4</v>
          </cell>
          <cell r="I14">
            <v>0.38500000000000001</v>
          </cell>
          <cell r="J14">
            <v>8.8000000000000009E-2</v>
          </cell>
          <cell r="K14">
            <v>0</v>
          </cell>
          <cell r="L14">
            <v>0.4</v>
          </cell>
          <cell r="M14">
            <v>1</v>
          </cell>
          <cell r="N14">
            <v>1</v>
          </cell>
          <cell r="O14">
            <v>5</v>
          </cell>
        </row>
        <row r="15">
          <cell r="D15">
            <v>36373</v>
          </cell>
          <cell r="E15">
            <v>2.6010000000000004</v>
          </cell>
          <cell r="F15">
            <v>9.4E-2</v>
          </cell>
          <cell r="G15">
            <v>0</v>
          </cell>
          <cell r="H15">
            <v>0.5</v>
          </cell>
          <cell r="I15">
            <v>0.45</v>
          </cell>
          <cell r="J15">
            <v>0.114</v>
          </cell>
          <cell r="K15">
            <v>-2.5000000000000001E-3</v>
          </cell>
          <cell r="L15">
            <v>0.75</v>
          </cell>
          <cell r="M15">
            <v>5.176244833114102E-2</v>
          </cell>
          <cell r="N15">
            <v>1.0015402498025805</v>
          </cell>
          <cell r="O15">
            <v>6</v>
          </cell>
        </row>
        <row r="16">
          <cell r="D16">
            <v>36404</v>
          </cell>
          <cell r="E16">
            <v>2.6060000000000003</v>
          </cell>
          <cell r="F16">
            <v>5.7500000000000002E-2</v>
          </cell>
          <cell r="G16">
            <v>0</v>
          </cell>
          <cell r="H16">
            <v>0.5</v>
          </cell>
          <cell r="I16">
            <v>0.45</v>
          </cell>
          <cell r="J16">
            <v>8.7499999999999994E-2</v>
          </cell>
          <cell r="K16">
            <v>0</v>
          </cell>
          <cell r="L16">
            <v>0.5</v>
          </cell>
          <cell r="M16">
            <v>5.3037209979137002E-2</v>
          </cell>
          <cell r="N16">
            <v>0.9971377842463538</v>
          </cell>
          <cell r="O16">
            <v>7</v>
          </cell>
        </row>
        <row r="17">
          <cell r="D17">
            <v>36434</v>
          </cell>
          <cell r="E17">
            <v>2.6230000000000002</v>
          </cell>
          <cell r="F17">
            <v>7.0000000000000007E-2</v>
          </cell>
          <cell r="G17">
            <v>0</v>
          </cell>
          <cell r="H17">
            <v>0.55000000000000004</v>
          </cell>
          <cell r="I17">
            <v>0.45</v>
          </cell>
          <cell r="J17">
            <v>9.5000000000000001E-2</v>
          </cell>
          <cell r="K17">
            <v>0</v>
          </cell>
          <cell r="L17">
            <v>0.48749999999999999</v>
          </cell>
          <cell r="M17">
            <v>5.3582831243689996E-2</v>
          </cell>
          <cell r="N17">
            <v>0.9927875836327239</v>
          </cell>
          <cell r="O17">
            <v>8</v>
          </cell>
        </row>
        <row r="18">
          <cell r="D18">
            <v>36465</v>
          </cell>
          <cell r="E18">
            <v>2.738</v>
          </cell>
          <cell r="F18">
            <v>0.13750000000000001</v>
          </cell>
          <cell r="G18">
            <v>1.2500000000000001E-2</v>
          </cell>
          <cell r="H18">
            <v>0.8</v>
          </cell>
          <cell r="I18">
            <v>0.9</v>
          </cell>
          <cell r="J18">
            <v>0.20499999999999999</v>
          </cell>
          <cell r="K18">
            <v>0</v>
          </cell>
          <cell r="L18">
            <v>0.47249999999999998</v>
          </cell>
          <cell r="M18">
            <v>5.4213172949980015E-2</v>
          </cell>
          <cell r="N18">
            <v>0.98820750935838564</v>
          </cell>
          <cell r="O18">
            <v>9</v>
          </cell>
        </row>
        <row r="19">
          <cell r="D19">
            <v>36495</v>
          </cell>
          <cell r="E19">
            <v>2.8680000000000003</v>
          </cell>
          <cell r="F19">
            <v>0.16750000000000001</v>
          </cell>
          <cell r="G19">
            <v>1.2500000000000001E-2</v>
          </cell>
          <cell r="H19">
            <v>1.1000000000000001</v>
          </cell>
          <cell r="I19">
            <v>1.1499999999999999</v>
          </cell>
          <cell r="J19">
            <v>0.245</v>
          </cell>
          <cell r="K19">
            <v>0</v>
          </cell>
          <cell r="L19">
            <v>0.46250000000000002</v>
          </cell>
          <cell r="M19">
            <v>5.4576908196337995E-2</v>
          </cell>
          <cell r="N19">
            <v>0.98376942635125419</v>
          </cell>
          <cell r="O19">
            <v>10</v>
          </cell>
        </row>
        <row r="20">
          <cell r="D20">
            <v>36526</v>
          </cell>
          <cell r="E20">
            <v>2.8980000000000001</v>
          </cell>
          <cell r="F20">
            <v>0.1875</v>
          </cell>
          <cell r="G20">
            <v>1.2500000000000001E-2</v>
          </cell>
          <cell r="H20">
            <v>1.1000000000000001</v>
          </cell>
          <cell r="I20">
            <v>1.1499999999999999</v>
          </cell>
          <cell r="J20">
            <v>0.28249999999999997</v>
          </cell>
          <cell r="K20">
            <v>0</v>
          </cell>
          <cell r="L20">
            <v>0.45750000000000002</v>
          </cell>
          <cell r="M20">
            <v>5.5083848352660017E-2</v>
          </cell>
          <cell r="N20">
            <v>0.97909597246354285</v>
          </cell>
          <cell r="O20">
            <v>11</v>
          </cell>
        </row>
        <row r="21">
          <cell r="D21">
            <v>36557</v>
          </cell>
          <cell r="E21">
            <v>2.77</v>
          </cell>
          <cell r="F21">
            <v>0.1925</v>
          </cell>
          <cell r="G21">
            <v>1.2500000000000001E-2</v>
          </cell>
          <cell r="H21">
            <v>1.1000000000000001</v>
          </cell>
          <cell r="I21">
            <v>1.1499999999999999</v>
          </cell>
          <cell r="J21">
            <v>0.3125</v>
          </cell>
          <cell r="K21">
            <v>0</v>
          </cell>
          <cell r="L21">
            <v>0.44</v>
          </cell>
          <cell r="M21">
            <v>5.5698737145109999E-2</v>
          </cell>
          <cell r="N21">
            <v>0.97431469567749018</v>
          </cell>
          <cell r="O21">
            <v>12</v>
          </cell>
        </row>
        <row r="22">
          <cell r="D22">
            <v>36586</v>
          </cell>
          <cell r="E22">
            <v>2.605</v>
          </cell>
          <cell r="F22">
            <v>0.19</v>
          </cell>
          <cell r="G22">
            <v>1.2500000000000001E-2</v>
          </cell>
          <cell r="H22">
            <v>0.75</v>
          </cell>
          <cell r="I22">
            <v>0.85</v>
          </cell>
          <cell r="J22">
            <v>0.3175</v>
          </cell>
          <cell r="K22">
            <v>0</v>
          </cell>
          <cell r="L22">
            <v>0.38</v>
          </cell>
          <cell r="M22">
            <v>5.6273955806854022E-2</v>
          </cell>
          <cell r="N22">
            <v>0.96977394492076807</v>
          </cell>
          <cell r="O22">
            <v>13</v>
          </cell>
        </row>
        <row r="23">
          <cell r="D23">
            <v>36617</v>
          </cell>
          <cell r="E23">
            <v>2.4350000000000001</v>
          </cell>
          <cell r="F23">
            <v>0.03</v>
          </cell>
          <cell r="G23">
            <v>0</v>
          </cell>
          <cell r="H23">
            <v>0.45</v>
          </cell>
          <cell r="I23">
            <v>0.45</v>
          </cell>
          <cell r="J23">
            <v>0.115</v>
          </cell>
          <cell r="K23">
            <v>-2.5000000000000001E-3</v>
          </cell>
          <cell r="L23">
            <v>0.28749999999999998</v>
          </cell>
          <cell r="M23">
            <v>5.6703054023341012E-2</v>
          </cell>
          <cell r="N23">
            <v>0.96495993778957279</v>
          </cell>
          <cell r="O23">
            <v>14</v>
          </cell>
        </row>
        <row r="24">
          <cell r="D24">
            <v>36647</v>
          </cell>
          <cell r="E24">
            <v>2.37</v>
          </cell>
          <cell r="F24">
            <v>2.75E-2</v>
          </cell>
          <cell r="G24">
            <v>0</v>
          </cell>
          <cell r="H24">
            <v>0.5</v>
          </cell>
          <cell r="I24">
            <v>0.45</v>
          </cell>
          <cell r="J24">
            <v>0.1125</v>
          </cell>
          <cell r="K24">
            <v>-2.5000000000000001E-3</v>
          </cell>
          <cell r="L24">
            <v>0.24</v>
          </cell>
          <cell r="M24">
            <v>5.6970241823119015E-2</v>
          </cell>
          <cell r="N24">
            <v>0.96035881094073205</v>
          </cell>
          <cell r="O24">
            <v>15</v>
          </cell>
        </row>
        <row r="25">
          <cell r="D25">
            <v>36678</v>
          </cell>
          <cell r="E25">
            <v>2.36</v>
          </cell>
          <cell r="F25">
            <v>2.5000000000000001E-2</v>
          </cell>
          <cell r="G25">
            <v>0</v>
          </cell>
          <cell r="H25">
            <v>0.5</v>
          </cell>
          <cell r="I25">
            <v>0.45</v>
          </cell>
          <cell r="J25">
            <v>0.11</v>
          </cell>
          <cell r="K25">
            <v>-2.5000000000000001E-3</v>
          </cell>
          <cell r="L25">
            <v>0.23499999999999999</v>
          </cell>
          <cell r="M25">
            <v>5.7246335907844018E-2</v>
          </cell>
          <cell r="N25">
            <v>0.95558454193560893</v>
          </cell>
          <cell r="O25">
            <v>16</v>
          </cell>
        </row>
        <row r="26">
          <cell r="D26">
            <v>36708</v>
          </cell>
          <cell r="E26">
            <v>2.36</v>
          </cell>
          <cell r="F26">
            <v>2.5000000000000001E-2</v>
          </cell>
          <cell r="G26">
            <v>0</v>
          </cell>
          <cell r="H26">
            <v>0.55000000000000004</v>
          </cell>
          <cell r="I26">
            <v>0.5</v>
          </cell>
          <cell r="J26">
            <v>0.11</v>
          </cell>
          <cell r="K26">
            <v>-2.5000000000000001E-3</v>
          </cell>
          <cell r="L26">
            <v>0.23250000000000001</v>
          </cell>
          <cell r="M26">
            <v>5.7562581580424016E-2</v>
          </cell>
          <cell r="N26">
            <v>0.95090542887175289</v>
          </cell>
          <cell r="O26">
            <v>17</v>
          </cell>
        </row>
        <row r="27">
          <cell r="D27">
            <v>36739</v>
          </cell>
          <cell r="E27">
            <v>2.3650000000000002</v>
          </cell>
          <cell r="F27">
            <v>2.5000000000000001E-2</v>
          </cell>
          <cell r="G27">
            <v>0</v>
          </cell>
          <cell r="H27">
            <v>0.6</v>
          </cell>
          <cell r="I27">
            <v>0.55000000000000004</v>
          </cell>
          <cell r="J27">
            <v>0.11</v>
          </cell>
          <cell r="K27">
            <v>-2.5000000000000001E-3</v>
          </cell>
          <cell r="L27">
            <v>0.23</v>
          </cell>
          <cell r="M27">
            <v>5.7881792573363011E-2</v>
          </cell>
          <cell r="N27">
            <v>0.94605103771078569</v>
          </cell>
          <cell r="O27">
            <v>18</v>
          </cell>
        </row>
        <row r="28">
          <cell r="D28">
            <v>36770</v>
          </cell>
          <cell r="E28">
            <v>2.3680000000000003</v>
          </cell>
          <cell r="F28">
            <v>2.75E-2</v>
          </cell>
          <cell r="G28">
            <v>0</v>
          </cell>
          <cell r="H28">
            <v>0.6</v>
          </cell>
          <cell r="I28">
            <v>0.55000000000000004</v>
          </cell>
          <cell r="J28">
            <v>0.1125</v>
          </cell>
          <cell r="K28">
            <v>-2.5000000000000001E-3</v>
          </cell>
          <cell r="L28">
            <v>0.23</v>
          </cell>
          <cell r="M28">
            <v>5.8201003600191994E-2</v>
          </cell>
          <cell r="N28">
            <v>0.94117190796977512</v>
          </cell>
          <cell r="O28">
            <v>19</v>
          </cell>
        </row>
        <row r="29">
          <cell r="D29">
            <v>36800</v>
          </cell>
          <cell r="E29">
            <v>2.4</v>
          </cell>
          <cell r="F29">
            <v>3.2500000000000001E-2</v>
          </cell>
          <cell r="G29">
            <v>0</v>
          </cell>
          <cell r="H29">
            <v>0.65</v>
          </cell>
          <cell r="I29">
            <v>0.6</v>
          </cell>
          <cell r="J29">
            <v>0.11749999999999999</v>
          </cell>
          <cell r="K29">
            <v>-2.5000000000000001E-3</v>
          </cell>
          <cell r="L29">
            <v>0.23250000000000001</v>
          </cell>
          <cell r="M29">
            <v>5.8509784168934022E-2</v>
          </cell>
          <cell r="N29">
            <v>0.93642736656378422</v>
          </cell>
          <cell r="O29">
            <v>20</v>
          </cell>
        </row>
        <row r="30">
          <cell r="D30">
            <v>36831</v>
          </cell>
          <cell r="E30">
            <v>2.5510000000000002</v>
          </cell>
          <cell r="F30">
            <v>0.13</v>
          </cell>
          <cell r="G30">
            <v>1.2500000000000001E-2</v>
          </cell>
          <cell r="H30">
            <v>0.8</v>
          </cell>
          <cell r="I30">
            <v>0.9</v>
          </cell>
          <cell r="J30">
            <v>0.22</v>
          </cell>
          <cell r="K30">
            <v>-5.0000000000000001E-3</v>
          </cell>
          <cell r="L30">
            <v>0.23499999999999999</v>
          </cell>
          <cell r="M30">
            <v>5.8828643125102005E-2</v>
          </cell>
          <cell r="N30">
            <v>0.93150185854684431</v>
          </cell>
          <cell r="O30">
            <v>21</v>
          </cell>
        </row>
        <row r="31">
          <cell r="D31">
            <v>36861</v>
          </cell>
          <cell r="E31">
            <v>2.6919999999999997</v>
          </cell>
          <cell r="F31">
            <v>0.15</v>
          </cell>
          <cell r="G31">
            <v>1.2500000000000001E-2</v>
          </cell>
          <cell r="H31">
            <v>1.1000000000000001</v>
          </cell>
          <cell r="I31">
            <v>1.1499999999999999</v>
          </cell>
          <cell r="J31">
            <v>0.24</v>
          </cell>
          <cell r="K31">
            <v>-5.0000000000000001E-3</v>
          </cell>
          <cell r="L31">
            <v>0.23749999999999999</v>
          </cell>
          <cell r="M31">
            <v>5.9137216340674009E-2</v>
          </cell>
          <cell r="N31">
            <v>0.92671356423286433</v>
          </cell>
          <cell r="O31">
            <v>22</v>
          </cell>
        </row>
        <row r="32">
          <cell r="D32">
            <v>36892</v>
          </cell>
          <cell r="E32">
            <v>2.7440000000000002</v>
          </cell>
          <cell r="F32">
            <v>0.16750000000000001</v>
          </cell>
          <cell r="G32">
            <v>1.2500000000000001E-2</v>
          </cell>
          <cell r="H32">
            <v>1.1000000000000001</v>
          </cell>
          <cell r="I32">
            <v>1.1499999999999999</v>
          </cell>
          <cell r="J32">
            <v>0.25750000000000001</v>
          </cell>
          <cell r="K32">
            <v>-5.0000000000000001E-3</v>
          </cell>
          <cell r="L32">
            <v>0.24249999999999999</v>
          </cell>
          <cell r="M32">
            <v>5.9468344709369014E-2</v>
          </cell>
          <cell r="N32">
            <v>0.92172862223832197</v>
          </cell>
          <cell r="O32">
            <v>23</v>
          </cell>
        </row>
        <row r="33">
          <cell r="D33">
            <v>36923</v>
          </cell>
          <cell r="E33">
            <v>2.6389999999999998</v>
          </cell>
          <cell r="F33">
            <v>0.16500000000000001</v>
          </cell>
          <cell r="G33">
            <v>1.2500000000000001E-2</v>
          </cell>
          <cell r="H33">
            <v>1.1000000000000001</v>
          </cell>
          <cell r="I33">
            <v>1.1499999999999999</v>
          </cell>
          <cell r="J33">
            <v>0.255</v>
          </cell>
          <cell r="K33">
            <v>-5.0000000000000001E-3</v>
          </cell>
          <cell r="L33">
            <v>0.23499999999999999</v>
          </cell>
          <cell r="M33">
            <v>5.9818899581279006E-2</v>
          </cell>
          <cell r="N33">
            <v>0.91669500363673995</v>
          </cell>
          <cell r="O33">
            <v>24</v>
          </cell>
        </row>
        <row r="34">
          <cell r="D34">
            <v>36951</v>
          </cell>
          <cell r="E34">
            <v>2.5209999999999999</v>
          </cell>
          <cell r="F34">
            <v>0.16250000000000001</v>
          </cell>
          <cell r="G34">
            <v>1.2500000000000001E-2</v>
          </cell>
          <cell r="H34">
            <v>0.75</v>
          </cell>
          <cell r="I34">
            <v>0.85</v>
          </cell>
          <cell r="J34">
            <v>0.2525</v>
          </cell>
          <cell r="K34">
            <v>-5.0000000000000001E-3</v>
          </cell>
          <cell r="L34">
            <v>0.2225</v>
          </cell>
          <cell r="M34">
            <v>6.0135529823264026E-2</v>
          </cell>
          <cell r="N34">
            <v>0.91212690927041362</v>
          </cell>
          <cell r="O34">
            <v>25</v>
          </cell>
        </row>
        <row r="35">
          <cell r="D35">
            <v>36982</v>
          </cell>
          <cell r="E35">
            <v>2.4</v>
          </cell>
          <cell r="F35">
            <v>0.03</v>
          </cell>
          <cell r="G35">
            <v>0</v>
          </cell>
          <cell r="H35">
            <v>0.45</v>
          </cell>
          <cell r="I35">
            <v>0.45</v>
          </cell>
          <cell r="J35">
            <v>0.115</v>
          </cell>
          <cell r="K35">
            <v>-7.4999999999999997E-3</v>
          </cell>
          <cell r="L35">
            <v>0.19</v>
          </cell>
          <cell r="M35">
            <v>6.0444066728566018E-2</v>
          </cell>
          <cell r="N35">
            <v>0.90710670738290478</v>
          </cell>
          <cell r="O35">
            <v>26</v>
          </cell>
        </row>
        <row r="36">
          <cell r="D36">
            <v>37012</v>
          </cell>
          <cell r="E36">
            <v>2.3720000000000003</v>
          </cell>
          <cell r="F36">
            <v>1.7500000000000002E-2</v>
          </cell>
          <cell r="G36">
            <v>0</v>
          </cell>
          <cell r="H36">
            <v>0.5</v>
          </cell>
          <cell r="I36">
            <v>0.45</v>
          </cell>
          <cell r="J36">
            <v>0.10249999999999999</v>
          </cell>
          <cell r="K36">
            <v>-7.4999999999999997E-3</v>
          </cell>
          <cell r="L36">
            <v>0.18</v>
          </cell>
          <cell r="M36">
            <v>6.0673134964344011E-2</v>
          </cell>
          <cell r="N36">
            <v>0.90233581480372549</v>
          </cell>
          <cell r="O36">
            <v>27</v>
          </cell>
        </row>
        <row r="37">
          <cell r="D37">
            <v>37043</v>
          </cell>
          <cell r="E37">
            <v>2.3690000000000002</v>
          </cell>
          <cell r="F37">
            <v>1.2500000000000001E-2</v>
          </cell>
          <cell r="G37">
            <v>0</v>
          </cell>
          <cell r="H37">
            <v>0.5</v>
          </cell>
          <cell r="I37">
            <v>0.45</v>
          </cell>
          <cell r="J37">
            <v>9.7500000000000003E-2</v>
          </cell>
          <cell r="K37">
            <v>-7.4999999999999997E-3</v>
          </cell>
          <cell r="L37">
            <v>0.18</v>
          </cell>
          <cell r="M37">
            <v>6.090983882629001E-2</v>
          </cell>
          <cell r="N37">
            <v>0.89739786015153111</v>
          </cell>
          <cell r="O37">
            <v>28</v>
          </cell>
        </row>
        <row r="38">
          <cell r="D38">
            <v>37073</v>
          </cell>
          <cell r="E38">
            <v>2.3740000000000001</v>
          </cell>
          <cell r="F38">
            <v>5.0000000000000001E-3</v>
          </cell>
          <cell r="G38">
            <v>0</v>
          </cell>
          <cell r="H38">
            <v>0.55000000000000004</v>
          </cell>
          <cell r="I38">
            <v>0.5</v>
          </cell>
          <cell r="J38">
            <v>0.09</v>
          </cell>
          <cell r="K38">
            <v>-7.4999999999999997E-3</v>
          </cell>
          <cell r="L38">
            <v>0.18</v>
          </cell>
          <cell r="M38">
            <v>6.1132691563340009E-2</v>
          </cell>
          <cell r="N38">
            <v>0.89262198114368607</v>
          </cell>
          <cell r="O38">
            <v>29</v>
          </cell>
        </row>
        <row r="39">
          <cell r="D39">
            <v>37104</v>
          </cell>
          <cell r="E39">
            <v>2.3820000000000001</v>
          </cell>
          <cell r="F39">
            <v>2.5000000000000001E-3</v>
          </cell>
          <cell r="G39">
            <v>0</v>
          </cell>
          <cell r="H39">
            <v>0.6</v>
          </cell>
          <cell r="I39">
            <v>0.55000000000000004</v>
          </cell>
          <cell r="J39">
            <v>8.7499999999999994E-2</v>
          </cell>
          <cell r="K39">
            <v>-7.4999999999999997E-3</v>
          </cell>
          <cell r="L39">
            <v>0.18</v>
          </cell>
          <cell r="M39">
            <v>6.1351171446778006E-2</v>
          </cell>
          <cell r="N39">
            <v>0.88770055615983667</v>
          </cell>
          <cell r="O39">
            <v>30</v>
          </cell>
        </row>
        <row r="40">
          <cell r="D40">
            <v>37135</v>
          </cell>
          <cell r="E40">
            <v>2.3930000000000002</v>
          </cell>
          <cell r="F40">
            <v>2.5000000000000001E-3</v>
          </cell>
          <cell r="G40">
            <v>0</v>
          </cell>
          <cell r="H40">
            <v>0.6</v>
          </cell>
          <cell r="I40">
            <v>0.55000000000000004</v>
          </cell>
          <cell r="J40">
            <v>8.7499999999999994E-2</v>
          </cell>
          <cell r="K40">
            <v>-7.4999999999999997E-3</v>
          </cell>
          <cell r="L40">
            <v>0.18050000000000002</v>
          </cell>
          <cell r="M40">
            <v>6.1569651346067004E-2</v>
          </cell>
          <cell r="N40">
            <v>0.88277453929055938</v>
          </cell>
          <cell r="O40">
            <v>31</v>
          </cell>
        </row>
        <row r="41">
          <cell r="D41">
            <v>37165</v>
          </cell>
          <cell r="E41">
            <v>2.4249999999999998</v>
          </cell>
          <cell r="F41">
            <v>1.7500000000000002E-2</v>
          </cell>
          <cell r="G41">
            <v>0</v>
          </cell>
          <cell r="H41">
            <v>0.65</v>
          </cell>
          <cell r="I41">
            <v>0.6</v>
          </cell>
          <cell r="J41">
            <v>0.10249999999999999</v>
          </cell>
          <cell r="K41">
            <v>-7.4999999999999997E-3</v>
          </cell>
          <cell r="L41">
            <v>0.18350000000000002</v>
          </cell>
          <cell r="M41">
            <v>6.1767616205277015E-2</v>
          </cell>
          <cell r="N41">
            <v>0.87802794175240384</v>
          </cell>
          <cell r="O41">
            <v>32</v>
          </cell>
        </row>
        <row r="42">
          <cell r="D42">
            <v>37196</v>
          </cell>
          <cell r="E42">
            <v>2.556</v>
          </cell>
          <cell r="F42">
            <v>0.12</v>
          </cell>
          <cell r="G42">
            <v>1.2500000000000001E-2</v>
          </cell>
          <cell r="H42">
            <v>0.8</v>
          </cell>
          <cell r="I42">
            <v>0.9</v>
          </cell>
          <cell r="J42">
            <v>0.20499999999999999</v>
          </cell>
          <cell r="K42">
            <v>-5.0000000000000001E-3</v>
          </cell>
          <cell r="L42">
            <v>0.18650000000000003</v>
          </cell>
          <cell r="M42">
            <v>6.1949973951047996E-2</v>
          </cell>
          <cell r="N42">
            <v>0.87316284405900813</v>
          </cell>
          <cell r="O42">
            <v>33</v>
          </cell>
        </row>
        <row r="43">
          <cell r="D43">
            <v>37226</v>
          </cell>
          <cell r="E43">
            <v>2.6930000000000001</v>
          </cell>
          <cell r="F43">
            <v>0.16</v>
          </cell>
          <cell r="G43">
            <v>1.2500000000000001E-2</v>
          </cell>
          <cell r="H43">
            <v>1.1000000000000001</v>
          </cell>
          <cell r="I43">
            <v>1.1499999999999999</v>
          </cell>
          <cell r="J43">
            <v>0.245</v>
          </cell>
          <cell r="K43">
            <v>-5.0000000000000001E-3</v>
          </cell>
          <cell r="L43">
            <v>0.1895</v>
          </cell>
          <cell r="M43">
            <v>6.2126449199399011E-2</v>
          </cell>
          <cell r="N43">
            <v>0.86845555480392012</v>
          </cell>
          <cell r="O43">
            <v>34</v>
          </cell>
        </row>
        <row r="44">
          <cell r="D44">
            <v>37257</v>
          </cell>
          <cell r="E44">
            <v>2.738</v>
          </cell>
          <cell r="F44">
            <v>0.17249999999999999</v>
          </cell>
          <cell r="G44">
            <v>1.2500000000000001E-2</v>
          </cell>
          <cell r="H44">
            <v>1.1000000000000001</v>
          </cell>
          <cell r="I44">
            <v>1.1499999999999999</v>
          </cell>
          <cell r="J44">
            <v>0.25750000000000001</v>
          </cell>
          <cell r="K44">
            <v>-5.0000000000000001E-3</v>
          </cell>
          <cell r="L44">
            <v>0.19450000000000001</v>
          </cell>
          <cell r="M44">
            <v>6.2307101127438001E-2</v>
          </cell>
          <cell r="N44">
            <v>0.86359595093288588</v>
          </cell>
          <cell r="O44">
            <v>35</v>
          </cell>
        </row>
        <row r="45">
          <cell r="D45">
            <v>37288</v>
          </cell>
          <cell r="E45">
            <v>2.6460000000000004</v>
          </cell>
          <cell r="F45">
            <v>0.15</v>
          </cell>
          <cell r="G45">
            <v>1.2500000000000001E-2</v>
          </cell>
          <cell r="H45">
            <v>1.1000000000000001</v>
          </cell>
          <cell r="I45">
            <v>1.1499999999999999</v>
          </cell>
          <cell r="J45">
            <v>0.23499999999999999</v>
          </cell>
          <cell r="K45">
            <v>-5.0000000000000001E-3</v>
          </cell>
          <cell r="L45">
            <v>0.192</v>
          </cell>
          <cell r="M45">
            <v>6.248539113462101E-2</v>
          </cell>
          <cell r="N45">
            <v>0.85874290124632802</v>
          </cell>
          <cell r="O45">
            <v>36</v>
          </cell>
        </row>
        <row r="46">
          <cell r="D46">
            <v>37316</v>
          </cell>
          <cell r="E46">
            <v>2.5409999999999999</v>
          </cell>
          <cell r="F46">
            <v>0.14749999999999999</v>
          </cell>
          <cell r="G46">
            <v>1.2500000000000001E-2</v>
          </cell>
          <cell r="H46">
            <v>0.75</v>
          </cell>
          <cell r="I46">
            <v>0.85</v>
          </cell>
          <cell r="J46">
            <v>0.23250000000000001</v>
          </cell>
          <cell r="K46">
            <v>-5.0000000000000001E-3</v>
          </cell>
          <cell r="L46">
            <v>0.182</v>
          </cell>
          <cell r="M46">
            <v>6.2646427279208008E-2</v>
          </cell>
          <cell r="N46">
            <v>0.85436142261296866</v>
          </cell>
          <cell r="O46">
            <v>37</v>
          </cell>
        </row>
        <row r="47">
          <cell r="D47">
            <v>37347</v>
          </cell>
          <cell r="E47">
            <v>2.4370000000000003</v>
          </cell>
          <cell r="F47">
            <v>2.75E-2</v>
          </cell>
          <cell r="G47">
            <v>0</v>
          </cell>
          <cell r="H47">
            <v>0.45</v>
          </cell>
          <cell r="I47">
            <v>0.45</v>
          </cell>
          <cell r="J47">
            <v>0.1125</v>
          </cell>
          <cell r="K47">
            <v>-7.4999999999999997E-3</v>
          </cell>
          <cell r="L47">
            <v>0.16949999999999998</v>
          </cell>
          <cell r="M47">
            <v>6.2809456424355009E-2</v>
          </cell>
          <cell r="N47">
            <v>0.84954602008859581</v>
          </cell>
          <cell r="O47">
            <v>38</v>
          </cell>
        </row>
        <row r="48">
          <cell r="D48">
            <v>37377</v>
          </cell>
          <cell r="E48">
            <v>2.411</v>
          </cell>
          <cell r="F48">
            <v>1.7500000000000002E-2</v>
          </cell>
          <cell r="G48">
            <v>0</v>
          </cell>
          <cell r="H48">
            <v>0.5</v>
          </cell>
          <cell r="I48">
            <v>0.45</v>
          </cell>
          <cell r="J48">
            <v>0.10249999999999999</v>
          </cell>
          <cell r="K48">
            <v>-7.4999999999999997E-3</v>
          </cell>
          <cell r="L48">
            <v>0.16750000000000001</v>
          </cell>
          <cell r="M48">
            <v>6.2944441873934998E-2</v>
          </cell>
          <cell r="N48">
            <v>0.84494097901611598</v>
          </cell>
          <cell r="O48">
            <v>39</v>
          </cell>
        </row>
        <row r="49">
          <cell r="D49">
            <v>37408</v>
          </cell>
          <cell r="E49">
            <v>2.4140000000000001</v>
          </cell>
          <cell r="F49">
            <v>1.2500000000000001E-2</v>
          </cell>
          <cell r="G49">
            <v>0</v>
          </cell>
          <cell r="H49">
            <v>0.5</v>
          </cell>
          <cell r="I49">
            <v>0.45</v>
          </cell>
          <cell r="J49">
            <v>9.7500000000000003E-2</v>
          </cell>
          <cell r="K49">
            <v>-7.4999999999999997E-3</v>
          </cell>
          <cell r="L49">
            <v>0.16649999999999998</v>
          </cell>
          <cell r="M49">
            <v>6.308392684485202E-2</v>
          </cell>
          <cell r="N49">
            <v>0.8401897041255042</v>
          </cell>
          <cell r="O49">
            <v>40</v>
          </cell>
        </row>
        <row r="50">
          <cell r="D50">
            <v>37438</v>
          </cell>
          <cell r="E50">
            <v>2.4152</v>
          </cell>
          <cell r="F50">
            <v>2.5000000000000001E-3</v>
          </cell>
          <cell r="G50">
            <v>0</v>
          </cell>
          <cell r="H50">
            <v>0.55000000000000004</v>
          </cell>
          <cell r="I50">
            <v>0.5</v>
          </cell>
          <cell r="J50">
            <v>8.7499999999999994E-2</v>
          </cell>
          <cell r="K50">
            <v>-7.4999999999999997E-3</v>
          </cell>
          <cell r="L50">
            <v>0.16550000000000001</v>
          </cell>
          <cell r="M50">
            <v>6.3214809947765002E-2</v>
          </cell>
          <cell r="N50">
            <v>0.83560848374421159</v>
          </cell>
          <cell r="O50">
            <v>41</v>
          </cell>
        </row>
        <row r="51">
          <cell r="D51">
            <v>37469</v>
          </cell>
          <cell r="E51">
            <v>2.4120000000000004</v>
          </cell>
          <cell r="F51">
            <v>4.3368086899400008E-19</v>
          </cell>
          <cell r="G51">
            <v>0</v>
          </cell>
          <cell r="H51">
            <v>0.6</v>
          </cell>
          <cell r="I51">
            <v>0.55000000000000004</v>
          </cell>
          <cell r="J51">
            <v>8.5000000000000006E-2</v>
          </cell>
          <cell r="K51">
            <v>-7.4999999999999997E-3</v>
          </cell>
          <cell r="L51">
            <v>0.16450000000000001</v>
          </cell>
          <cell r="M51">
            <v>6.3343280898000009E-2</v>
          </cell>
          <cell r="N51">
            <v>0.83089883319780922</v>
          </cell>
          <cell r="O51">
            <v>42</v>
          </cell>
        </row>
        <row r="52">
          <cell r="D52">
            <v>37500</v>
          </cell>
          <cell r="E52">
            <v>2.423</v>
          </cell>
          <cell r="F52">
            <v>-2.5000000000000001E-3</v>
          </cell>
          <cell r="G52">
            <v>0</v>
          </cell>
          <cell r="H52">
            <v>0.6</v>
          </cell>
          <cell r="I52">
            <v>0.55000000000000004</v>
          </cell>
          <cell r="J52">
            <v>8.2500000000000004E-2</v>
          </cell>
          <cell r="K52">
            <v>-7.4999999999999997E-3</v>
          </cell>
          <cell r="L52">
            <v>0.16350000000000001</v>
          </cell>
          <cell r="M52">
            <v>6.3471751853706029E-2</v>
          </cell>
          <cell r="N52">
            <v>0.82619828176156795</v>
          </cell>
          <cell r="O52">
            <v>43</v>
          </cell>
        </row>
        <row r="53">
          <cell r="D53">
            <v>37530</v>
          </cell>
          <cell r="E53">
            <v>2.4550000000000001</v>
          </cell>
          <cell r="F53">
            <v>1.2500000000000001E-2</v>
          </cell>
          <cell r="G53">
            <v>0</v>
          </cell>
          <cell r="H53">
            <v>0.65</v>
          </cell>
          <cell r="I53">
            <v>0.6</v>
          </cell>
          <cell r="J53">
            <v>9.7500000000000003E-2</v>
          </cell>
          <cell r="K53">
            <v>-7.4999999999999997E-3</v>
          </cell>
          <cell r="L53">
            <v>0.16250000000000001</v>
          </cell>
          <cell r="M53">
            <v>6.359165657470002E-2</v>
          </cell>
          <cell r="N53">
            <v>0.82166921285705918</v>
          </cell>
          <cell r="O53">
            <v>44</v>
          </cell>
        </row>
        <row r="54">
          <cell r="D54">
            <v>37561</v>
          </cell>
          <cell r="E54">
            <v>2.5860000000000003</v>
          </cell>
          <cell r="F54">
            <v>0.11</v>
          </cell>
          <cell r="G54">
            <v>1.2500000000000001E-2</v>
          </cell>
          <cell r="H54">
            <v>0.8</v>
          </cell>
          <cell r="I54">
            <v>0.9</v>
          </cell>
          <cell r="J54">
            <v>0.19500000000000001</v>
          </cell>
          <cell r="K54">
            <v>-5.0000000000000001E-3</v>
          </cell>
          <cell r="L54">
            <v>0.16250000000000001</v>
          </cell>
          <cell r="M54">
            <v>6.3709195391223009E-2</v>
          </cell>
          <cell r="N54">
            <v>0.81701512362792617</v>
          </cell>
          <cell r="O54">
            <v>45</v>
          </cell>
        </row>
        <row r="55">
          <cell r="D55">
            <v>37591</v>
          </cell>
          <cell r="E55">
            <v>2.7230000000000003</v>
          </cell>
          <cell r="F55">
            <v>0.15</v>
          </cell>
          <cell r="G55">
            <v>1.2500000000000001E-2</v>
          </cell>
          <cell r="H55">
            <v>1.1000000000000001</v>
          </cell>
          <cell r="I55">
            <v>1.1499999999999999</v>
          </cell>
          <cell r="J55">
            <v>0.23499999999999999</v>
          </cell>
          <cell r="K55">
            <v>-5.0000000000000001E-3</v>
          </cell>
          <cell r="L55">
            <v>0.16350000000000001</v>
          </cell>
          <cell r="M55">
            <v>6.3822942637382016E-2</v>
          </cell>
          <cell r="N55">
            <v>0.81252132484281914</v>
          </cell>
          <cell r="O55">
            <v>46</v>
          </cell>
        </row>
        <row r="56">
          <cell r="D56">
            <v>37622</v>
          </cell>
          <cell r="E56">
            <v>2.7755000000000001</v>
          </cell>
          <cell r="F56">
            <v>0.16250000000000001</v>
          </cell>
          <cell r="G56">
            <v>1.2500000000000001E-2</v>
          </cell>
          <cell r="H56">
            <v>1.1000000000000001</v>
          </cell>
          <cell r="I56">
            <v>1.1499999999999999</v>
          </cell>
          <cell r="J56">
            <v>0.2475</v>
          </cell>
          <cell r="K56">
            <v>-5.0000000000000001E-3</v>
          </cell>
          <cell r="L56">
            <v>0.16350000000000001</v>
          </cell>
          <cell r="M56">
            <v>6.3943111440507003E-2</v>
          </cell>
          <cell r="N56">
            <v>0.8078813677557275</v>
          </cell>
          <cell r="O56">
            <v>47</v>
          </cell>
        </row>
        <row r="57">
          <cell r="D57">
            <v>37653</v>
          </cell>
          <cell r="E57">
            <v>2.6835000000000004</v>
          </cell>
          <cell r="F57">
            <v>0.14000000000000001</v>
          </cell>
          <cell r="G57">
            <v>1.2500000000000001E-2</v>
          </cell>
          <cell r="H57">
            <v>1.1000000000000001</v>
          </cell>
          <cell r="I57">
            <v>1.1499999999999999</v>
          </cell>
          <cell r="J57">
            <v>0.22500000000000001</v>
          </cell>
          <cell r="K57">
            <v>-5.0000000000000001E-3</v>
          </cell>
          <cell r="L57">
            <v>0.16149999999999998</v>
          </cell>
          <cell r="M57">
            <v>6.4066473792759995E-2</v>
          </cell>
          <cell r="N57">
            <v>0.80324341265829402</v>
          </cell>
          <cell r="O57">
            <v>48</v>
          </cell>
        </row>
        <row r="58">
          <cell r="D58">
            <v>37681</v>
          </cell>
          <cell r="E58">
            <v>2.5785000000000005</v>
          </cell>
          <cell r="F58">
            <v>0.13750000000000001</v>
          </cell>
          <cell r="G58">
            <v>1.2500000000000001E-2</v>
          </cell>
          <cell r="H58">
            <v>0.75</v>
          </cell>
          <cell r="I58">
            <v>0.85</v>
          </cell>
          <cell r="J58">
            <v>0.2225</v>
          </cell>
          <cell r="K58">
            <v>-5.0000000000000001E-3</v>
          </cell>
          <cell r="L58">
            <v>0.157</v>
          </cell>
          <cell r="M58">
            <v>6.4177897857198005E-2</v>
          </cell>
          <cell r="N58">
            <v>0.79906326295311914</v>
          </cell>
          <cell r="O58">
            <v>49</v>
          </cell>
        </row>
        <row r="59">
          <cell r="D59">
            <v>37712</v>
          </cell>
          <cell r="E59">
            <v>2.4745000000000004</v>
          </cell>
          <cell r="F59">
            <v>2.2499999999999999E-2</v>
          </cell>
          <cell r="G59">
            <v>0</v>
          </cell>
          <cell r="H59">
            <v>0.45</v>
          </cell>
          <cell r="I59">
            <v>0.45</v>
          </cell>
          <cell r="J59">
            <v>0.1075</v>
          </cell>
          <cell r="K59">
            <v>-7.4999999999999997E-3</v>
          </cell>
          <cell r="L59">
            <v>0.155</v>
          </cell>
          <cell r="M59">
            <v>6.4293095597506997E-2</v>
          </cell>
          <cell r="N59">
            <v>0.79446813974345976</v>
          </cell>
          <cell r="O59">
            <v>50</v>
          </cell>
        </row>
        <row r="60">
          <cell r="D60">
            <v>37742</v>
          </cell>
          <cell r="E60">
            <v>2.4485000000000001</v>
          </cell>
          <cell r="F60">
            <v>1.2500000000000001E-2</v>
          </cell>
          <cell r="G60">
            <v>0</v>
          </cell>
          <cell r="H60">
            <v>0.5</v>
          </cell>
          <cell r="I60">
            <v>0.45</v>
          </cell>
          <cell r="J60">
            <v>9.7500000000000003E-2</v>
          </cell>
          <cell r="K60">
            <v>-7.4999999999999997E-3</v>
          </cell>
          <cell r="L60">
            <v>0.15450000000000003</v>
          </cell>
          <cell r="M60">
            <v>6.4393537769445008E-2</v>
          </cell>
          <cell r="N60">
            <v>0.79006358961663736</v>
          </cell>
          <cell r="O60">
            <v>51</v>
          </cell>
        </row>
        <row r="61">
          <cell r="D61">
            <v>37773</v>
          </cell>
          <cell r="E61">
            <v>2.4515000000000002</v>
          </cell>
          <cell r="F61">
            <v>7.4999999999999997E-3</v>
          </cell>
          <cell r="G61">
            <v>0</v>
          </cell>
          <cell r="H61">
            <v>0.5</v>
          </cell>
          <cell r="I61">
            <v>0.45</v>
          </cell>
          <cell r="J61">
            <v>9.2499999999999999E-2</v>
          </cell>
          <cell r="K61">
            <v>-7.4999999999999997E-3</v>
          </cell>
          <cell r="L61">
            <v>0.154</v>
          </cell>
          <cell r="M61">
            <v>6.4497328017295005E-2</v>
          </cell>
          <cell r="N61">
            <v>0.7855246959499147</v>
          </cell>
          <cell r="O61">
            <v>52</v>
          </cell>
        </row>
        <row r="62">
          <cell r="D62">
            <v>37803</v>
          </cell>
          <cell r="E62">
            <v>2.4527999999999999</v>
          </cell>
          <cell r="F62">
            <v>-2.5000000000000001E-3</v>
          </cell>
          <cell r="G62">
            <v>0</v>
          </cell>
          <cell r="H62">
            <v>0.55000000000000004</v>
          </cell>
          <cell r="I62">
            <v>0.5</v>
          </cell>
          <cell r="J62">
            <v>8.2500000000000004E-2</v>
          </cell>
          <cell r="K62">
            <v>-7.4999999999999997E-3</v>
          </cell>
          <cell r="L62">
            <v>0.1535</v>
          </cell>
          <cell r="M62">
            <v>6.4596122235005021E-2</v>
          </cell>
          <cell r="N62">
            <v>0.78114921214412159</v>
          </cell>
          <cell r="O62">
            <v>53</v>
          </cell>
        </row>
        <row r="63">
          <cell r="D63">
            <v>37834</v>
          </cell>
          <cell r="E63">
            <v>2.4495</v>
          </cell>
          <cell r="F63">
            <v>-5.0000000000000001E-3</v>
          </cell>
          <cell r="G63">
            <v>0</v>
          </cell>
          <cell r="H63">
            <v>0.6</v>
          </cell>
          <cell r="I63">
            <v>0.55000000000000004</v>
          </cell>
          <cell r="J63">
            <v>0.08</v>
          </cell>
          <cell r="K63">
            <v>-7.4999999999999997E-3</v>
          </cell>
          <cell r="L63">
            <v>0.153</v>
          </cell>
          <cell r="M63">
            <v>6.4695836056657005E-2</v>
          </cell>
          <cell r="N63">
            <v>0.77664775762286253</v>
          </cell>
          <cell r="O63">
            <v>54</v>
          </cell>
        </row>
        <row r="64">
          <cell r="D64">
            <v>37865</v>
          </cell>
          <cell r="E64">
            <v>2.4605000000000001</v>
          </cell>
          <cell r="F64">
            <v>-7.4999999999999997E-3</v>
          </cell>
          <cell r="G64">
            <v>0</v>
          </cell>
          <cell r="H64">
            <v>0.6</v>
          </cell>
          <cell r="I64">
            <v>0.55000000000000004</v>
          </cell>
          <cell r="J64">
            <v>7.7499999999999999E-2</v>
          </cell>
          <cell r="K64">
            <v>-7.4999999999999997E-3</v>
          </cell>
          <cell r="L64">
            <v>0.1525</v>
          </cell>
          <cell r="M64">
            <v>6.4795549881606018E-2</v>
          </cell>
          <cell r="N64">
            <v>0.77215959727282868</v>
          </cell>
          <cell r="O64">
            <v>55</v>
          </cell>
        </row>
        <row r="65">
          <cell r="D65">
            <v>37895</v>
          </cell>
          <cell r="E65">
            <v>2.4925000000000002</v>
          </cell>
          <cell r="F65">
            <v>7.4999999999999997E-3</v>
          </cell>
          <cell r="G65">
            <v>0</v>
          </cell>
          <cell r="H65">
            <v>0.65</v>
          </cell>
          <cell r="I65">
            <v>0.6</v>
          </cell>
          <cell r="J65">
            <v>9.2499999999999999E-2</v>
          </cell>
          <cell r="K65">
            <v>-7.4999999999999997E-3</v>
          </cell>
          <cell r="L65">
            <v>0.1525</v>
          </cell>
          <cell r="M65">
            <v>6.4875034808770021E-2</v>
          </cell>
          <cell r="N65">
            <v>0.76788128283906798</v>
          </cell>
          <cell r="O65">
            <v>56</v>
          </cell>
        </row>
        <row r="66">
          <cell r="D66">
            <v>37926</v>
          </cell>
          <cell r="E66">
            <v>2.6235000000000004</v>
          </cell>
          <cell r="F66">
            <v>0.1</v>
          </cell>
          <cell r="G66">
            <v>1.2500000000000001E-2</v>
          </cell>
          <cell r="H66">
            <v>0.8</v>
          </cell>
          <cell r="I66">
            <v>0.9</v>
          </cell>
          <cell r="J66">
            <v>0.17499999999999999</v>
          </cell>
          <cell r="K66">
            <v>-5.0000000000000001E-3</v>
          </cell>
          <cell r="L66">
            <v>0.1525</v>
          </cell>
          <cell r="M66">
            <v>6.4934180784560008E-2</v>
          </cell>
          <cell r="N66">
            <v>0.76354689539165599</v>
          </cell>
          <cell r="O66">
            <v>57</v>
          </cell>
        </row>
        <row r="67">
          <cell r="D67">
            <v>37956</v>
          </cell>
          <cell r="E67">
            <v>2.7605</v>
          </cell>
          <cell r="F67">
            <v>0.14000000000000001</v>
          </cell>
          <cell r="G67">
            <v>1.2500000000000001E-2</v>
          </cell>
          <cell r="H67">
            <v>1.1000000000000001</v>
          </cell>
          <cell r="I67">
            <v>1.1499999999999999</v>
          </cell>
          <cell r="J67">
            <v>0.215</v>
          </cell>
          <cell r="K67">
            <v>-5.0000000000000001E-3</v>
          </cell>
          <cell r="L67">
            <v>0.1535</v>
          </cell>
          <cell r="M67">
            <v>6.4991418826752009E-2</v>
          </cell>
          <cell r="N67">
            <v>0.75936859734872098</v>
          </cell>
          <cell r="O67">
            <v>58</v>
          </cell>
        </row>
        <row r="68">
          <cell r="D68">
            <v>37987</v>
          </cell>
          <cell r="E68">
            <v>2.8205</v>
          </cell>
          <cell r="F68">
            <v>0.17249999999999999</v>
          </cell>
          <cell r="G68">
            <v>1.2500000000000001E-2</v>
          </cell>
          <cell r="H68">
            <v>1.1000000000000001</v>
          </cell>
          <cell r="I68">
            <v>1.1499999999999999</v>
          </cell>
          <cell r="J68">
            <v>0.2475</v>
          </cell>
          <cell r="K68">
            <v>-5.0000000000000001E-3</v>
          </cell>
          <cell r="L68">
            <v>0.16</v>
          </cell>
          <cell r="M68">
            <v>6.5050564804825017E-2</v>
          </cell>
          <cell r="N68">
            <v>0.75506782321139221</v>
          </cell>
          <cell r="O68">
            <v>59</v>
          </cell>
        </row>
        <row r="69">
          <cell r="D69">
            <v>38018</v>
          </cell>
          <cell r="E69">
            <v>2.7285000000000004</v>
          </cell>
          <cell r="F69">
            <v>0.15</v>
          </cell>
          <cell r="G69">
            <v>1.2500000000000001E-2</v>
          </cell>
          <cell r="H69">
            <v>1.1000000000000001</v>
          </cell>
          <cell r="I69">
            <v>1.1499999999999999</v>
          </cell>
          <cell r="J69">
            <v>0.22500000000000001</v>
          </cell>
          <cell r="K69">
            <v>-5.0000000000000001E-3</v>
          </cell>
          <cell r="L69">
            <v>0.16</v>
          </cell>
          <cell r="M69">
            <v>6.5109710784056016E-2</v>
          </cell>
          <cell r="N69">
            <v>0.75078411207945506</v>
          </cell>
          <cell r="O69">
            <v>60</v>
          </cell>
        </row>
        <row r="70">
          <cell r="D70">
            <v>38047</v>
          </cell>
          <cell r="E70">
            <v>2.6235000000000004</v>
          </cell>
          <cell r="F70">
            <v>0.14749999999999999</v>
          </cell>
          <cell r="G70">
            <v>1.2500000000000001E-2</v>
          </cell>
          <cell r="H70">
            <v>0.75</v>
          </cell>
          <cell r="I70">
            <v>0.85</v>
          </cell>
          <cell r="J70">
            <v>0.2225</v>
          </cell>
          <cell r="K70">
            <v>-5.0000000000000001E-3</v>
          </cell>
          <cell r="L70">
            <v>0.16</v>
          </cell>
          <cell r="M70">
            <v>6.5165040894709994E-2</v>
          </cell>
          <cell r="N70">
            <v>0.74679220472672914</v>
          </cell>
          <cell r="O70">
            <v>61</v>
          </cell>
        </row>
        <row r="71">
          <cell r="D71">
            <v>38078</v>
          </cell>
          <cell r="E71">
            <v>2.5195000000000003</v>
          </cell>
          <cell r="F71">
            <v>3.2500000000000001E-2</v>
          </cell>
          <cell r="G71">
            <v>0</v>
          </cell>
          <cell r="H71">
            <v>0.45</v>
          </cell>
          <cell r="I71">
            <v>0.45</v>
          </cell>
          <cell r="J71">
            <v>0.1075</v>
          </cell>
          <cell r="K71">
            <v>-7.4999999999999997E-3</v>
          </cell>
          <cell r="L71">
            <v>0.16</v>
          </cell>
          <cell r="M71">
            <v>6.5224186876186002E-2</v>
          </cell>
          <cell r="N71">
            <v>0.74254148008508825</v>
          </cell>
          <cell r="O71">
            <v>62</v>
          </cell>
        </row>
        <row r="72">
          <cell r="D72">
            <v>38108</v>
          </cell>
          <cell r="E72">
            <v>2.4935</v>
          </cell>
          <cell r="F72">
            <v>2.2499999999999999E-2</v>
          </cell>
          <cell r="G72">
            <v>0</v>
          </cell>
          <cell r="H72">
            <v>0.5</v>
          </cell>
          <cell r="I72">
            <v>0.45</v>
          </cell>
          <cell r="J72">
            <v>9.7500000000000003E-2</v>
          </cell>
          <cell r="K72">
            <v>-7.4999999999999997E-3</v>
          </cell>
          <cell r="L72">
            <v>0.16</v>
          </cell>
          <cell r="M72">
            <v>6.5281424923879006E-2</v>
          </cell>
          <cell r="N72">
            <v>0.73844408316374388</v>
          </cell>
          <cell r="O72">
            <v>63</v>
          </cell>
        </row>
        <row r="73">
          <cell r="D73">
            <v>38139</v>
          </cell>
          <cell r="E73">
            <v>2.4965000000000002</v>
          </cell>
          <cell r="F73">
            <v>1.7500000000000002E-2</v>
          </cell>
          <cell r="G73">
            <v>0</v>
          </cell>
          <cell r="H73">
            <v>0.5</v>
          </cell>
          <cell r="I73">
            <v>0.45</v>
          </cell>
          <cell r="J73">
            <v>9.2499999999999999E-2</v>
          </cell>
          <cell r="K73">
            <v>-7.4999999999999997E-3</v>
          </cell>
          <cell r="L73">
            <v>0.16</v>
          </cell>
          <cell r="M73">
            <v>6.5340570907636022E-2</v>
          </cell>
          <cell r="N73">
            <v>0.73422683984643911</v>
          </cell>
          <cell r="O73">
            <v>64</v>
          </cell>
        </row>
        <row r="74">
          <cell r="D74">
            <v>38169</v>
          </cell>
          <cell r="E74">
            <v>2.4977</v>
          </cell>
          <cell r="F74">
            <v>7.4999999999999997E-3</v>
          </cell>
          <cell r="G74">
            <v>0</v>
          </cell>
          <cell r="H74">
            <v>0.55000000000000004</v>
          </cell>
          <cell r="I74">
            <v>0.5</v>
          </cell>
          <cell r="J74">
            <v>8.2500000000000004E-2</v>
          </cell>
          <cell r="K74">
            <v>-7.4999999999999997E-3</v>
          </cell>
          <cell r="L74">
            <v>0.16</v>
          </cell>
          <cell r="M74">
            <v>6.539780895753701E-2</v>
          </cell>
          <cell r="N74">
            <v>0.73016181625736198</v>
          </cell>
          <cell r="O74">
            <v>65</v>
          </cell>
        </row>
        <row r="75">
          <cell r="D75">
            <v>38200</v>
          </cell>
          <cell r="E75">
            <v>2.4945000000000004</v>
          </cell>
          <cell r="F75">
            <v>5.0000000000000001E-3</v>
          </cell>
          <cell r="G75">
            <v>0</v>
          </cell>
          <cell r="H75">
            <v>0.6</v>
          </cell>
          <cell r="I75">
            <v>0.55000000000000004</v>
          </cell>
          <cell r="J75">
            <v>0.08</v>
          </cell>
          <cell r="K75">
            <v>-7.4999999999999997E-3</v>
          </cell>
          <cell r="L75">
            <v>0.16</v>
          </cell>
          <cell r="M75">
            <v>6.5457194426251017E-2</v>
          </cell>
          <cell r="N75">
            <v>0.7259771586874959</v>
          </cell>
          <cell r="O75">
            <v>66</v>
          </cell>
        </row>
        <row r="76">
          <cell r="D76">
            <v>38231</v>
          </cell>
          <cell r="E76">
            <v>2.5055000000000001</v>
          </cell>
          <cell r="F76">
            <v>2.5000000000000001E-3</v>
          </cell>
          <cell r="G76">
            <v>0</v>
          </cell>
          <cell r="H76">
            <v>0.6</v>
          </cell>
          <cell r="I76">
            <v>0.55000000000000004</v>
          </cell>
          <cell r="J76">
            <v>7.7499999999999999E-2</v>
          </cell>
          <cell r="K76">
            <v>-7.4999999999999997E-3</v>
          </cell>
          <cell r="L76">
            <v>0.16</v>
          </cell>
          <cell r="M76">
            <v>6.552005239498801E-2</v>
          </cell>
          <cell r="N76">
            <v>0.72179717160200174</v>
          </cell>
          <cell r="O76">
            <v>67</v>
          </cell>
        </row>
        <row r="77">
          <cell r="D77">
            <v>38261</v>
          </cell>
          <cell r="E77">
            <v>2.5375000000000001</v>
          </cell>
          <cell r="F77">
            <v>1.7500000000000002E-2</v>
          </cell>
          <cell r="G77">
            <v>0</v>
          </cell>
          <cell r="H77">
            <v>0.65</v>
          </cell>
          <cell r="I77">
            <v>0.6</v>
          </cell>
          <cell r="J77">
            <v>9.2499999999999999E-2</v>
          </cell>
          <cell r="K77">
            <v>-7.4999999999999997E-3</v>
          </cell>
          <cell r="L77">
            <v>0.16</v>
          </cell>
          <cell r="M77">
            <v>6.5580882688562006E-2</v>
          </cell>
          <cell r="N77">
            <v>0.71776788519965706</v>
          </cell>
          <cell r="O77">
            <v>68</v>
          </cell>
        </row>
        <row r="78">
          <cell r="D78">
            <v>38292</v>
          </cell>
          <cell r="E78">
            <v>2.6685000000000003</v>
          </cell>
          <cell r="F78">
            <v>0.11</v>
          </cell>
          <cell r="G78">
            <v>1.2500000000000001E-2</v>
          </cell>
          <cell r="H78">
            <v>0.8</v>
          </cell>
          <cell r="I78">
            <v>0.9</v>
          </cell>
          <cell r="J78">
            <v>0.185</v>
          </cell>
          <cell r="K78">
            <v>-5.0000000000000001E-3</v>
          </cell>
          <cell r="L78">
            <v>0.16</v>
          </cell>
          <cell r="M78">
            <v>6.5643740659876021E-2</v>
          </cell>
          <cell r="N78">
            <v>0.71362067060568279</v>
          </cell>
          <cell r="O78">
            <v>69</v>
          </cell>
        </row>
        <row r="79">
          <cell r="D79">
            <v>38322</v>
          </cell>
          <cell r="E79">
            <v>2.8055000000000003</v>
          </cell>
          <cell r="F79">
            <v>0.15</v>
          </cell>
          <cell r="G79">
            <v>1.2500000000000001E-2</v>
          </cell>
          <cell r="H79">
            <v>1.1000000000000001</v>
          </cell>
          <cell r="I79">
            <v>1.1499999999999999</v>
          </cell>
          <cell r="J79">
            <v>0.22500000000000001</v>
          </cell>
          <cell r="K79">
            <v>-5.0000000000000001E-3</v>
          </cell>
          <cell r="L79">
            <v>0.16</v>
          </cell>
          <cell r="M79">
            <v>6.5704570955942995E-2</v>
          </cell>
          <cell r="N79">
            <v>0.70962308026561993</v>
          </cell>
          <cell r="O79">
            <v>70</v>
          </cell>
        </row>
        <row r="80">
          <cell r="D80">
            <v>38353</v>
          </cell>
          <cell r="E80">
            <v>2.8755000000000002</v>
          </cell>
          <cell r="F80">
            <v>0.1875</v>
          </cell>
          <cell r="G80">
            <v>1.2500000000000001E-2</v>
          </cell>
          <cell r="H80">
            <v>1.1000000000000001</v>
          </cell>
          <cell r="I80">
            <v>1.1499999999999999</v>
          </cell>
          <cell r="J80">
            <v>0.26250000000000001</v>
          </cell>
          <cell r="K80">
            <v>-5.0000000000000001E-3</v>
          </cell>
          <cell r="L80">
            <v>0.1525</v>
          </cell>
          <cell r="M80">
            <v>6.5767428929834018E-2</v>
          </cell>
          <cell r="N80">
            <v>0.70550859749373918</v>
          </cell>
          <cell r="O80">
            <v>71</v>
          </cell>
        </row>
        <row r="81">
          <cell r="D81">
            <v>38384</v>
          </cell>
          <cell r="E81">
            <v>2.7835000000000001</v>
          </cell>
          <cell r="F81">
            <v>0.16500000000000001</v>
          </cell>
          <cell r="G81">
            <v>1.2500000000000001E-2</v>
          </cell>
          <cell r="H81">
            <v>1.1000000000000001</v>
          </cell>
          <cell r="I81">
            <v>1.1499999999999999</v>
          </cell>
          <cell r="J81">
            <v>0.24</v>
          </cell>
          <cell r="K81">
            <v>-5.0000000000000001E-3</v>
          </cell>
          <cell r="L81">
            <v>0.1525</v>
          </cell>
          <cell r="M81">
            <v>6.5830286905033009E-2</v>
          </cell>
          <cell r="N81">
            <v>0.70141073222253658</v>
          </cell>
          <cell r="O81">
            <v>72</v>
          </cell>
        </row>
        <row r="82">
          <cell r="D82">
            <v>38412</v>
          </cell>
          <cell r="E82">
            <v>2.6785000000000001</v>
          </cell>
          <cell r="F82">
            <v>0.16250000000000001</v>
          </cell>
          <cell r="G82">
            <v>1.2500000000000001E-2</v>
          </cell>
          <cell r="H82">
            <v>0.75</v>
          </cell>
          <cell r="I82">
            <v>0.85</v>
          </cell>
          <cell r="J82">
            <v>0.23749999999999999</v>
          </cell>
          <cell r="K82">
            <v>-5.0000000000000001E-3</v>
          </cell>
          <cell r="L82">
            <v>0.1525</v>
          </cell>
          <cell r="M82">
            <v>6.5887061851499007E-2</v>
          </cell>
          <cell r="N82">
            <v>0.69772370780127491</v>
          </cell>
          <cell r="O82">
            <v>73</v>
          </cell>
        </row>
        <row r="83">
          <cell r="D83">
            <v>38443</v>
          </cell>
          <cell r="E83">
            <v>2.5745</v>
          </cell>
          <cell r="F83">
            <v>4.7500000000000001E-2</v>
          </cell>
          <cell r="G83">
            <v>0</v>
          </cell>
          <cell r="H83">
            <v>0.45</v>
          </cell>
          <cell r="I83">
            <v>0.45</v>
          </cell>
          <cell r="J83">
            <v>0.1225</v>
          </cell>
          <cell r="K83">
            <v>-7.4999999999999997E-3</v>
          </cell>
          <cell r="L83">
            <v>0.1525</v>
          </cell>
          <cell r="M83">
            <v>6.594991982918999E-2</v>
          </cell>
          <cell r="N83">
            <v>0.69365743625527265</v>
          </cell>
          <cell r="O83">
            <v>74</v>
          </cell>
        </row>
        <row r="84">
          <cell r="D84">
            <v>38473</v>
          </cell>
          <cell r="E84">
            <v>2.5485000000000002</v>
          </cell>
          <cell r="F84">
            <v>3.7499999999999999E-2</v>
          </cell>
          <cell r="G84">
            <v>0</v>
          </cell>
          <cell r="H84">
            <v>0.5</v>
          </cell>
          <cell r="I84">
            <v>0.45</v>
          </cell>
          <cell r="J84">
            <v>0.1125</v>
          </cell>
          <cell r="K84">
            <v>-7.4999999999999997E-3</v>
          </cell>
          <cell r="L84">
            <v>0.1525</v>
          </cell>
          <cell r="M84">
            <v>6.6010750131428E-2</v>
          </cell>
          <cell r="N84">
            <v>0.68973812301193738</v>
          </cell>
          <cell r="O84">
            <v>75</v>
          </cell>
        </row>
        <row r="85">
          <cell r="D85">
            <v>38504</v>
          </cell>
          <cell r="E85">
            <v>2.5515000000000003</v>
          </cell>
          <cell r="F85">
            <v>3.2500000000000001E-2</v>
          </cell>
          <cell r="G85">
            <v>0</v>
          </cell>
          <cell r="H85">
            <v>0.5</v>
          </cell>
          <cell r="I85">
            <v>0.45</v>
          </cell>
          <cell r="J85">
            <v>0.1075</v>
          </cell>
          <cell r="K85">
            <v>-7.4999999999999997E-3</v>
          </cell>
          <cell r="L85">
            <v>0.1525</v>
          </cell>
          <cell r="M85">
            <v>6.607360811169502E-2</v>
          </cell>
          <cell r="N85">
            <v>0.685704467727141</v>
          </cell>
          <cell r="O85">
            <v>76</v>
          </cell>
        </row>
        <row r="86">
          <cell r="D86">
            <v>38534</v>
          </cell>
          <cell r="E86">
            <v>2.5528</v>
          </cell>
          <cell r="F86">
            <v>2.2499999999999999E-2</v>
          </cell>
          <cell r="G86">
            <v>0</v>
          </cell>
          <cell r="H86">
            <v>0.55000000000000004</v>
          </cell>
          <cell r="I86">
            <v>0.5</v>
          </cell>
          <cell r="J86">
            <v>9.7500000000000003E-2</v>
          </cell>
          <cell r="K86">
            <v>-7.4999999999999997E-3</v>
          </cell>
          <cell r="L86">
            <v>0.1525</v>
          </cell>
          <cell r="M86">
            <v>6.613443841642401E-2</v>
          </cell>
          <cell r="N86">
            <v>0.68181669357483854</v>
          </cell>
          <cell r="O86">
            <v>77</v>
          </cell>
        </row>
        <row r="87">
          <cell r="D87">
            <v>38565</v>
          </cell>
          <cell r="E87">
            <v>2.5495000000000001</v>
          </cell>
          <cell r="F87">
            <v>0.02</v>
          </cell>
          <cell r="G87">
            <v>0</v>
          </cell>
          <cell r="H87">
            <v>0.6</v>
          </cell>
          <cell r="I87">
            <v>0.55000000000000004</v>
          </cell>
          <cell r="J87">
            <v>9.5000000000000001E-2</v>
          </cell>
          <cell r="K87">
            <v>-7.4999999999999997E-3</v>
          </cell>
          <cell r="L87">
            <v>0.1525</v>
          </cell>
          <cell r="M87">
            <v>6.6197296399267011E-2</v>
          </cell>
          <cell r="N87">
            <v>0.67781560197665613</v>
          </cell>
          <cell r="O87">
            <v>78</v>
          </cell>
        </row>
        <row r="88">
          <cell r="D88">
            <v>38596</v>
          </cell>
          <cell r="E88">
            <v>2.5605000000000002</v>
          </cell>
          <cell r="F88">
            <v>1.7500000000000002E-2</v>
          </cell>
          <cell r="G88">
            <v>0</v>
          </cell>
          <cell r="H88">
            <v>0.6</v>
          </cell>
          <cell r="I88">
            <v>0.55000000000000004</v>
          </cell>
          <cell r="J88">
            <v>9.2499999999999999E-2</v>
          </cell>
          <cell r="K88">
            <v>-7.4999999999999997E-3</v>
          </cell>
          <cell r="L88">
            <v>0.1525</v>
          </cell>
          <cell r="M88">
            <v>6.626015438341902E-2</v>
          </cell>
          <cell r="N88">
            <v>0.67383103792374277</v>
          </cell>
          <cell r="O88">
            <v>79</v>
          </cell>
        </row>
        <row r="89">
          <cell r="D89">
            <v>38626</v>
          </cell>
          <cell r="E89">
            <v>2.5924999999999998</v>
          </cell>
          <cell r="F89">
            <v>3.2500000000000001E-2</v>
          </cell>
          <cell r="G89">
            <v>0</v>
          </cell>
          <cell r="H89">
            <v>0.65</v>
          </cell>
          <cell r="I89">
            <v>0.6</v>
          </cell>
          <cell r="J89">
            <v>0.1075</v>
          </cell>
          <cell r="K89">
            <v>-7.4999999999999997E-3</v>
          </cell>
          <cell r="L89">
            <v>0.1525</v>
          </cell>
          <cell r="M89">
            <v>6.6320984691908016E-2</v>
          </cell>
          <cell r="N89">
            <v>0.66999073061972425</v>
          </cell>
          <cell r="O89">
            <v>80</v>
          </cell>
        </row>
        <row r="90">
          <cell r="D90">
            <v>38657</v>
          </cell>
          <cell r="E90">
            <v>2.7235000000000005</v>
          </cell>
          <cell r="F90">
            <v>0.125</v>
          </cell>
          <cell r="G90">
            <v>1.2500000000000001E-2</v>
          </cell>
          <cell r="H90">
            <v>0.8</v>
          </cell>
          <cell r="I90">
            <v>0.9</v>
          </cell>
          <cell r="J90">
            <v>0.2</v>
          </cell>
          <cell r="K90">
            <v>-5.0000000000000001E-3</v>
          </cell>
          <cell r="L90">
            <v>0.1525</v>
          </cell>
          <cell r="M90">
            <v>6.6383842678634009E-2</v>
          </cell>
          <cell r="N90">
            <v>0.66603864469816743</v>
          </cell>
          <cell r="O90">
            <v>81</v>
          </cell>
        </row>
        <row r="91">
          <cell r="D91">
            <v>38687</v>
          </cell>
          <cell r="E91">
            <v>2.8605</v>
          </cell>
          <cell r="F91">
            <v>0.16500000000000001</v>
          </cell>
          <cell r="G91">
            <v>1.2500000000000001E-2</v>
          </cell>
          <cell r="H91">
            <v>1.1000000000000001</v>
          </cell>
          <cell r="I91">
            <v>1.1499999999999999</v>
          </cell>
          <cell r="J91">
            <v>0.24</v>
          </cell>
          <cell r="K91">
            <v>-5.0000000000000001E-3</v>
          </cell>
          <cell r="L91">
            <v>0.1525</v>
          </cell>
          <cell r="M91">
            <v>6.6444672989616024E-2</v>
          </cell>
          <cell r="N91">
            <v>0.66222973881213987</v>
          </cell>
          <cell r="O91">
            <v>82</v>
          </cell>
        </row>
        <row r="92">
          <cell r="D92">
            <v>38718</v>
          </cell>
          <cell r="E92">
            <v>2.9380000000000002</v>
          </cell>
          <cell r="F92">
            <v>0.20749999999999999</v>
          </cell>
          <cell r="G92">
            <v>1.2500000000000001E-2</v>
          </cell>
          <cell r="H92">
            <v>1.1000000000000001</v>
          </cell>
          <cell r="I92">
            <v>1.1499999999999999</v>
          </cell>
          <cell r="J92">
            <v>0.28249999999999997</v>
          </cell>
          <cell r="K92">
            <v>-5.0000000000000001E-3</v>
          </cell>
          <cell r="L92">
            <v>0.17</v>
          </cell>
          <cell r="M92">
            <v>6.6507530978918011E-2</v>
          </cell>
          <cell r="N92">
            <v>0.65831007021294075</v>
          </cell>
          <cell r="O92">
            <v>83</v>
          </cell>
        </row>
        <row r="93">
          <cell r="D93">
            <v>38749</v>
          </cell>
          <cell r="E93">
            <v>2.8460000000000001</v>
          </cell>
          <cell r="F93">
            <v>0.185</v>
          </cell>
          <cell r="G93">
            <v>1.2500000000000001E-2</v>
          </cell>
          <cell r="H93">
            <v>1.1000000000000001</v>
          </cell>
          <cell r="I93">
            <v>1.1499999999999999</v>
          </cell>
          <cell r="J93">
            <v>0.26</v>
          </cell>
          <cell r="K93">
            <v>-5.0000000000000001E-3</v>
          </cell>
          <cell r="L93">
            <v>0.17</v>
          </cell>
          <cell r="M93">
            <v>6.6570388969529021E-2</v>
          </cell>
          <cell r="N93">
            <v>0.6544068516599626</v>
          </cell>
          <cell r="O93">
            <v>84</v>
          </cell>
        </row>
        <row r="94">
          <cell r="D94">
            <v>38777</v>
          </cell>
          <cell r="E94">
            <v>2.7410000000000001</v>
          </cell>
          <cell r="F94">
            <v>0.1825</v>
          </cell>
          <cell r="G94">
            <v>1.2500000000000001E-2</v>
          </cell>
          <cell r="H94">
            <v>0.75</v>
          </cell>
          <cell r="I94">
            <v>0.85</v>
          </cell>
          <cell r="J94">
            <v>0.25750000000000001</v>
          </cell>
          <cell r="K94">
            <v>-5.0000000000000001E-3</v>
          </cell>
          <cell r="L94">
            <v>0.17</v>
          </cell>
          <cell r="M94">
            <v>6.6627163929914024E-2</v>
          </cell>
          <cell r="N94">
            <v>0.6508954890123595</v>
          </cell>
          <cell r="O94">
            <v>85</v>
          </cell>
        </row>
        <row r="95">
          <cell r="D95">
            <v>38808</v>
          </cell>
          <cell r="E95">
            <v>2.637</v>
          </cell>
          <cell r="F95">
            <v>6.7500000000000004E-2</v>
          </cell>
          <cell r="G95">
            <v>0</v>
          </cell>
          <cell r="H95">
            <v>0.45</v>
          </cell>
          <cell r="I95">
            <v>0.45</v>
          </cell>
          <cell r="J95">
            <v>0.14249999999999999</v>
          </cell>
          <cell r="K95">
            <v>-7.4999999999999997E-3</v>
          </cell>
          <cell r="L95">
            <v>0.17</v>
          </cell>
          <cell r="M95">
            <v>6.6690021923016013E-2</v>
          </cell>
          <cell r="N95">
            <v>0.6470235314493854</v>
          </cell>
          <cell r="O95">
            <v>86</v>
          </cell>
        </row>
        <row r="96">
          <cell r="D96">
            <v>38838</v>
          </cell>
          <cell r="E96">
            <v>2.6110000000000002</v>
          </cell>
          <cell r="F96">
            <v>5.7500000000000002E-2</v>
          </cell>
          <cell r="G96">
            <v>0</v>
          </cell>
          <cell r="H96">
            <v>0.5</v>
          </cell>
          <cell r="I96">
            <v>0.45</v>
          </cell>
          <cell r="J96">
            <v>0.13250000000000001</v>
          </cell>
          <cell r="K96">
            <v>-7.4999999999999997E-3</v>
          </cell>
          <cell r="L96">
            <v>0.17</v>
          </cell>
          <cell r="M96">
            <v>6.6750852240166011E-2</v>
          </cell>
          <cell r="N96">
            <v>0.64329209063655635</v>
          </cell>
          <cell r="O96">
            <v>87</v>
          </cell>
        </row>
        <row r="97">
          <cell r="D97">
            <v>38869</v>
          </cell>
          <cell r="E97">
            <v>2.6139999999999999</v>
          </cell>
          <cell r="F97">
            <v>5.2499999999999998E-2</v>
          </cell>
          <cell r="G97">
            <v>0</v>
          </cell>
          <cell r="H97">
            <v>0.5</v>
          </cell>
          <cell r="I97">
            <v>0.45</v>
          </cell>
          <cell r="J97">
            <v>0.1275</v>
          </cell>
          <cell r="K97">
            <v>-7.4999999999999997E-3</v>
          </cell>
          <cell r="L97">
            <v>0.17</v>
          </cell>
          <cell r="M97">
            <v>6.6813710235842011E-2</v>
          </cell>
          <cell r="N97">
            <v>0.63945238620984235</v>
          </cell>
          <cell r="O97">
            <v>88</v>
          </cell>
        </row>
        <row r="98">
          <cell r="D98">
            <v>38899</v>
          </cell>
          <cell r="E98">
            <v>2.6153000000000004</v>
          </cell>
          <cell r="F98">
            <v>4.2500000000000003E-2</v>
          </cell>
          <cell r="G98">
            <v>0</v>
          </cell>
          <cell r="H98">
            <v>0.55000000000000004</v>
          </cell>
          <cell r="I98">
            <v>0.5</v>
          </cell>
          <cell r="J98">
            <v>0.11749999999999999</v>
          </cell>
          <cell r="K98">
            <v>-7.4999999999999997E-3</v>
          </cell>
          <cell r="L98">
            <v>0.17</v>
          </cell>
          <cell r="M98">
            <v>6.6874540555484016E-2</v>
          </cell>
          <cell r="N98">
            <v>0.63575212377794033</v>
          </cell>
          <cell r="O98">
            <v>89</v>
          </cell>
        </row>
        <row r="99">
          <cell r="D99">
            <v>38930</v>
          </cell>
          <cell r="E99">
            <v>2.6120000000000001</v>
          </cell>
          <cell r="F99">
            <v>0.04</v>
          </cell>
          <cell r="G99">
            <v>0</v>
          </cell>
          <cell r="H99">
            <v>0.6</v>
          </cell>
          <cell r="I99">
            <v>0.55000000000000004</v>
          </cell>
          <cell r="J99">
            <v>0.115</v>
          </cell>
          <cell r="K99">
            <v>-7.4999999999999997E-3</v>
          </cell>
          <cell r="L99">
            <v>0.17</v>
          </cell>
          <cell r="M99">
            <v>6.6936601932010009E-2</v>
          </cell>
          <cell r="N99">
            <v>0.63194799626361498</v>
          </cell>
          <cell r="O99">
            <v>90</v>
          </cell>
        </row>
        <row r="100">
          <cell r="D100">
            <v>38961</v>
          </cell>
          <cell r="E100">
            <v>2.6230000000000002</v>
          </cell>
          <cell r="F100">
            <v>3.7499999999999999E-2</v>
          </cell>
          <cell r="G100">
            <v>0</v>
          </cell>
          <cell r="H100">
            <v>0.6</v>
          </cell>
          <cell r="I100">
            <v>0.55000000000000004</v>
          </cell>
          <cell r="J100">
            <v>0.1125</v>
          </cell>
          <cell r="K100">
            <v>-7.4999999999999997E-3</v>
          </cell>
          <cell r="L100">
            <v>0.17</v>
          </cell>
          <cell r="M100">
            <v>6.6974764657689007E-2</v>
          </cell>
          <cell r="N100">
            <v>0.6282627294152241</v>
          </cell>
          <cell r="O100">
            <v>91</v>
          </cell>
        </row>
        <row r="101">
          <cell r="D101">
            <v>38991</v>
          </cell>
          <cell r="E101">
            <v>2.6549999999999998</v>
          </cell>
          <cell r="F101">
            <v>5.2499999999999998E-2</v>
          </cell>
          <cell r="G101">
            <v>0</v>
          </cell>
          <cell r="H101">
            <v>0.65</v>
          </cell>
          <cell r="I101">
            <v>0.6</v>
          </cell>
          <cell r="J101">
            <v>0.1275</v>
          </cell>
          <cell r="K101">
            <v>-7.4999999999999997E-3</v>
          </cell>
          <cell r="L101">
            <v>0.17</v>
          </cell>
          <cell r="M101">
            <v>6.7011696328159023E-2</v>
          </cell>
          <cell r="N101">
            <v>0.62471308023823524</v>
          </cell>
          <cell r="O101">
            <v>92</v>
          </cell>
        </row>
        <row r="102">
          <cell r="D102">
            <v>39022</v>
          </cell>
          <cell r="E102">
            <v>2.7860000000000005</v>
          </cell>
          <cell r="F102">
            <v>0.14499999999999999</v>
          </cell>
          <cell r="G102">
            <v>1.2500000000000001E-2</v>
          </cell>
          <cell r="H102">
            <v>0.8</v>
          </cell>
          <cell r="I102">
            <v>0.9</v>
          </cell>
          <cell r="J102">
            <v>0.22</v>
          </cell>
          <cell r="K102">
            <v>-5.0000000000000001E-3</v>
          </cell>
          <cell r="L102">
            <v>0.17</v>
          </cell>
          <cell r="M102">
            <v>6.7049859054786012E-2</v>
          </cell>
          <cell r="N102">
            <v>0.62106235026271439</v>
          </cell>
          <cell r="O102">
            <v>93</v>
          </cell>
        </row>
        <row r="103">
          <cell r="D103">
            <v>39052</v>
          </cell>
          <cell r="E103">
            <v>2.923</v>
          </cell>
          <cell r="F103">
            <v>0.185</v>
          </cell>
          <cell r="G103">
            <v>1.2500000000000001E-2</v>
          </cell>
          <cell r="H103">
            <v>1.1000000000000001</v>
          </cell>
          <cell r="I103">
            <v>1.1499999999999999</v>
          </cell>
          <cell r="J103">
            <v>0.26</v>
          </cell>
          <cell r="K103">
            <v>-5.0000000000000001E-3</v>
          </cell>
          <cell r="L103">
            <v>0.17</v>
          </cell>
          <cell r="M103">
            <v>6.7086790726175016E-2</v>
          </cell>
          <cell r="N103">
            <v>0.61754601762520334</v>
          </cell>
          <cell r="O103">
            <v>94</v>
          </cell>
        </row>
        <row r="104">
          <cell r="D104">
            <v>39083</v>
          </cell>
          <cell r="E104">
            <v>3.0105000000000004</v>
          </cell>
          <cell r="F104">
            <v>0.23749999999999999</v>
          </cell>
          <cell r="G104">
            <v>1.2500000000000001E-2</v>
          </cell>
          <cell r="H104">
            <v>1.1000000000000001</v>
          </cell>
          <cell r="I104">
            <v>1.1499999999999999</v>
          </cell>
          <cell r="J104">
            <v>0.3125</v>
          </cell>
          <cell r="K104">
            <v>-5.0000000000000001E-3</v>
          </cell>
          <cell r="L104">
            <v>0.16</v>
          </cell>
          <cell r="M104">
            <v>6.7124953453750011E-2</v>
          </cell>
          <cell r="N104">
            <v>0.61392960496169391</v>
          </cell>
          <cell r="O104">
            <v>95</v>
          </cell>
        </row>
        <row r="105">
          <cell r="D105">
            <v>39114</v>
          </cell>
          <cell r="E105">
            <v>2.9185000000000003</v>
          </cell>
          <cell r="F105">
            <v>0.215</v>
          </cell>
          <cell r="G105">
            <v>1.2500000000000001E-2</v>
          </cell>
          <cell r="H105">
            <v>1.1000000000000001</v>
          </cell>
          <cell r="I105">
            <v>1.1499999999999999</v>
          </cell>
          <cell r="J105">
            <v>0.28999999999999998</v>
          </cell>
          <cell r="K105">
            <v>-5.0000000000000001E-3</v>
          </cell>
          <cell r="L105">
            <v>0.16</v>
          </cell>
          <cell r="M105">
            <v>6.7163116181809007E-2</v>
          </cell>
          <cell r="N105">
            <v>0.61033054810800991</v>
          </cell>
          <cell r="O105">
            <v>96</v>
          </cell>
        </row>
        <row r="106">
          <cell r="D106">
            <v>39142</v>
          </cell>
          <cell r="E106">
            <v>2.8135000000000003</v>
          </cell>
          <cell r="F106">
            <v>0.21249999999999999</v>
          </cell>
          <cell r="G106">
            <v>1.2500000000000001E-2</v>
          </cell>
          <cell r="H106">
            <v>0.75</v>
          </cell>
          <cell r="I106">
            <v>0.85</v>
          </cell>
          <cell r="J106">
            <v>0.28749999999999998</v>
          </cell>
          <cell r="K106">
            <v>-5.0000000000000001E-3</v>
          </cell>
          <cell r="L106">
            <v>0.16</v>
          </cell>
          <cell r="M106">
            <v>6.7197585743050001E-2</v>
          </cell>
          <cell r="N106">
            <v>0.60709465761005998</v>
          </cell>
          <cell r="O106">
            <v>97</v>
          </cell>
        </row>
        <row r="107">
          <cell r="D107">
            <v>39173</v>
          </cell>
          <cell r="E107">
            <v>2.7094999999999998</v>
          </cell>
          <cell r="F107">
            <v>9.7500000000000003E-2</v>
          </cell>
          <cell r="G107">
            <v>0</v>
          </cell>
          <cell r="H107">
            <v>0.45</v>
          </cell>
          <cell r="I107">
            <v>0.45</v>
          </cell>
          <cell r="J107">
            <v>0.17249999999999999</v>
          </cell>
          <cell r="K107">
            <v>-7.4999999999999997E-3</v>
          </cell>
          <cell r="L107">
            <v>0.16</v>
          </cell>
          <cell r="M107">
            <v>6.7235748472026027E-2</v>
          </cell>
          <cell r="N107">
            <v>0.60352847615682581</v>
          </cell>
          <cell r="O107">
            <v>98</v>
          </cell>
        </row>
        <row r="108">
          <cell r="D108">
            <v>39203</v>
          </cell>
          <cell r="E108">
            <v>2.6835000000000004</v>
          </cell>
          <cell r="F108">
            <v>8.7499999999999994E-2</v>
          </cell>
          <cell r="G108">
            <v>0</v>
          </cell>
          <cell r="H108">
            <v>0.5</v>
          </cell>
          <cell r="I108">
            <v>0.45</v>
          </cell>
          <cell r="J108">
            <v>0.16250000000000001</v>
          </cell>
          <cell r="K108">
            <v>-7.4999999999999997E-3</v>
          </cell>
          <cell r="L108">
            <v>0.16</v>
          </cell>
          <cell r="M108">
            <v>6.7272680145688005E-2</v>
          </cell>
          <cell r="N108">
            <v>0.60009370174054466</v>
          </cell>
          <cell r="O108">
            <v>99</v>
          </cell>
        </row>
        <row r="109">
          <cell r="D109">
            <v>39234</v>
          </cell>
          <cell r="E109">
            <v>2.6864999999999997</v>
          </cell>
          <cell r="F109">
            <v>8.2500000000000004E-2</v>
          </cell>
          <cell r="G109">
            <v>0</v>
          </cell>
          <cell r="H109">
            <v>0.5</v>
          </cell>
          <cell r="I109">
            <v>0.45</v>
          </cell>
          <cell r="J109">
            <v>0.1575</v>
          </cell>
          <cell r="K109">
            <v>-7.4999999999999997E-3</v>
          </cell>
          <cell r="L109">
            <v>0.16</v>
          </cell>
          <cell r="M109">
            <v>6.7310842875613008E-2</v>
          </cell>
          <cell r="N109">
            <v>0.59656129424297144</v>
          </cell>
          <cell r="O109">
            <v>100</v>
          </cell>
        </row>
        <row r="110">
          <cell r="D110">
            <v>39264</v>
          </cell>
          <cell r="E110">
            <v>2.6877</v>
          </cell>
          <cell r="F110">
            <v>7.2499999999999995E-2</v>
          </cell>
          <cell r="G110">
            <v>0</v>
          </cell>
          <cell r="H110">
            <v>0.55000000000000004</v>
          </cell>
          <cell r="I110">
            <v>0.5</v>
          </cell>
          <cell r="J110">
            <v>0.14749999999999999</v>
          </cell>
          <cell r="K110">
            <v>-7.4999999999999997E-3</v>
          </cell>
          <cell r="L110">
            <v>0.16</v>
          </cell>
          <cell r="M110">
            <v>6.7347774550193015E-2</v>
          </cell>
          <cell r="N110">
            <v>0.59315909813402379</v>
          </cell>
          <cell r="O110">
            <v>101</v>
          </cell>
        </row>
        <row r="111">
          <cell r="D111">
            <v>39295</v>
          </cell>
          <cell r="E111">
            <v>2.6844999999999999</v>
          </cell>
          <cell r="F111">
            <v>7.0000000000000007E-2</v>
          </cell>
          <cell r="G111">
            <v>0</v>
          </cell>
          <cell r="H111">
            <v>0.6</v>
          </cell>
          <cell r="I111">
            <v>0.55000000000000004</v>
          </cell>
          <cell r="J111">
            <v>0.14499999999999999</v>
          </cell>
          <cell r="K111">
            <v>-7.4999999999999997E-3</v>
          </cell>
          <cell r="L111">
            <v>0.16</v>
          </cell>
          <cell r="M111">
            <v>6.7385937281066996E-2</v>
          </cell>
          <cell r="N111">
            <v>0.58966024520422378</v>
          </cell>
          <cell r="O111">
            <v>102</v>
          </cell>
        </row>
        <row r="112">
          <cell r="D112">
            <v>39326</v>
          </cell>
          <cell r="E112">
            <v>2.6955</v>
          </cell>
          <cell r="F112">
            <v>6.7500000000000004E-2</v>
          </cell>
          <cell r="G112">
            <v>0</v>
          </cell>
          <cell r="H112">
            <v>0.6</v>
          </cell>
          <cell r="I112">
            <v>0.55000000000000004</v>
          </cell>
          <cell r="J112">
            <v>0.14249999999999999</v>
          </cell>
          <cell r="K112">
            <v>-7.4999999999999997E-3</v>
          </cell>
          <cell r="L112">
            <v>0.16</v>
          </cell>
          <cell r="M112">
            <v>6.7424100012423008E-2</v>
          </cell>
          <cell r="N112">
            <v>0.58617836054968531</v>
          </cell>
          <cell r="O112">
            <v>103</v>
          </cell>
        </row>
        <row r="113">
          <cell r="D113">
            <v>39356</v>
          </cell>
          <cell r="E113">
            <v>2.7275</v>
          </cell>
          <cell r="F113">
            <v>8.2500000000000004E-2</v>
          </cell>
          <cell r="G113">
            <v>0</v>
          </cell>
          <cell r="H113">
            <v>0.65</v>
          </cell>
          <cell r="I113">
            <v>0.6</v>
          </cell>
          <cell r="J113">
            <v>0.1575</v>
          </cell>
          <cell r="K113">
            <v>-7.4999999999999997E-3</v>
          </cell>
          <cell r="L113">
            <v>0.16</v>
          </cell>
          <cell r="M113">
            <v>6.7461031688388004E-2</v>
          </cell>
          <cell r="N113">
            <v>0.58282489748212107</v>
          </cell>
          <cell r="O113">
            <v>104</v>
          </cell>
        </row>
        <row r="114">
          <cell r="D114">
            <v>39387</v>
          </cell>
          <cell r="E114">
            <v>2.8585000000000003</v>
          </cell>
          <cell r="F114">
            <v>0.17499999999999999</v>
          </cell>
          <cell r="G114">
            <v>1.2500000000000001E-2</v>
          </cell>
          <cell r="H114">
            <v>0.8</v>
          </cell>
          <cell r="I114">
            <v>0.9</v>
          </cell>
          <cell r="J114">
            <v>0.25</v>
          </cell>
          <cell r="K114">
            <v>-5.0000000000000001E-3</v>
          </cell>
          <cell r="L114">
            <v>0.16</v>
          </cell>
          <cell r="M114">
            <v>6.7499194420692021E-2</v>
          </cell>
          <cell r="N114">
            <v>0.57937623670376326</v>
          </cell>
          <cell r="O114">
            <v>105</v>
          </cell>
        </row>
        <row r="115">
          <cell r="D115">
            <v>39417</v>
          </cell>
          <cell r="E115">
            <v>2.9955000000000003</v>
          </cell>
          <cell r="F115">
            <v>0.215</v>
          </cell>
          <cell r="G115">
            <v>1.2500000000000001E-2</v>
          </cell>
          <cell r="H115">
            <v>1.1000000000000001</v>
          </cell>
          <cell r="I115">
            <v>1.1499999999999999</v>
          </cell>
          <cell r="J115">
            <v>0.28999999999999998</v>
          </cell>
          <cell r="K115">
            <v>-5.0000000000000001E-3</v>
          </cell>
          <cell r="L115">
            <v>0.16</v>
          </cell>
          <cell r="M115">
            <v>6.7536126097575006E-2</v>
          </cell>
          <cell r="N115">
            <v>0.57605481973767825</v>
          </cell>
          <cell r="O115">
            <v>106</v>
          </cell>
        </row>
        <row r="116">
          <cell r="D116">
            <v>39448</v>
          </cell>
          <cell r="E116">
            <v>3.093</v>
          </cell>
          <cell r="F116">
            <v>0.27750000000000002</v>
          </cell>
          <cell r="G116">
            <v>1.2500000000000001E-2</v>
          </cell>
          <cell r="H116">
            <v>1.1000000000000001</v>
          </cell>
          <cell r="I116">
            <v>1.1499999999999999</v>
          </cell>
          <cell r="J116">
            <v>0.35249999999999998</v>
          </cell>
          <cell r="K116">
            <v>-5.0000000000000001E-3</v>
          </cell>
          <cell r="L116">
            <v>0.159</v>
          </cell>
          <cell r="M116">
            <v>6.7574288830829013E-2</v>
          </cell>
          <cell r="N116">
            <v>0.57263916372723012</v>
          </cell>
          <cell r="O116">
            <v>107</v>
          </cell>
        </row>
        <row r="117">
          <cell r="D117">
            <v>39479</v>
          </cell>
          <cell r="E117">
            <v>3.0010000000000003</v>
          </cell>
          <cell r="F117">
            <v>0.255</v>
          </cell>
          <cell r="G117">
            <v>1.2500000000000001E-2</v>
          </cell>
          <cell r="H117">
            <v>1.1000000000000001</v>
          </cell>
          <cell r="I117">
            <v>1.1499999999999999</v>
          </cell>
          <cell r="J117">
            <v>0.33</v>
          </cell>
          <cell r="K117">
            <v>-5.0000000000000001E-3</v>
          </cell>
          <cell r="L117">
            <v>0.159</v>
          </cell>
          <cell r="M117">
            <v>6.7612451564564011E-2</v>
          </cell>
          <cell r="N117">
            <v>0.56924019670890791</v>
          </cell>
          <cell r="O117">
            <v>108</v>
          </cell>
        </row>
        <row r="118">
          <cell r="D118">
            <v>39508</v>
          </cell>
          <cell r="E118">
            <v>2.8960000000000004</v>
          </cell>
          <cell r="F118">
            <v>0.2525</v>
          </cell>
          <cell r="G118">
            <v>1.2500000000000001E-2</v>
          </cell>
          <cell r="H118">
            <v>0.75</v>
          </cell>
          <cell r="I118">
            <v>0.85</v>
          </cell>
          <cell r="J118">
            <v>0.32750000000000001</v>
          </cell>
          <cell r="K118">
            <v>-5.0000000000000001E-3</v>
          </cell>
          <cell r="L118">
            <v>0.159</v>
          </cell>
          <cell r="M118">
            <v>6.7648152186882013E-2</v>
          </cell>
          <cell r="N118">
            <v>0.5660755764703812</v>
          </cell>
          <cell r="O118">
            <v>109</v>
          </cell>
        </row>
        <row r="119">
          <cell r="D119">
            <v>39539</v>
          </cell>
          <cell r="E119">
            <v>2.7919999999999998</v>
          </cell>
          <cell r="F119">
            <v>0.13750000000000001</v>
          </cell>
          <cell r="G119">
            <v>0</v>
          </cell>
          <cell r="H119">
            <v>0.45</v>
          </cell>
          <cell r="I119">
            <v>0.45</v>
          </cell>
          <cell r="J119">
            <v>0.21249999999999999</v>
          </cell>
          <cell r="K119">
            <v>-7.4999999999999997E-3</v>
          </cell>
          <cell r="L119">
            <v>0.159</v>
          </cell>
          <cell r="M119">
            <v>6.7686314921551013E-2</v>
          </cell>
          <cell r="N119">
            <v>0.56270875015997424</v>
          </cell>
          <cell r="O119">
            <v>110</v>
          </cell>
        </row>
        <row r="120">
          <cell r="D120">
            <v>39569</v>
          </cell>
          <cell r="E120">
            <v>2.7660000000000005</v>
          </cell>
          <cell r="F120">
            <v>0.1275</v>
          </cell>
          <cell r="G120">
            <v>0</v>
          </cell>
          <cell r="H120">
            <v>0.5</v>
          </cell>
          <cell r="I120">
            <v>0.45</v>
          </cell>
          <cell r="J120">
            <v>0.20250000000000001</v>
          </cell>
          <cell r="K120">
            <v>-7.4999999999999997E-3</v>
          </cell>
          <cell r="L120">
            <v>0.159</v>
          </cell>
          <cell r="M120">
            <v>6.7723246600721029E-2</v>
          </cell>
          <cell r="N120">
            <v>0.55946626393639132</v>
          </cell>
          <cell r="O120">
            <v>111</v>
          </cell>
        </row>
        <row r="121">
          <cell r="D121">
            <v>39600</v>
          </cell>
          <cell r="E121">
            <v>2.7690000000000006</v>
          </cell>
          <cell r="F121">
            <v>0.1225</v>
          </cell>
          <cell r="G121">
            <v>0</v>
          </cell>
          <cell r="H121">
            <v>0.5</v>
          </cell>
          <cell r="I121">
            <v>0.45</v>
          </cell>
          <cell r="J121">
            <v>0.19750000000000001</v>
          </cell>
          <cell r="K121">
            <v>-7.4999999999999997E-3</v>
          </cell>
          <cell r="L121">
            <v>0.159</v>
          </cell>
          <cell r="M121">
            <v>6.7761409336339021E-2</v>
          </cell>
          <cell r="N121">
            <v>0.55613189709962763</v>
          </cell>
          <cell r="O121">
            <v>112</v>
          </cell>
        </row>
        <row r="122">
          <cell r="D122">
            <v>39630</v>
          </cell>
          <cell r="E122">
            <v>2.7702</v>
          </cell>
          <cell r="F122">
            <v>0.1125</v>
          </cell>
          <cell r="G122">
            <v>0</v>
          </cell>
          <cell r="H122">
            <v>0.55000000000000004</v>
          </cell>
          <cell r="I122">
            <v>0.5</v>
          </cell>
          <cell r="J122">
            <v>0.1875</v>
          </cell>
          <cell r="K122">
            <v>-7.4999999999999997E-3</v>
          </cell>
          <cell r="L122">
            <v>0.159</v>
          </cell>
          <cell r="M122">
            <v>6.7798341016427996E-2</v>
          </cell>
          <cell r="N122">
            <v>0.55292071751374561</v>
          </cell>
          <cell r="O122">
            <v>113</v>
          </cell>
        </row>
        <row r="123">
          <cell r="D123">
            <v>39661</v>
          </cell>
          <cell r="E123">
            <v>2.7669999999999999</v>
          </cell>
          <cell r="F123">
            <v>0.11</v>
          </cell>
          <cell r="G123">
            <v>0</v>
          </cell>
          <cell r="H123">
            <v>0.6</v>
          </cell>
          <cell r="I123">
            <v>0.55000000000000004</v>
          </cell>
          <cell r="J123">
            <v>0.185</v>
          </cell>
          <cell r="K123">
            <v>-7.4999999999999997E-3</v>
          </cell>
          <cell r="L123">
            <v>0.159</v>
          </cell>
          <cell r="M123">
            <v>6.7836503753000002E-2</v>
          </cell>
          <cell r="N123">
            <v>0.549618591639363</v>
          </cell>
          <cell r="O123">
            <v>114</v>
          </cell>
        </row>
        <row r="124">
          <cell r="D124">
            <v>39692</v>
          </cell>
          <cell r="E124">
            <v>2.778</v>
          </cell>
          <cell r="F124">
            <v>0.1075</v>
          </cell>
          <cell r="G124">
            <v>0</v>
          </cell>
          <cell r="H124">
            <v>0.6</v>
          </cell>
          <cell r="I124">
            <v>0.55000000000000004</v>
          </cell>
          <cell r="J124">
            <v>0.1825</v>
          </cell>
          <cell r="K124">
            <v>-7.4999999999999997E-3</v>
          </cell>
          <cell r="L124">
            <v>0.159</v>
          </cell>
          <cell r="M124">
            <v>6.7874666490042007E-2</v>
          </cell>
          <cell r="N124">
            <v>0.54633276684418541</v>
          </cell>
          <cell r="O124">
            <v>115</v>
          </cell>
        </row>
        <row r="125">
          <cell r="D125">
            <v>39722</v>
          </cell>
          <cell r="E125">
            <v>2.81</v>
          </cell>
          <cell r="F125">
            <v>0.1225</v>
          </cell>
          <cell r="G125">
            <v>0</v>
          </cell>
          <cell r="H125">
            <v>0.65</v>
          </cell>
          <cell r="I125">
            <v>0.6</v>
          </cell>
          <cell r="J125">
            <v>0.19750000000000001</v>
          </cell>
          <cell r="K125">
            <v>-7.4999999999999997E-3</v>
          </cell>
          <cell r="L125">
            <v>0.159</v>
          </cell>
          <cell r="M125">
            <v>6.7911598171515014E-2</v>
          </cell>
          <cell r="N125">
            <v>0.5431684041210959</v>
          </cell>
          <cell r="O125">
            <v>116</v>
          </cell>
        </row>
        <row r="126">
          <cell r="D126">
            <v>39753</v>
          </cell>
          <cell r="E126">
            <v>2.9410000000000003</v>
          </cell>
          <cell r="F126">
            <v>0.215</v>
          </cell>
          <cell r="G126">
            <v>1.2500000000000001E-2</v>
          </cell>
          <cell r="H126">
            <v>0.8</v>
          </cell>
          <cell r="I126">
            <v>0.9</v>
          </cell>
          <cell r="J126">
            <v>0.28999999999999998</v>
          </cell>
          <cell r="K126">
            <v>-5.0000000000000001E-3</v>
          </cell>
          <cell r="L126">
            <v>0.159</v>
          </cell>
          <cell r="M126">
            <v>6.7949760909512019E-2</v>
          </cell>
          <cell r="N126">
            <v>0.53991449114153989</v>
          </cell>
          <cell r="O126">
            <v>117</v>
          </cell>
        </row>
        <row r="127">
          <cell r="D127">
            <v>39783</v>
          </cell>
          <cell r="E127">
            <v>3.0780000000000003</v>
          </cell>
          <cell r="F127">
            <v>0.255</v>
          </cell>
          <cell r="G127">
            <v>1.2500000000000001E-2</v>
          </cell>
          <cell r="H127">
            <v>1.1000000000000001</v>
          </cell>
          <cell r="I127">
            <v>1.1499999999999999</v>
          </cell>
          <cell r="J127">
            <v>0.33</v>
          </cell>
          <cell r="K127">
            <v>-5.0000000000000001E-3</v>
          </cell>
          <cell r="L127">
            <v>0.159</v>
          </cell>
          <cell r="M127">
            <v>6.7986692591903E-2</v>
          </cell>
          <cell r="N127">
            <v>0.53678090533595257</v>
          </cell>
          <cell r="O127">
            <v>118</v>
          </cell>
        </row>
        <row r="128">
          <cell r="D128">
            <v>39814</v>
          </cell>
          <cell r="E128">
            <v>3.1830000000000003</v>
          </cell>
          <cell r="F128">
            <v>0.32750000000000001</v>
          </cell>
          <cell r="G128">
            <v>1.2500000000000001E-2</v>
          </cell>
          <cell r="H128">
            <v>1.1000000000000001</v>
          </cell>
          <cell r="I128">
            <v>1.1499999999999999</v>
          </cell>
          <cell r="J128">
            <v>0.40250000000000002</v>
          </cell>
          <cell r="K128">
            <v>-5.0000000000000001E-3</v>
          </cell>
          <cell r="L128">
            <v>0.158</v>
          </cell>
          <cell r="M128">
            <v>6.8024855330847997E-2</v>
          </cell>
          <cell r="N128">
            <v>0.53355868623351543</v>
          </cell>
          <cell r="O128">
            <v>119</v>
          </cell>
        </row>
        <row r="129">
          <cell r="D129">
            <v>39845</v>
          </cell>
          <cell r="E129">
            <v>3.0910000000000002</v>
          </cell>
          <cell r="F129">
            <v>0.30499999999999999</v>
          </cell>
          <cell r="G129">
            <v>1.2500000000000001E-2</v>
          </cell>
          <cell r="H129">
            <v>1.1000000000000001</v>
          </cell>
          <cell r="I129">
            <v>1.1499999999999999</v>
          </cell>
          <cell r="J129">
            <v>0.38</v>
          </cell>
          <cell r="K129">
            <v>-5.0000000000000001E-3</v>
          </cell>
          <cell r="L129">
            <v>0.158</v>
          </cell>
          <cell r="M129">
            <v>6.8063018070275011E-2</v>
          </cell>
          <cell r="N129">
            <v>0.53035249041771582</v>
          </cell>
          <cell r="O129">
            <v>120</v>
          </cell>
        </row>
        <row r="130">
          <cell r="D130">
            <v>39873</v>
          </cell>
          <cell r="E130">
            <v>2.9860000000000002</v>
          </cell>
          <cell r="F130">
            <v>0.30249999999999999</v>
          </cell>
          <cell r="G130">
            <v>1.2500000000000001E-2</v>
          </cell>
          <cell r="H130">
            <v>0.75</v>
          </cell>
          <cell r="I130">
            <v>0.85</v>
          </cell>
          <cell r="J130">
            <v>0.3775</v>
          </cell>
          <cell r="K130">
            <v>-5.0000000000000001E-3</v>
          </cell>
          <cell r="L130">
            <v>0.158</v>
          </cell>
          <cell r="M130">
            <v>6.8097487641785012E-2</v>
          </cell>
          <cell r="N130">
            <v>0.52747029723992611</v>
          </cell>
          <cell r="O130">
            <v>121</v>
          </cell>
        </row>
        <row r="131">
          <cell r="D131">
            <v>39904</v>
          </cell>
          <cell r="E131">
            <v>2.8820000000000001</v>
          </cell>
          <cell r="F131">
            <v>0.1875</v>
          </cell>
          <cell r="G131">
            <v>0</v>
          </cell>
          <cell r="H131">
            <v>0.45</v>
          </cell>
          <cell r="I131">
            <v>0.45</v>
          </cell>
          <cell r="J131">
            <v>0.26250000000000001</v>
          </cell>
          <cell r="K131">
            <v>-7.4999999999999997E-3</v>
          </cell>
          <cell r="L131">
            <v>0.158</v>
          </cell>
          <cell r="M131">
            <v>6.8135650382130028E-2</v>
          </cell>
          <cell r="N131">
            <v>0.52429444216954291</v>
          </cell>
          <cell r="O131">
            <v>122</v>
          </cell>
        </row>
        <row r="132">
          <cell r="D132">
            <v>39934</v>
          </cell>
          <cell r="E132">
            <v>2.8560000000000003</v>
          </cell>
          <cell r="F132">
            <v>0.17749999999999999</v>
          </cell>
          <cell r="G132">
            <v>0</v>
          </cell>
          <cell r="H132">
            <v>0.5</v>
          </cell>
          <cell r="I132">
            <v>0.45</v>
          </cell>
          <cell r="J132">
            <v>0.2525</v>
          </cell>
          <cell r="K132">
            <v>-7.4999999999999997E-3</v>
          </cell>
          <cell r="L132">
            <v>0.158</v>
          </cell>
          <cell r="M132">
            <v>6.8172582066793011E-2</v>
          </cell>
          <cell r="N132">
            <v>0.52123613571004879</v>
          </cell>
          <cell r="O132">
            <v>123</v>
          </cell>
        </row>
        <row r="133">
          <cell r="D133">
            <v>39965</v>
          </cell>
          <cell r="E133">
            <v>2.8590000000000004</v>
          </cell>
          <cell r="F133">
            <v>0.17249999999999999</v>
          </cell>
          <cell r="G133">
            <v>0</v>
          </cell>
          <cell r="H133">
            <v>0.5</v>
          </cell>
          <cell r="I133">
            <v>0.45</v>
          </cell>
          <cell r="J133">
            <v>0.2475</v>
          </cell>
          <cell r="K133">
            <v>-7.4999999999999997E-3</v>
          </cell>
          <cell r="L133">
            <v>0.158</v>
          </cell>
          <cell r="M133">
            <v>6.8210744808086018E-2</v>
          </cell>
          <cell r="N133">
            <v>0.51809143618992881</v>
          </cell>
          <cell r="O133">
            <v>124</v>
          </cell>
        </row>
        <row r="134">
          <cell r="D134">
            <v>39995</v>
          </cell>
          <cell r="E134">
            <v>2.8603000000000005</v>
          </cell>
          <cell r="F134">
            <v>0.16250000000000001</v>
          </cell>
          <cell r="G134">
            <v>0</v>
          </cell>
          <cell r="H134">
            <v>0.55000000000000004</v>
          </cell>
          <cell r="I134">
            <v>0.5</v>
          </cell>
          <cell r="J134">
            <v>0.23749999999999999</v>
          </cell>
          <cell r="K134">
            <v>-7.4999999999999997E-3</v>
          </cell>
          <cell r="L134">
            <v>0.158</v>
          </cell>
          <cell r="M134">
            <v>6.8247676493668002E-2</v>
          </cell>
          <cell r="N134">
            <v>0.51506317524676237</v>
          </cell>
          <cell r="O134">
            <v>125</v>
          </cell>
        </row>
        <row r="135">
          <cell r="D135">
            <v>40026</v>
          </cell>
          <cell r="E135">
            <v>2.8569999999999998</v>
          </cell>
          <cell r="F135">
            <v>0.16</v>
          </cell>
          <cell r="G135">
            <v>0</v>
          </cell>
          <cell r="H135">
            <v>0.6</v>
          </cell>
          <cell r="I135">
            <v>0.55000000000000004</v>
          </cell>
          <cell r="J135">
            <v>0.23499999999999999</v>
          </cell>
          <cell r="K135">
            <v>-7.4999999999999997E-3</v>
          </cell>
          <cell r="L135">
            <v>0.158</v>
          </cell>
          <cell r="M135">
            <v>6.8284709041466024E-2</v>
          </cell>
          <cell r="N135">
            <v>0.51195499326457483</v>
          </cell>
          <cell r="O135">
            <v>126</v>
          </cell>
        </row>
        <row r="136">
          <cell r="D136">
            <v>40057</v>
          </cell>
          <cell r="E136">
            <v>2.8680000000000003</v>
          </cell>
          <cell r="F136">
            <v>0.1575</v>
          </cell>
          <cell r="G136">
            <v>0</v>
          </cell>
          <cell r="H136">
            <v>0.6</v>
          </cell>
          <cell r="I136">
            <v>0.55000000000000004</v>
          </cell>
          <cell r="J136">
            <v>0.23250000000000001</v>
          </cell>
          <cell r="K136">
            <v>-7.4999999999999997E-3</v>
          </cell>
          <cell r="L136">
            <v>0.158</v>
          </cell>
          <cell r="M136">
            <v>6.8305353770140007E-2</v>
          </cell>
          <cell r="N136">
            <v>0.50894357407371504</v>
          </cell>
          <cell r="O136">
            <v>127</v>
          </cell>
        </row>
        <row r="137">
          <cell r="D137">
            <v>40087</v>
          </cell>
          <cell r="E137">
            <v>2.9</v>
          </cell>
          <cell r="F137">
            <v>0.17249999999999999</v>
          </cell>
          <cell r="G137">
            <v>0</v>
          </cell>
          <cell r="H137">
            <v>0.65</v>
          </cell>
          <cell r="I137">
            <v>0.6</v>
          </cell>
          <cell r="J137">
            <v>0.2475</v>
          </cell>
          <cell r="K137">
            <v>-7.4999999999999997E-3</v>
          </cell>
          <cell r="L137">
            <v>0.158</v>
          </cell>
          <cell r="M137">
            <v>6.8325332539959038E-2</v>
          </cell>
          <cell r="N137">
            <v>0.50604453259954119</v>
          </cell>
          <cell r="O137">
            <v>128</v>
          </cell>
        </row>
        <row r="138">
          <cell r="D138">
            <v>40118</v>
          </cell>
          <cell r="E138">
            <v>3.0310000000000001</v>
          </cell>
          <cell r="F138">
            <v>0.26500000000000001</v>
          </cell>
          <cell r="G138">
            <v>1.2500000000000001E-2</v>
          </cell>
          <cell r="H138">
            <v>0.8</v>
          </cell>
          <cell r="I138">
            <v>0.9</v>
          </cell>
          <cell r="J138">
            <v>0.34</v>
          </cell>
          <cell r="K138">
            <v>-5.0000000000000001E-3</v>
          </cell>
          <cell r="L138">
            <v>0.158</v>
          </cell>
          <cell r="M138">
            <v>6.8345977268910008E-2</v>
          </cell>
          <cell r="N138">
            <v>0.50306452746420649</v>
          </cell>
          <cell r="O138">
            <v>129</v>
          </cell>
        </row>
        <row r="139">
          <cell r="D139">
            <v>40148</v>
          </cell>
          <cell r="E139">
            <v>3.1680000000000001</v>
          </cell>
          <cell r="F139">
            <v>0.30499999999999999</v>
          </cell>
          <cell r="G139">
            <v>1.2500000000000001E-2</v>
          </cell>
          <cell r="H139">
            <v>1.1000000000000001</v>
          </cell>
          <cell r="I139">
            <v>1.1499999999999999</v>
          </cell>
          <cell r="J139">
            <v>0.38</v>
          </cell>
          <cell r="K139">
            <v>-5.0000000000000001E-3</v>
          </cell>
          <cell r="L139">
            <v>0.158</v>
          </cell>
          <cell r="M139">
            <v>6.8365956039000017E-2</v>
          </cell>
          <cell r="N139">
            <v>0.5001957484455285</v>
          </cell>
          <cell r="O139">
            <v>130</v>
          </cell>
        </row>
        <row r="140">
          <cell r="D140">
            <v>40179</v>
          </cell>
          <cell r="E140">
            <v>3.2805</v>
          </cell>
          <cell r="F140">
            <v>0.32200000000000001</v>
          </cell>
          <cell r="G140">
            <v>1.2500000000000001E-2</v>
          </cell>
          <cell r="H140">
            <v>1.1000000000000001</v>
          </cell>
          <cell r="I140">
            <v>1.1499999999999999</v>
          </cell>
          <cell r="J140">
            <v>0.39700000000000002</v>
          </cell>
          <cell r="K140">
            <v>-5.0000000000000001E-3</v>
          </cell>
          <cell r="L140">
            <v>0.157</v>
          </cell>
          <cell r="M140">
            <v>6.8386600768227016E-2</v>
          </cell>
          <cell r="N140">
            <v>0.49724687218574765</v>
          </cell>
          <cell r="O140">
            <v>131</v>
          </cell>
        </row>
        <row r="141">
          <cell r="D141">
            <v>40210</v>
          </cell>
          <cell r="E141">
            <v>3.1885000000000003</v>
          </cell>
          <cell r="F141">
            <v>0.3</v>
          </cell>
          <cell r="G141">
            <v>1.2500000000000001E-2</v>
          </cell>
          <cell r="H141">
            <v>1.1000000000000001</v>
          </cell>
          <cell r="I141">
            <v>1.1499999999999999</v>
          </cell>
          <cell r="J141">
            <v>0.375</v>
          </cell>
          <cell r="K141">
            <v>-5.0000000000000001E-3</v>
          </cell>
          <cell r="L141">
            <v>0.157</v>
          </cell>
          <cell r="M141">
            <v>6.8407245497596997E-2</v>
          </cell>
          <cell r="N141">
            <v>0.49431370689440085</v>
          </cell>
          <cell r="O141">
            <v>132</v>
          </cell>
        </row>
        <row r="142">
          <cell r="D142">
            <v>40238</v>
          </cell>
          <cell r="E142">
            <v>3.0835000000000004</v>
          </cell>
          <cell r="F142">
            <v>0.29799999999999999</v>
          </cell>
          <cell r="G142">
            <v>1.2500000000000001E-2</v>
          </cell>
          <cell r="H142">
            <v>0.75</v>
          </cell>
          <cell r="I142">
            <v>0.85</v>
          </cell>
          <cell r="J142">
            <v>0.37300000000000005</v>
          </cell>
          <cell r="K142">
            <v>-5.0000000000000001E-3</v>
          </cell>
          <cell r="L142">
            <v>0.157</v>
          </cell>
          <cell r="M142">
            <v>6.8425892350052003E-2</v>
          </cell>
          <cell r="N142">
            <v>0.49167783962466083</v>
          </cell>
          <cell r="O142">
            <v>133</v>
          </cell>
        </row>
        <row r="143">
          <cell r="D143">
            <v>40269</v>
          </cell>
          <cell r="E143">
            <v>2.9794999999999998</v>
          </cell>
          <cell r="F143">
            <v>0.18300000000000002</v>
          </cell>
          <cell r="G143">
            <v>0</v>
          </cell>
          <cell r="H143">
            <v>0.45</v>
          </cell>
          <cell r="I143">
            <v>0.45</v>
          </cell>
          <cell r="J143">
            <v>0.25800000000000001</v>
          </cell>
          <cell r="K143">
            <v>-7.4999999999999997E-3</v>
          </cell>
          <cell r="L143">
            <v>0.157</v>
          </cell>
          <cell r="M143">
            <v>6.8446537079691033E-2</v>
          </cell>
          <cell r="N143">
            <v>0.4887743748303664</v>
          </cell>
          <cell r="O143">
            <v>134</v>
          </cell>
        </row>
        <row r="144">
          <cell r="D144">
            <v>40299</v>
          </cell>
          <cell r="E144">
            <v>2.9535000000000005</v>
          </cell>
          <cell r="F144">
            <v>0.17300000000000001</v>
          </cell>
          <cell r="G144">
            <v>0</v>
          </cell>
          <cell r="H144">
            <v>0.5</v>
          </cell>
          <cell r="I144">
            <v>0.45</v>
          </cell>
          <cell r="J144">
            <v>0.24800000000000003</v>
          </cell>
          <cell r="K144">
            <v>-7.4999999999999997E-3</v>
          </cell>
          <cell r="L144">
            <v>0.157</v>
          </cell>
          <cell r="M144">
            <v>6.8466515850443013E-2</v>
          </cell>
          <cell r="N144">
            <v>0.48597932921708686</v>
          </cell>
          <cell r="O144">
            <v>135</v>
          </cell>
        </row>
        <row r="145">
          <cell r="D145">
            <v>40330</v>
          </cell>
          <cell r="E145">
            <v>2.9565000000000006</v>
          </cell>
          <cell r="F145">
            <v>0.16700000000000001</v>
          </cell>
          <cell r="G145">
            <v>0</v>
          </cell>
          <cell r="H145">
            <v>0.5</v>
          </cell>
          <cell r="I145">
            <v>0.45</v>
          </cell>
          <cell r="J145">
            <v>0.24199999999999999</v>
          </cell>
          <cell r="K145">
            <v>-7.4999999999999997E-3</v>
          </cell>
          <cell r="L145">
            <v>0.157</v>
          </cell>
          <cell r="M145">
            <v>6.8487160580360015E-2</v>
          </cell>
          <cell r="N145">
            <v>0.48310629627214308</v>
          </cell>
          <cell r="O145">
            <v>136</v>
          </cell>
        </row>
        <row r="146">
          <cell r="D146">
            <v>40360</v>
          </cell>
          <cell r="E146">
            <v>2.9577</v>
          </cell>
          <cell r="F146">
            <v>0.157</v>
          </cell>
          <cell r="G146">
            <v>0</v>
          </cell>
          <cell r="H146">
            <v>0.55000000000000004</v>
          </cell>
          <cell r="I146">
            <v>0.5</v>
          </cell>
          <cell r="J146">
            <v>0.23199999999999998</v>
          </cell>
          <cell r="K146">
            <v>-7.4999999999999997E-3</v>
          </cell>
          <cell r="L146">
            <v>0.157</v>
          </cell>
          <cell r="M146">
            <v>6.8507139351381002E-2</v>
          </cell>
          <cell r="N146">
            <v>0.4803405660683473</v>
          </cell>
          <cell r="O146">
            <v>137</v>
          </cell>
        </row>
        <row r="147">
          <cell r="D147">
            <v>40391</v>
          </cell>
          <cell r="E147">
            <v>2.9544999999999999</v>
          </cell>
          <cell r="F147">
            <v>0.155</v>
          </cell>
          <cell r="G147">
            <v>0</v>
          </cell>
          <cell r="H147">
            <v>0.6</v>
          </cell>
          <cell r="I147">
            <v>0.55000000000000004</v>
          </cell>
          <cell r="J147">
            <v>0.23</v>
          </cell>
          <cell r="K147">
            <v>-7.4999999999999997E-3</v>
          </cell>
          <cell r="L147">
            <v>0.157</v>
          </cell>
          <cell r="M147">
            <v>6.8527784081574006E-2</v>
          </cell>
          <cell r="N147">
            <v>0.4774976869686467</v>
          </cell>
          <cell r="O147">
            <v>138</v>
          </cell>
        </row>
        <row r="148">
          <cell r="D148">
            <v>40422</v>
          </cell>
          <cell r="E148">
            <v>2.9655</v>
          </cell>
          <cell r="F148">
            <v>0.153</v>
          </cell>
          <cell r="G148">
            <v>0</v>
          </cell>
          <cell r="H148">
            <v>0.6</v>
          </cell>
          <cell r="I148">
            <v>0.55000000000000004</v>
          </cell>
          <cell r="J148">
            <v>0.22800000000000001</v>
          </cell>
          <cell r="K148">
            <v>-7.4999999999999997E-3</v>
          </cell>
          <cell r="L148">
            <v>0.157</v>
          </cell>
          <cell r="M148">
            <v>6.8548428811907994E-2</v>
          </cell>
          <cell r="N148">
            <v>0.47467002606993208</v>
          </cell>
          <cell r="O148">
            <v>139</v>
          </cell>
        </row>
        <row r="149">
          <cell r="D149">
            <v>40452</v>
          </cell>
          <cell r="E149">
            <v>2.9975000000000001</v>
          </cell>
          <cell r="F149">
            <v>0.16700000000000001</v>
          </cell>
          <cell r="G149">
            <v>0</v>
          </cell>
          <cell r="H149">
            <v>0.65</v>
          </cell>
          <cell r="I149">
            <v>0.6</v>
          </cell>
          <cell r="J149">
            <v>0.24199999999999999</v>
          </cell>
          <cell r="K149">
            <v>-7.4999999999999997E-3</v>
          </cell>
          <cell r="L149">
            <v>0.157</v>
          </cell>
          <cell r="M149">
            <v>6.8568407583335017E-2</v>
          </cell>
          <cell r="N149">
            <v>0.47194800291382355</v>
          </cell>
          <cell r="O149">
            <v>140</v>
          </cell>
        </row>
        <row r="150">
          <cell r="D150">
            <v>40483</v>
          </cell>
          <cell r="E150">
            <v>3.1285000000000003</v>
          </cell>
          <cell r="F150">
            <v>0.26</v>
          </cell>
          <cell r="G150">
            <v>1.2500000000000001E-2</v>
          </cell>
          <cell r="H150">
            <v>0.8</v>
          </cell>
          <cell r="I150">
            <v>0.9</v>
          </cell>
          <cell r="J150">
            <v>0.31</v>
          </cell>
          <cell r="K150">
            <v>-5.0000000000000001E-3</v>
          </cell>
          <cell r="L150">
            <v>0.157</v>
          </cell>
          <cell r="M150">
            <v>6.8589052313947005E-2</v>
          </cell>
          <cell r="N150">
            <v>0.46915008043874495</v>
          </cell>
          <cell r="O150">
            <v>141</v>
          </cell>
        </row>
        <row r="151">
          <cell r="D151">
            <v>40513</v>
          </cell>
          <cell r="E151">
            <v>3.2655000000000003</v>
          </cell>
          <cell r="F151">
            <v>0.3</v>
          </cell>
          <cell r="G151">
            <v>1.2500000000000001E-2</v>
          </cell>
          <cell r="H151">
            <v>1.1000000000000001</v>
          </cell>
          <cell r="I151">
            <v>1.1499999999999999</v>
          </cell>
          <cell r="J151">
            <v>0.35</v>
          </cell>
          <cell r="K151">
            <v>-5.0000000000000001E-3</v>
          </cell>
          <cell r="L151">
            <v>0.157</v>
          </cell>
          <cell r="M151">
            <v>6.8609031085641009E-2</v>
          </cell>
          <cell r="N151">
            <v>0.46645670411013646</v>
          </cell>
          <cell r="O151">
            <v>142</v>
          </cell>
        </row>
        <row r="152">
          <cell r="D152">
            <v>40544</v>
          </cell>
          <cell r="E152">
            <v>3.3855000000000004</v>
          </cell>
          <cell r="F152">
            <v>0.317</v>
          </cell>
          <cell r="G152">
            <v>1.2500000000000001E-2</v>
          </cell>
          <cell r="H152">
            <v>1.1000000000000001</v>
          </cell>
          <cell r="I152">
            <v>1.1499999999999999</v>
          </cell>
          <cell r="J152">
            <v>0.36700000000000005</v>
          </cell>
          <cell r="K152">
            <v>-5.0000000000000001E-3</v>
          </cell>
          <cell r="L152">
            <v>0.156</v>
          </cell>
          <cell r="M152">
            <v>6.8629675816531011E-2</v>
          </cell>
          <cell r="N152">
            <v>0.46368824716402646</v>
          </cell>
          <cell r="O152">
            <v>143</v>
          </cell>
        </row>
        <row r="153">
          <cell r="D153">
            <v>40575</v>
          </cell>
          <cell r="E153">
            <v>3.2935000000000003</v>
          </cell>
          <cell r="F153">
            <v>0.29499999999999998</v>
          </cell>
          <cell r="G153">
            <v>1.2500000000000001E-2</v>
          </cell>
          <cell r="H153">
            <v>1.1000000000000001</v>
          </cell>
          <cell r="I153">
            <v>1.1499999999999999</v>
          </cell>
          <cell r="J153">
            <v>0.34499999999999997</v>
          </cell>
          <cell r="K153">
            <v>-5.0000000000000001E-3</v>
          </cell>
          <cell r="L153">
            <v>0.156</v>
          </cell>
          <cell r="M153">
            <v>6.8650320547562024E-2</v>
          </cell>
          <cell r="N153">
            <v>0.46093466056945964</v>
          </cell>
          <cell r="O153">
            <v>144</v>
          </cell>
        </row>
        <row r="154">
          <cell r="D154">
            <v>40603</v>
          </cell>
          <cell r="E154">
            <v>3.1885000000000003</v>
          </cell>
          <cell r="F154">
            <v>0.29300000000000004</v>
          </cell>
          <cell r="G154">
            <v>1.2500000000000001E-2</v>
          </cell>
          <cell r="H154">
            <v>0.75</v>
          </cell>
          <cell r="I154">
            <v>0.85</v>
          </cell>
          <cell r="J154">
            <v>0.34300000000000003</v>
          </cell>
          <cell r="K154">
            <v>-5.0000000000000001E-3</v>
          </cell>
          <cell r="L154">
            <v>0.156</v>
          </cell>
          <cell r="M154">
            <v>6.8668967401517025E-2</v>
          </cell>
          <cell r="N154">
            <v>0.45846027350614527</v>
          </cell>
          <cell r="O154">
            <v>145</v>
          </cell>
        </row>
        <row r="155">
          <cell r="D155">
            <v>40634</v>
          </cell>
          <cell r="E155">
            <v>3.0844999999999998</v>
          </cell>
          <cell r="F155">
            <v>0.17800000000000002</v>
          </cell>
          <cell r="G155">
            <v>0</v>
          </cell>
          <cell r="H155">
            <v>0.45</v>
          </cell>
          <cell r="I155">
            <v>0.45</v>
          </cell>
          <cell r="J155">
            <v>0.22800000000000001</v>
          </cell>
          <cell r="K155">
            <v>-7.4999999999999997E-3</v>
          </cell>
          <cell r="L155">
            <v>0.156</v>
          </cell>
          <cell r="M155">
            <v>6.8689612132816033E-2</v>
          </cell>
          <cell r="N155">
            <v>0.45573479622496771</v>
          </cell>
          <cell r="O155">
            <v>146</v>
          </cell>
        </row>
        <row r="156">
          <cell r="D156">
            <v>40664</v>
          </cell>
          <cell r="E156">
            <v>3.0585000000000004</v>
          </cell>
          <cell r="F156">
            <v>0.16800000000000001</v>
          </cell>
          <cell r="G156">
            <v>0</v>
          </cell>
          <cell r="H156">
            <v>0.5</v>
          </cell>
          <cell r="I156">
            <v>0.45</v>
          </cell>
          <cell r="J156">
            <v>0.218</v>
          </cell>
          <cell r="K156">
            <v>-7.4999999999999997E-3</v>
          </cell>
          <cell r="L156">
            <v>0.156</v>
          </cell>
          <cell r="M156">
            <v>6.8709590905175005E-2</v>
          </cell>
          <cell r="N156">
            <v>0.4531112048725473</v>
          </cell>
          <cell r="O156">
            <v>147</v>
          </cell>
        </row>
        <row r="157">
          <cell r="D157">
            <v>40695</v>
          </cell>
          <cell r="E157">
            <v>3.0615000000000006</v>
          </cell>
          <cell r="F157">
            <v>0.16200000000000001</v>
          </cell>
          <cell r="G157">
            <v>0</v>
          </cell>
          <cell r="H157">
            <v>0.5</v>
          </cell>
          <cell r="I157">
            <v>0.45</v>
          </cell>
          <cell r="J157">
            <v>0.21199999999999999</v>
          </cell>
          <cell r="K157">
            <v>-7.4999999999999997E-3</v>
          </cell>
          <cell r="L157">
            <v>0.156</v>
          </cell>
          <cell r="M157">
            <v>6.8730235636751014E-2</v>
          </cell>
          <cell r="N157">
            <v>0.4504145262668664</v>
          </cell>
          <cell r="O157">
            <v>148</v>
          </cell>
        </row>
        <row r="158">
          <cell r="D158">
            <v>40725</v>
          </cell>
          <cell r="E158">
            <v>3.0627</v>
          </cell>
          <cell r="F158">
            <v>0.15200000000000002</v>
          </cell>
          <cell r="G158">
            <v>0</v>
          </cell>
          <cell r="H158">
            <v>0.55000000000000004</v>
          </cell>
          <cell r="I158">
            <v>0.5</v>
          </cell>
          <cell r="J158">
            <v>0.20199999999999999</v>
          </cell>
          <cell r="K158">
            <v>-7.4999999999999997E-3</v>
          </cell>
          <cell r="L158">
            <v>0.156</v>
          </cell>
          <cell r="M158">
            <v>6.8750214409378993E-2</v>
          </cell>
          <cell r="N158">
            <v>0.44781867569097322</v>
          </cell>
          <cell r="O158">
            <v>149</v>
          </cell>
        </row>
        <row r="159">
          <cell r="D159">
            <v>40756</v>
          </cell>
          <cell r="E159">
            <v>3.0594999999999999</v>
          </cell>
          <cell r="F159">
            <v>0.15</v>
          </cell>
          <cell r="G159">
            <v>0</v>
          </cell>
          <cell r="H159">
            <v>0.6</v>
          </cell>
          <cell r="I159">
            <v>0.55000000000000004</v>
          </cell>
          <cell r="J159">
            <v>0.2</v>
          </cell>
          <cell r="K159">
            <v>-7.4999999999999997E-3</v>
          </cell>
          <cell r="L159">
            <v>0.156</v>
          </cell>
          <cell r="M159">
            <v>6.8770859141233001E-2</v>
          </cell>
          <cell r="N159">
            <v>0.44515052984890319</v>
          </cell>
          <cell r="O159">
            <v>150</v>
          </cell>
        </row>
        <row r="160">
          <cell r="D160">
            <v>40787</v>
          </cell>
          <cell r="E160">
            <v>3.0705</v>
          </cell>
          <cell r="F160">
            <v>0.14800000000000002</v>
          </cell>
          <cell r="G160">
            <v>0</v>
          </cell>
          <cell r="H160">
            <v>0.6</v>
          </cell>
          <cell r="I160">
            <v>0.55000000000000004</v>
          </cell>
          <cell r="J160">
            <v>0.19800000000000001</v>
          </cell>
          <cell r="K160">
            <v>-7.4999999999999997E-3</v>
          </cell>
          <cell r="L160">
            <v>0.156</v>
          </cell>
          <cell r="M160">
            <v>6.8791503873228022E-2</v>
          </cell>
          <cell r="N160">
            <v>0.44249678299566597</v>
          </cell>
          <cell r="O160">
            <v>151</v>
          </cell>
        </row>
        <row r="161">
          <cell r="D161">
            <v>40817</v>
          </cell>
          <cell r="E161">
            <v>3.1025</v>
          </cell>
          <cell r="F161">
            <v>0.16200000000000001</v>
          </cell>
          <cell r="G161">
            <v>0</v>
          </cell>
          <cell r="H161">
            <v>0.65</v>
          </cell>
          <cell r="I161">
            <v>0.6</v>
          </cell>
          <cell r="J161">
            <v>0.21199999999999999</v>
          </cell>
          <cell r="K161">
            <v>-7.4999999999999997E-3</v>
          </cell>
          <cell r="L161">
            <v>0.156</v>
          </cell>
          <cell r="M161">
            <v>6.881148264626101E-2</v>
          </cell>
          <cell r="N161">
            <v>0.43994228667652369</v>
          </cell>
          <cell r="O161">
            <v>152</v>
          </cell>
        </row>
        <row r="162">
          <cell r="D162">
            <v>40848</v>
          </cell>
          <cell r="E162">
            <v>3.2335000000000003</v>
          </cell>
          <cell r="F162">
            <v>0.255</v>
          </cell>
          <cell r="G162">
            <v>1.2500000000000001E-2</v>
          </cell>
          <cell r="H162">
            <v>0.8</v>
          </cell>
          <cell r="I162">
            <v>0.9</v>
          </cell>
          <cell r="J162">
            <v>0.30499999999999999</v>
          </cell>
          <cell r="K162">
            <v>-5.0000000000000001E-3</v>
          </cell>
          <cell r="L162">
            <v>0.156</v>
          </cell>
          <cell r="M162">
            <v>6.8832127378533017E-2</v>
          </cell>
          <cell r="N162">
            <v>0.43731667529701879</v>
          </cell>
          <cell r="O162">
            <v>153</v>
          </cell>
        </row>
        <row r="163">
          <cell r="D163">
            <v>40878</v>
          </cell>
          <cell r="E163">
            <v>3.3705000000000003</v>
          </cell>
          <cell r="F163">
            <v>0.29499999999999998</v>
          </cell>
          <cell r="G163">
            <v>1.2500000000000001E-2</v>
          </cell>
          <cell r="H163">
            <v>1.1000000000000001</v>
          </cell>
          <cell r="I163">
            <v>1.1499999999999999</v>
          </cell>
          <cell r="J163">
            <v>0.34499999999999997</v>
          </cell>
          <cell r="K163">
            <v>-5.0000000000000001E-3</v>
          </cell>
          <cell r="L163">
            <v>0.156</v>
          </cell>
          <cell r="M163">
            <v>6.8852106151834014E-2</v>
          </cell>
          <cell r="N163">
            <v>0.43478928035347764</v>
          </cell>
          <cell r="O163">
            <v>154</v>
          </cell>
        </row>
        <row r="164">
          <cell r="D164">
            <v>40909</v>
          </cell>
          <cell r="E164">
            <v>3.4955000000000003</v>
          </cell>
          <cell r="F164">
            <v>0.312</v>
          </cell>
          <cell r="G164">
            <v>1.2500000000000001E-2</v>
          </cell>
          <cell r="H164">
            <v>1.1000000000000001</v>
          </cell>
          <cell r="I164">
            <v>1.1499999999999999</v>
          </cell>
          <cell r="J164">
            <v>0.36200000000000004</v>
          </cell>
          <cell r="K164">
            <v>-5.0000000000000001E-3</v>
          </cell>
          <cell r="L164">
            <v>0.155</v>
          </cell>
          <cell r="M164">
            <v>6.8872750884385006E-2</v>
          </cell>
          <cell r="N164">
            <v>0.43219154350481642</v>
          </cell>
          <cell r="O164">
            <v>155</v>
          </cell>
        </row>
        <row r="165">
          <cell r="D165">
            <v>40940</v>
          </cell>
          <cell r="E165">
            <v>3.4035000000000002</v>
          </cell>
          <cell r="F165">
            <v>0.28999999999999998</v>
          </cell>
          <cell r="G165">
            <v>1.2500000000000001E-2</v>
          </cell>
          <cell r="H165">
            <v>1.1000000000000001</v>
          </cell>
          <cell r="I165">
            <v>1.1499999999999999</v>
          </cell>
          <cell r="J165">
            <v>0.34</v>
          </cell>
          <cell r="K165">
            <v>-5.0000000000000001E-3</v>
          </cell>
          <cell r="L165">
            <v>0.155</v>
          </cell>
          <cell r="M165">
            <v>6.8893395617076011E-2</v>
          </cell>
          <cell r="N165">
            <v>0.42960787302995074</v>
          </cell>
          <cell r="O165">
            <v>156</v>
          </cell>
        </row>
        <row r="166">
          <cell r="D166">
            <v>40969</v>
          </cell>
          <cell r="E166">
            <v>3.2985000000000002</v>
          </cell>
          <cell r="F166">
            <v>0.28800000000000003</v>
          </cell>
          <cell r="G166">
            <v>1.2500000000000001E-2</v>
          </cell>
          <cell r="H166">
            <v>0.75</v>
          </cell>
          <cell r="I166">
            <v>0.85</v>
          </cell>
          <cell r="J166">
            <v>0.33799999999999997</v>
          </cell>
          <cell r="K166">
            <v>-5.0000000000000001E-3</v>
          </cell>
          <cell r="L166">
            <v>0.155</v>
          </cell>
          <cell r="M166">
            <v>6.8912708431656006E-2</v>
          </cell>
          <cell r="N166">
            <v>0.42720356633407214</v>
          </cell>
          <cell r="O166">
            <v>157</v>
          </cell>
        </row>
        <row r="167">
          <cell r="D167">
            <v>41000</v>
          </cell>
          <cell r="E167">
            <v>3.1945000000000001</v>
          </cell>
          <cell r="F167">
            <v>0.17300000000000001</v>
          </cell>
          <cell r="G167">
            <v>0</v>
          </cell>
          <cell r="H167">
            <v>0.45</v>
          </cell>
          <cell r="I167">
            <v>0.45</v>
          </cell>
          <cell r="J167">
            <v>0.223</v>
          </cell>
          <cell r="K167">
            <v>-7.4999999999999997E-3</v>
          </cell>
          <cell r="L167">
            <v>0.155</v>
          </cell>
          <cell r="M167">
            <v>6.8933353164620001E-2</v>
          </cell>
          <cell r="N167">
            <v>0.42464693205047477</v>
          </cell>
          <cell r="O167">
            <v>158</v>
          </cell>
        </row>
        <row r="168">
          <cell r="D168">
            <v>41030</v>
          </cell>
          <cell r="E168">
            <v>3.1685000000000003</v>
          </cell>
          <cell r="F168">
            <v>0.16300000000000001</v>
          </cell>
          <cell r="G168">
            <v>0</v>
          </cell>
          <cell r="H168">
            <v>0.5</v>
          </cell>
          <cell r="I168">
            <v>0.45</v>
          </cell>
          <cell r="J168">
            <v>0.21300000000000002</v>
          </cell>
          <cell r="K168">
            <v>-7.4999999999999997E-3</v>
          </cell>
          <cell r="L168">
            <v>0.155</v>
          </cell>
          <cell r="M168">
            <v>6.8953331938590004E-2</v>
          </cell>
          <cell r="N168">
            <v>0.42218597804720204</v>
          </cell>
          <cell r="O168">
            <v>159</v>
          </cell>
        </row>
        <row r="169">
          <cell r="D169">
            <v>41061</v>
          </cell>
          <cell r="E169">
            <v>3.1715000000000004</v>
          </cell>
          <cell r="F169">
            <v>0.157</v>
          </cell>
          <cell r="G169">
            <v>0</v>
          </cell>
          <cell r="H169">
            <v>0.5</v>
          </cell>
          <cell r="I169">
            <v>0.45</v>
          </cell>
          <cell r="J169">
            <v>0.20699999999999999</v>
          </cell>
          <cell r="K169">
            <v>-7.4999999999999997E-3</v>
          </cell>
          <cell r="L169">
            <v>0.155</v>
          </cell>
          <cell r="M169">
            <v>6.8973976671831028E-2</v>
          </cell>
          <cell r="N169">
            <v>0.41965657660230071</v>
          </cell>
          <cell r="O169">
            <v>160</v>
          </cell>
        </row>
        <row r="170">
          <cell r="D170">
            <v>41091</v>
          </cell>
          <cell r="E170">
            <v>3.1728000000000005</v>
          </cell>
          <cell r="F170">
            <v>0.14700000000000002</v>
          </cell>
          <cell r="G170">
            <v>0</v>
          </cell>
          <cell r="H170">
            <v>0.55000000000000004</v>
          </cell>
          <cell r="I170">
            <v>0.5</v>
          </cell>
          <cell r="J170">
            <v>0.19700000000000001</v>
          </cell>
          <cell r="K170">
            <v>-7.4999999999999997E-3</v>
          </cell>
          <cell r="L170">
            <v>0.155</v>
          </cell>
          <cell r="M170">
            <v>6.899395544607001E-2</v>
          </cell>
          <cell r="N170">
            <v>0.4172218537601905</v>
          </cell>
          <cell r="O170">
            <v>161</v>
          </cell>
        </row>
        <row r="171">
          <cell r="D171">
            <v>41122</v>
          </cell>
          <cell r="E171">
            <v>3.1694999999999998</v>
          </cell>
          <cell r="F171">
            <v>0.14499999999999999</v>
          </cell>
          <cell r="G171">
            <v>0</v>
          </cell>
          <cell r="H171">
            <v>0.6</v>
          </cell>
          <cell r="I171">
            <v>0.55000000000000004</v>
          </cell>
          <cell r="J171">
            <v>0.19500000000000001</v>
          </cell>
          <cell r="K171">
            <v>-7.4999999999999997E-3</v>
          </cell>
          <cell r="L171">
            <v>0.155</v>
          </cell>
          <cell r="M171">
            <v>6.9014600179589006E-2</v>
          </cell>
          <cell r="N171">
            <v>0.41471943102969228</v>
          </cell>
          <cell r="O171">
            <v>162</v>
          </cell>
        </row>
        <row r="172">
          <cell r="D172">
            <v>41153</v>
          </cell>
          <cell r="E172">
            <v>3.1805000000000003</v>
          </cell>
          <cell r="F172">
            <v>0.14300000000000002</v>
          </cell>
          <cell r="G172">
            <v>0</v>
          </cell>
          <cell r="H172">
            <v>0.6</v>
          </cell>
          <cell r="I172">
            <v>0.55000000000000004</v>
          </cell>
          <cell r="J172">
            <v>0.193</v>
          </cell>
          <cell r="K172">
            <v>-7.4999999999999997E-3</v>
          </cell>
          <cell r="L172">
            <v>0.155</v>
          </cell>
          <cell r="M172">
            <v>6.9035244913249014E-2</v>
          </cell>
          <cell r="N172">
            <v>0.4122306220244758</v>
          </cell>
          <cell r="O172">
            <v>163</v>
          </cell>
        </row>
        <row r="173">
          <cell r="D173">
            <v>41183</v>
          </cell>
          <cell r="E173">
            <v>3.2124999999999999</v>
          </cell>
          <cell r="F173">
            <v>0.157</v>
          </cell>
          <cell r="G173">
            <v>0</v>
          </cell>
          <cell r="H173">
            <v>0.65</v>
          </cell>
          <cell r="I173">
            <v>0.6</v>
          </cell>
          <cell r="J173">
            <v>0.20699999999999999</v>
          </cell>
          <cell r="K173">
            <v>-7.4999999999999997E-3</v>
          </cell>
          <cell r="L173">
            <v>0.155</v>
          </cell>
          <cell r="M173">
            <v>6.9055223687893005E-2</v>
          </cell>
          <cell r="N173">
            <v>0.4098349981487564</v>
          </cell>
          <cell r="O173">
            <v>164</v>
          </cell>
        </row>
        <row r="174">
          <cell r="D174">
            <v>41214</v>
          </cell>
          <cell r="E174">
            <v>3.3435000000000001</v>
          </cell>
          <cell r="F174">
            <v>0.25</v>
          </cell>
          <cell r="G174">
            <v>1.2500000000000001E-2</v>
          </cell>
          <cell r="H174">
            <v>0.8</v>
          </cell>
          <cell r="I174">
            <v>0.9</v>
          </cell>
          <cell r="J174">
            <v>0.3</v>
          </cell>
          <cell r="K174">
            <v>-5.0000000000000001E-3</v>
          </cell>
          <cell r="L174">
            <v>0.155</v>
          </cell>
          <cell r="M174">
            <v>6.907586842183E-2</v>
          </cell>
          <cell r="N174">
            <v>0.40737278823860867</v>
          </cell>
          <cell r="O174">
            <v>165</v>
          </cell>
        </row>
        <row r="175">
          <cell r="D175">
            <v>41244</v>
          </cell>
          <cell r="E175">
            <v>3.4805000000000001</v>
          </cell>
          <cell r="F175">
            <v>0.28999999999999998</v>
          </cell>
          <cell r="G175">
            <v>1.2500000000000001E-2</v>
          </cell>
          <cell r="H175">
            <v>1.1000000000000001</v>
          </cell>
          <cell r="I175">
            <v>1.1499999999999999</v>
          </cell>
          <cell r="J175">
            <v>0.34</v>
          </cell>
          <cell r="K175">
            <v>-5.0000000000000001E-3</v>
          </cell>
          <cell r="L175">
            <v>0.155</v>
          </cell>
          <cell r="M175">
            <v>6.9095847196742013E-2</v>
          </cell>
          <cell r="N175">
            <v>0.40500278456201205</v>
          </cell>
          <cell r="O175">
            <v>166</v>
          </cell>
        </row>
        <row r="176">
          <cell r="D176">
            <v>41275</v>
          </cell>
          <cell r="E176">
            <v>3.6105</v>
          </cell>
          <cell r="F176">
            <v>0.307</v>
          </cell>
          <cell r="G176">
            <v>1.2500000000000001E-2</v>
          </cell>
          <cell r="H176">
            <v>1.1000000000000001</v>
          </cell>
          <cell r="I176">
            <v>1.1499999999999999</v>
          </cell>
          <cell r="J176">
            <v>0.35700000000000004</v>
          </cell>
          <cell r="K176">
            <v>-5.0000000000000001E-3</v>
          </cell>
          <cell r="L176">
            <v>0.154</v>
          </cell>
          <cell r="M176">
            <v>6.9116491930956023E-2</v>
          </cell>
          <cell r="N176">
            <v>0.40256692444899594</v>
          </cell>
          <cell r="O176">
            <v>167</v>
          </cell>
        </row>
        <row r="177">
          <cell r="D177">
            <v>41306</v>
          </cell>
          <cell r="E177">
            <v>3.5185000000000004</v>
          </cell>
          <cell r="F177">
            <v>0.28499999999999998</v>
          </cell>
          <cell r="G177">
            <v>1.2500000000000001E-2</v>
          </cell>
          <cell r="H177">
            <v>1.1000000000000001</v>
          </cell>
          <cell r="I177">
            <v>1.1499999999999999</v>
          </cell>
          <cell r="J177">
            <v>0.33500000000000002</v>
          </cell>
          <cell r="K177">
            <v>-5.0000000000000001E-3</v>
          </cell>
          <cell r="L177">
            <v>0.154</v>
          </cell>
          <cell r="M177">
            <v>6.9137136665312002E-2</v>
          </cell>
          <cell r="N177">
            <v>0.40014436028951084</v>
          </cell>
          <cell r="O177">
            <v>168</v>
          </cell>
        </row>
        <row r="178">
          <cell r="D178">
            <v>41334</v>
          </cell>
          <cell r="E178">
            <v>3.4135000000000004</v>
          </cell>
          <cell r="F178">
            <v>0.28300000000000003</v>
          </cell>
          <cell r="G178">
            <v>1.2500000000000001E-2</v>
          </cell>
          <cell r="H178">
            <v>0.75</v>
          </cell>
          <cell r="I178">
            <v>0.85</v>
          </cell>
          <cell r="J178">
            <v>0.33299999999999996</v>
          </cell>
          <cell r="K178">
            <v>-5.0000000000000001E-3</v>
          </cell>
          <cell r="L178">
            <v>0.154</v>
          </cell>
          <cell r="M178">
            <v>6.9155783522271017E-2</v>
          </cell>
          <cell r="N178">
            <v>0.39796761303609468</v>
          </cell>
          <cell r="O178">
            <v>169</v>
          </cell>
        </row>
        <row r="179">
          <cell r="D179">
            <v>41365</v>
          </cell>
          <cell r="E179">
            <v>3.3094999999999999</v>
          </cell>
          <cell r="F179">
            <v>0.16800000000000001</v>
          </cell>
          <cell r="G179">
            <v>0</v>
          </cell>
          <cell r="H179">
            <v>0.45</v>
          </cell>
          <cell r="I179">
            <v>0.45</v>
          </cell>
          <cell r="J179">
            <v>0.218</v>
          </cell>
          <cell r="K179">
            <v>-7.4999999999999997E-3</v>
          </cell>
          <cell r="L179">
            <v>0.154</v>
          </cell>
          <cell r="M179">
            <v>6.9176428256895031E-2</v>
          </cell>
          <cell r="N179">
            <v>0.39557017845743092</v>
          </cell>
          <cell r="O179">
            <v>170</v>
          </cell>
        </row>
        <row r="180">
          <cell r="D180">
            <v>41395</v>
          </cell>
          <cell r="E180">
            <v>3.2835000000000001</v>
          </cell>
          <cell r="F180">
            <v>0.158</v>
          </cell>
          <cell r="G180">
            <v>0</v>
          </cell>
          <cell r="H180">
            <v>0.5</v>
          </cell>
          <cell r="I180">
            <v>0.45</v>
          </cell>
          <cell r="J180">
            <v>0.20800000000000002</v>
          </cell>
          <cell r="K180">
            <v>-7.4999999999999997E-3</v>
          </cell>
          <cell r="L180">
            <v>0.154</v>
          </cell>
          <cell r="M180">
            <v>6.9196407032472013E-2</v>
          </cell>
          <cell r="N180">
            <v>0.39326256537139315</v>
          </cell>
          <cell r="O180">
            <v>171</v>
          </cell>
        </row>
        <row r="181">
          <cell r="D181">
            <v>41426</v>
          </cell>
          <cell r="E181">
            <v>3.2865000000000002</v>
          </cell>
          <cell r="F181">
            <v>0.15200000000000002</v>
          </cell>
          <cell r="G181">
            <v>0</v>
          </cell>
          <cell r="H181">
            <v>0.5</v>
          </cell>
          <cell r="I181">
            <v>0.45</v>
          </cell>
          <cell r="J181">
            <v>0.20199999999999999</v>
          </cell>
          <cell r="K181">
            <v>-7.4999999999999997E-3</v>
          </cell>
          <cell r="L181">
            <v>0.154</v>
          </cell>
          <cell r="M181">
            <v>6.9217051767373014E-2</v>
          </cell>
          <cell r="N181">
            <v>0.39089087166027103</v>
          </cell>
          <cell r="O181">
            <v>172</v>
          </cell>
        </row>
        <row r="182">
          <cell r="D182">
            <v>41456</v>
          </cell>
          <cell r="E182">
            <v>3.2878000000000003</v>
          </cell>
          <cell r="F182">
            <v>0.14200000000000002</v>
          </cell>
          <cell r="G182">
            <v>0</v>
          </cell>
          <cell r="H182">
            <v>0.55000000000000004</v>
          </cell>
          <cell r="I182">
            <v>0.5</v>
          </cell>
          <cell r="J182">
            <v>0.192</v>
          </cell>
          <cell r="K182">
            <v>-7.4999999999999997E-3</v>
          </cell>
          <cell r="L182">
            <v>0.154</v>
          </cell>
          <cell r="M182">
            <v>6.9237030543218017E-2</v>
          </cell>
          <cell r="N182">
            <v>0.38860805142248428</v>
          </cell>
          <cell r="O182">
            <v>173</v>
          </cell>
        </row>
        <row r="183">
          <cell r="D183">
            <v>41487</v>
          </cell>
          <cell r="E183">
            <v>3.2845</v>
          </cell>
          <cell r="F183">
            <v>0.14000000000000001</v>
          </cell>
          <cell r="G183">
            <v>0</v>
          </cell>
          <cell r="H183">
            <v>0.6</v>
          </cell>
          <cell r="I183">
            <v>0.55000000000000004</v>
          </cell>
          <cell r="J183">
            <v>0.19</v>
          </cell>
          <cell r="K183">
            <v>-7.4999999999999997E-3</v>
          </cell>
          <cell r="L183">
            <v>0.154</v>
          </cell>
          <cell r="M183">
            <v>6.9257675278397005E-2</v>
          </cell>
          <cell r="N183">
            <v>0.38626185586918965</v>
          </cell>
          <cell r="O183">
            <v>174</v>
          </cell>
        </row>
        <row r="184">
          <cell r="D184">
            <v>41518</v>
          </cell>
          <cell r="E184">
            <v>3.2955000000000001</v>
          </cell>
          <cell r="F184">
            <v>0.13800000000000001</v>
          </cell>
          <cell r="G184">
            <v>0</v>
          </cell>
          <cell r="H184">
            <v>0.6</v>
          </cell>
          <cell r="I184">
            <v>0.55000000000000004</v>
          </cell>
          <cell r="J184">
            <v>0.188</v>
          </cell>
          <cell r="K184">
            <v>-7.4999999999999997E-3</v>
          </cell>
          <cell r="L184">
            <v>0.154</v>
          </cell>
          <cell r="M184">
            <v>6.9278320013717018E-2</v>
          </cell>
          <cell r="N184">
            <v>0.38392852598328242</v>
          </cell>
          <cell r="O184">
            <v>175</v>
          </cell>
        </row>
        <row r="185">
          <cell r="D185">
            <v>41548</v>
          </cell>
          <cell r="E185">
            <v>3.3275000000000001</v>
          </cell>
          <cell r="F185">
            <v>0.15200000000000002</v>
          </cell>
          <cell r="G185">
            <v>0</v>
          </cell>
          <cell r="H185">
            <v>0.65</v>
          </cell>
          <cell r="I185">
            <v>0.6</v>
          </cell>
          <cell r="J185">
            <v>0.20199999999999999</v>
          </cell>
          <cell r="K185">
            <v>-7.4999999999999997E-3</v>
          </cell>
          <cell r="L185">
            <v>0.154</v>
          </cell>
          <cell r="M185">
            <v>6.9298298789967017E-2</v>
          </cell>
          <cell r="N185">
            <v>0.38168265627641279</v>
          </cell>
          <cell r="O185">
            <v>176</v>
          </cell>
        </row>
        <row r="186">
          <cell r="D186">
            <v>41579</v>
          </cell>
          <cell r="E186">
            <v>3.4585000000000004</v>
          </cell>
          <cell r="F186">
            <v>0.245</v>
          </cell>
          <cell r="G186">
            <v>1.2500000000000001E-2</v>
          </cell>
          <cell r="H186">
            <v>0.8</v>
          </cell>
          <cell r="I186">
            <v>0.9</v>
          </cell>
          <cell r="J186">
            <v>0.29499999999999998</v>
          </cell>
          <cell r="K186">
            <v>-5.0000000000000001E-3</v>
          </cell>
          <cell r="L186">
            <v>0.154</v>
          </cell>
          <cell r="M186">
            <v>6.9318943525564003E-2</v>
          </cell>
          <cell r="N186">
            <v>0.37937446203626773</v>
          </cell>
          <cell r="O186">
            <v>177</v>
          </cell>
        </row>
        <row r="187">
          <cell r="D187">
            <v>41609</v>
          </cell>
          <cell r="E187">
            <v>3.5955000000000004</v>
          </cell>
          <cell r="F187">
            <v>0.28499999999999998</v>
          </cell>
          <cell r="G187">
            <v>1.2500000000000001E-2</v>
          </cell>
          <cell r="H187">
            <v>1.1000000000000001</v>
          </cell>
          <cell r="I187">
            <v>1.1499999999999999</v>
          </cell>
          <cell r="J187">
            <v>0.33500000000000002</v>
          </cell>
          <cell r="K187">
            <v>-5.0000000000000001E-3</v>
          </cell>
          <cell r="L187">
            <v>0.154</v>
          </cell>
          <cell r="M187">
            <v>6.9338922302082009E-2</v>
          </cell>
          <cell r="N187">
            <v>0.37715280174795773</v>
          </cell>
          <cell r="O187">
            <v>178</v>
          </cell>
        </row>
        <row r="188">
          <cell r="D188">
            <v>41640</v>
          </cell>
          <cell r="E188">
            <v>3.7305000000000001</v>
          </cell>
          <cell r="F188">
            <v>0.30199999999999999</v>
          </cell>
          <cell r="G188">
            <v>1.2500000000000001E-2</v>
          </cell>
          <cell r="H188">
            <v>1.1000000000000001</v>
          </cell>
          <cell r="I188">
            <v>1.1499999999999999</v>
          </cell>
          <cell r="J188">
            <v>0.35200000000000004</v>
          </cell>
          <cell r="K188">
            <v>-5.0000000000000001E-3</v>
          </cell>
          <cell r="L188">
            <v>0.153</v>
          </cell>
          <cell r="M188">
            <v>6.935956703795701E-2</v>
          </cell>
          <cell r="N188">
            <v>0.37486950512667899</v>
          </cell>
          <cell r="O188">
            <v>179</v>
          </cell>
        </row>
        <row r="189">
          <cell r="D189">
            <v>41671</v>
          </cell>
          <cell r="E189">
            <v>3.6385000000000005</v>
          </cell>
          <cell r="F189">
            <v>0.28000000000000003</v>
          </cell>
          <cell r="G189">
            <v>1.2500000000000001E-2</v>
          </cell>
          <cell r="H189">
            <v>1.1000000000000001</v>
          </cell>
          <cell r="I189">
            <v>1.1499999999999999</v>
          </cell>
          <cell r="J189">
            <v>0.33</v>
          </cell>
          <cell r="K189">
            <v>-5.0000000000000001E-3</v>
          </cell>
          <cell r="L189">
            <v>0.153</v>
          </cell>
          <cell r="M189">
            <v>6.9380211773972994E-2</v>
          </cell>
          <cell r="N189">
            <v>0.37259877076774017</v>
          </cell>
          <cell r="O189">
            <v>180</v>
          </cell>
        </row>
        <row r="190">
          <cell r="D190">
            <v>41699</v>
          </cell>
          <cell r="E190">
            <v>3.5335000000000001</v>
          </cell>
          <cell r="F190">
            <v>0.27800000000000002</v>
          </cell>
          <cell r="G190">
            <v>1.2500000000000001E-2</v>
          </cell>
          <cell r="H190">
            <v>0.75</v>
          </cell>
          <cell r="I190">
            <v>0.85</v>
          </cell>
          <cell r="J190">
            <v>0.32799999999999996</v>
          </cell>
          <cell r="K190">
            <v>-5.0000000000000001E-3</v>
          </cell>
          <cell r="L190">
            <v>0.153</v>
          </cell>
          <cell r="M190">
            <v>6.9398858632431018E-2</v>
          </cell>
          <cell r="N190">
            <v>0.37055853188797672</v>
          </cell>
          <cell r="O190">
            <v>181</v>
          </cell>
        </row>
        <row r="191">
          <cell r="D191">
            <v>41730</v>
          </cell>
          <cell r="E191">
            <v>3.4295</v>
          </cell>
          <cell r="F191">
            <v>0.16300000000000001</v>
          </cell>
          <cell r="G191">
            <v>0</v>
          </cell>
          <cell r="H191">
            <v>0.45</v>
          </cell>
          <cell r="I191">
            <v>0.45</v>
          </cell>
          <cell r="J191">
            <v>0.21300000000000002</v>
          </cell>
          <cell r="K191">
            <v>-7.4999999999999997E-3</v>
          </cell>
          <cell r="L191">
            <v>0.153</v>
          </cell>
          <cell r="M191">
            <v>6.941950336871501E-2</v>
          </cell>
          <cell r="N191">
            <v>0.36831153870394484</v>
          </cell>
          <cell r="O191">
            <v>182</v>
          </cell>
        </row>
        <row r="192">
          <cell r="D192">
            <v>41760</v>
          </cell>
          <cell r="E192">
            <v>3.4035000000000002</v>
          </cell>
          <cell r="F192">
            <v>0.153</v>
          </cell>
          <cell r="G192">
            <v>0</v>
          </cell>
          <cell r="H192">
            <v>0.5</v>
          </cell>
          <cell r="I192">
            <v>0.45</v>
          </cell>
          <cell r="J192">
            <v>0.20300000000000001</v>
          </cell>
          <cell r="K192">
            <v>-7.4999999999999997E-3</v>
          </cell>
          <cell r="L192">
            <v>0.153</v>
          </cell>
          <cell r="M192">
            <v>6.9439482145897014E-2</v>
          </cell>
          <cell r="N192">
            <v>0.36614882342813126</v>
          </cell>
          <cell r="O192">
            <v>183</v>
          </cell>
        </row>
        <row r="193">
          <cell r="D193">
            <v>41791</v>
          </cell>
          <cell r="E193">
            <v>3.4065000000000003</v>
          </cell>
          <cell r="F193">
            <v>0.14700000000000002</v>
          </cell>
          <cell r="G193">
            <v>0</v>
          </cell>
          <cell r="H193">
            <v>0.5</v>
          </cell>
          <cell r="I193">
            <v>0.45</v>
          </cell>
          <cell r="J193">
            <v>0.19700000000000001</v>
          </cell>
          <cell r="K193">
            <v>-7.4999999999999997E-3</v>
          </cell>
          <cell r="L193">
            <v>0.153</v>
          </cell>
          <cell r="M193">
            <v>6.9460126882459006E-2</v>
          </cell>
          <cell r="N193">
            <v>0.36392614658705141</v>
          </cell>
          <cell r="O193">
            <v>184</v>
          </cell>
        </row>
        <row r="194">
          <cell r="D194">
            <v>41821</v>
          </cell>
          <cell r="E194">
            <v>3.4078000000000004</v>
          </cell>
          <cell r="F194">
            <v>0.13700000000000001</v>
          </cell>
          <cell r="G194">
            <v>0</v>
          </cell>
          <cell r="H194">
            <v>0.55000000000000004</v>
          </cell>
          <cell r="I194">
            <v>0.5</v>
          </cell>
          <cell r="J194">
            <v>0.187</v>
          </cell>
          <cell r="K194">
            <v>-7.4999999999999997E-3</v>
          </cell>
          <cell r="L194">
            <v>0.153</v>
          </cell>
          <cell r="M194">
            <v>6.9480105659911015E-2</v>
          </cell>
          <cell r="N194">
            <v>0.36178685095148022</v>
          </cell>
          <cell r="O194">
            <v>185</v>
          </cell>
        </row>
        <row r="195">
          <cell r="D195">
            <v>41852</v>
          </cell>
          <cell r="E195">
            <v>3.4045000000000001</v>
          </cell>
          <cell r="F195">
            <v>0.13500000000000001</v>
          </cell>
          <cell r="G195">
            <v>0</v>
          </cell>
          <cell r="H195">
            <v>0.6</v>
          </cell>
          <cell r="I195">
            <v>0.55000000000000004</v>
          </cell>
          <cell r="J195">
            <v>0.185</v>
          </cell>
          <cell r="K195">
            <v>-7.4999999999999997E-3</v>
          </cell>
          <cell r="L195">
            <v>0.153</v>
          </cell>
          <cell r="M195">
            <v>6.9500750396749009E-2</v>
          </cell>
          <cell r="N195">
            <v>0.35958825881517809</v>
          </cell>
          <cell r="O195">
            <v>186</v>
          </cell>
        </row>
        <row r="196">
          <cell r="D196">
            <v>41883</v>
          </cell>
          <cell r="E196">
            <v>3.4155000000000002</v>
          </cell>
          <cell r="F196">
            <v>0.13300000000000001</v>
          </cell>
          <cell r="G196">
            <v>0</v>
          </cell>
          <cell r="H196">
            <v>0.6</v>
          </cell>
          <cell r="I196">
            <v>0.55000000000000004</v>
          </cell>
          <cell r="J196">
            <v>0.18300000000000002</v>
          </cell>
          <cell r="K196">
            <v>-7.4999999999999997E-3</v>
          </cell>
          <cell r="L196">
            <v>0.153</v>
          </cell>
          <cell r="M196">
            <v>6.9521395133729E-2</v>
          </cell>
          <cell r="N196">
            <v>0.35740181825856054</v>
          </cell>
          <cell r="O196">
            <v>187</v>
          </cell>
        </row>
        <row r="197">
          <cell r="D197">
            <v>41913</v>
          </cell>
          <cell r="E197">
            <v>3.4474999999999998</v>
          </cell>
          <cell r="F197">
            <v>0.14700000000000002</v>
          </cell>
          <cell r="G197">
            <v>0</v>
          </cell>
          <cell r="H197">
            <v>0.65</v>
          </cell>
          <cell r="I197">
            <v>0.6</v>
          </cell>
          <cell r="J197">
            <v>0.19700000000000001</v>
          </cell>
          <cell r="K197">
            <v>-7.4999999999999997E-3</v>
          </cell>
          <cell r="L197">
            <v>0.153</v>
          </cell>
          <cell r="M197">
            <v>6.9541373911585005E-2</v>
          </cell>
          <cell r="N197">
            <v>0.35529742228110556</v>
          </cell>
          <cell r="O197">
            <v>188</v>
          </cell>
        </row>
        <row r="198">
          <cell r="D198">
            <v>41944</v>
          </cell>
          <cell r="E198">
            <v>3.5785000000000005</v>
          </cell>
          <cell r="F198">
            <v>0.24</v>
          </cell>
          <cell r="G198">
            <v>1.2500000000000001E-2</v>
          </cell>
          <cell r="H198">
            <v>0.8</v>
          </cell>
          <cell r="I198">
            <v>0.9</v>
          </cell>
          <cell r="J198">
            <v>0.28999999999999998</v>
          </cell>
          <cell r="K198">
            <v>-5.0000000000000001E-3</v>
          </cell>
          <cell r="L198">
            <v>0.153</v>
          </cell>
          <cell r="M198">
            <v>6.9562018648842025E-2</v>
          </cell>
          <cell r="N198">
            <v>0.35313472050642097</v>
          </cell>
          <cell r="O198">
            <v>189</v>
          </cell>
        </row>
        <row r="199">
          <cell r="D199">
            <v>41974</v>
          </cell>
          <cell r="E199">
            <v>3.7155</v>
          </cell>
          <cell r="F199">
            <v>0.28000000000000003</v>
          </cell>
          <cell r="G199">
            <v>1.2500000000000001E-2</v>
          </cell>
          <cell r="H199">
            <v>1.1000000000000001</v>
          </cell>
          <cell r="I199">
            <v>1.1499999999999999</v>
          </cell>
          <cell r="J199">
            <v>0.33</v>
          </cell>
          <cell r="K199">
            <v>-5.0000000000000001E-3</v>
          </cell>
          <cell r="L199">
            <v>0.153</v>
          </cell>
          <cell r="M199">
            <v>6.9581997426967024E-2</v>
          </cell>
          <cell r="N199">
            <v>0.35105318743816799</v>
          </cell>
          <cell r="O199">
            <v>190</v>
          </cell>
        </row>
        <row r="200">
          <cell r="D200">
            <v>42005</v>
          </cell>
          <cell r="E200">
            <v>3.8555000000000001</v>
          </cell>
          <cell r="F200">
            <v>0.29699999999999999</v>
          </cell>
          <cell r="G200">
            <v>1.2500000000000001E-2</v>
          </cell>
          <cell r="H200">
            <v>1.1000000000000001</v>
          </cell>
          <cell r="I200">
            <v>1.1499999999999999</v>
          </cell>
          <cell r="J200">
            <v>0.34700000000000003</v>
          </cell>
          <cell r="K200">
            <v>-5.0000000000000001E-3</v>
          </cell>
          <cell r="L200">
            <v>0.15200000000000002</v>
          </cell>
          <cell r="M200">
            <v>6.9602642164501016E-2</v>
          </cell>
          <cell r="N200">
            <v>0.34891399734571321</v>
          </cell>
          <cell r="O200">
            <v>191</v>
          </cell>
        </row>
        <row r="201">
          <cell r="D201">
            <v>42036</v>
          </cell>
          <cell r="E201">
            <v>3.7635000000000005</v>
          </cell>
          <cell r="F201">
            <v>0.27500000000000002</v>
          </cell>
          <cell r="G201">
            <v>1.2500000000000001E-2</v>
          </cell>
          <cell r="H201">
            <v>1.1000000000000001</v>
          </cell>
          <cell r="I201">
            <v>1.1499999999999999</v>
          </cell>
          <cell r="J201">
            <v>0.32500000000000001</v>
          </cell>
          <cell r="K201">
            <v>-5.0000000000000001E-3</v>
          </cell>
          <cell r="L201">
            <v>0.15200000000000002</v>
          </cell>
          <cell r="M201">
            <v>6.9623286902177006E-2</v>
          </cell>
          <cell r="N201">
            <v>0.34678666935630309</v>
          </cell>
          <cell r="O201">
            <v>192</v>
          </cell>
        </row>
        <row r="202">
          <cell r="D202">
            <v>42064</v>
          </cell>
          <cell r="E202">
            <v>3.6585000000000001</v>
          </cell>
          <cell r="F202">
            <v>0.27300000000000002</v>
          </cell>
          <cell r="G202">
            <v>1.2500000000000001E-2</v>
          </cell>
          <cell r="H202">
            <v>0.75</v>
          </cell>
          <cell r="I202">
            <v>0.85</v>
          </cell>
          <cell r="J202">
            <v>0.32299999999999995</v>
          </cell>
          <cell r="K202">
            <v>-5.0000000000000001E-3</v>
          </cell>
          <cell r="L202">
            <v>0.15200000000000002</v>
          </cell>
          <cell r="M202">
            <v>6.9641933762134012E-2</v>
          </cell>
          <cell r="N202">
            <v>0.34487535933736324</v>
          </cell>
          <cell r="O202">
            <v>193</v>
          </cell>
        </row>
        <row r="203">
          <cell r="D203">
            <v>42095</v>
          </cell>
          <cell r="E203">
            <v>3.5545</v>
          </cell>
          <cell r="F203">
            <v>0.158</v>
          </cell>
          <cell r="G203">
            <v>0</v>
          </cell>
          <cell r="H203">
            <v>0.45</v>
          </cell>
          <cell r="I203">
            <v>0.45</v>
          </cell>
          <cell r="J203">
            <v>0.20800000000000002</v>
          </cell>
          <cell r="K203">
            <v>-7.4999999999999997E-3</v>
          </cell>
          <cell r="L203">
            <v>0.15200000000000002</v>
          </cell>
          <cell r="M203">
            <v>6.9662578500076996E-2</v>
          </cell>
          <cell r="N203">
            <v>0.34277044769009946</v>
          </cell>
          <cell r="O203">
            <v>194</v>
          </cell>
        </row>
        <row r="204">
          <cell r="D204">
            <v>42125</v>
          </cell>
          <cell r="E204">
            <v>3.5285000000000002</v>
          </cell>
          <cell r="F204">
            <v>0.14800000000000002</v>
          </cell>
          <cell r="G204">
            <v>0</v>
          </cell>
          <cell r="H204">
            <v>0.5</v>
          </cell>
          <cell r="I204">
            <v>0.45</v>
          </cell>
          <cell r="J204">
            <v>0.19800000000000001</v>
          </cell>
          <cell r="K204">
            <v>-7.4999999999999997E-3</v>
          </cell>
          <cell r="L204">
            <v>0.15200000000000002</v>
          </cell>
          <cell r="M204">
            <v>6.9682557278866034E-2</v>
          </cell>
          <cell r="N204">
            <v>0.34074457172138051</v>
          </cell>
          <cell r="O204">
            <v>195</v>
          </cell>
        </row>
        <row r="205">
          <cell r="D205">
            <v>42156</v>
          </cell>
          <cell r="E205">
            <v>3.5315000000000003</v>
          </cell>
          <cell r="F205">
            <v>0.14200000000000002</v>
          </cell>
          <cell r="G205">
            <v>0</v>
          </cell>
          <cell r="H205">
            <v>0.5</v>
          </cell>
          <cell r="I205">
            <v>0.45</v>
          </cell>
          <cell r="J205">
            <v>0.192</v>
          </cell>
          <cell r="K205">
            <v>-7.4999999999999997E-3</v>
          </cell>
          <cell r="L205">
            <v>0.15200000000000002</v>
          </cell>
          <cell r="M205">
            <v>6.9703202017087004E-2</v>
          </cell>
          <cell r="N205">
            <v>0.33866261728183494</v>
          </cell>
          <cell r="O205">
            <v>196</v>
          </cell>
        </row>
        <row r="206">
          <cell r="D206">
            <v>42186</v>
          </cell>
          <cell r="E206">
            <v>3.5328000000000004</v>
          </cell>
          <cell r="F206">
            <v>0.13200000000000001</v>
          </cell>
          <cell r="G206">
            <v>0</v>
          </cell>
          <cell r="H206">
            <v>0.55000000000000004</v>
          </cell>
          <cell r="I206">
            <v>0.5</v>
          </cell>
          <cell r="J206">
            <v>0.182</v>
          </cell>
          <cell r="K206">
            <v>-7.4999999999999997E-3</v>
          </cell>
          <cell r="L206">
            <v>0.15200000000000002</v>
          </cell>
          <cell r="M206">
            <v>6.9723180796145021E-2</v>
          </cell>
          <cell r="N206">
            <v>0.33665885085864405</v>
          </cell>
          <cell r="O206">
            <v>197</v>
          </cell>
        </row>
        <row r="207">
          <cell r="D207">
            <v>42217</v>
          </cell>
          <cell r="E207">
            <v>3.5295000000000001</v>
          </cell>
          <cell r="F207">
            <v>0.13</v>
          </cell>
          <cell r="G207">
            <v>0</v>
          </cell>
          <cell r="H207">
            <v>0.6</v>
          </cell>
          <cell r="I207">
            <v>0.55000000000000004</v>
          </cell>
          <cell r="J207">
            <v>0.18</v>
          </cell>
          <cell r="K207">
            <v>-7.4999999999999997E-3</v>
          </cell>
          <cell r="L207">
            <v>0.15200000000000002</v>
          </cell>
          <cell r="M207">
            <v>6.974382553464302E-2</v>
          </cell>
          <cell r="N207">
            <v>0.33459963271551313</v>
          </cell>
          <cell r="O207">
            <v>198</v>
          </cell>
        </row>
        <row r="208">
          <cell r="D208">
            <v>42248</v>
          </cell>
          <cell r="E208">
            <v>3.5405000000000002</v>
          </cell>
          <cell r="F208">
            <v>0.128</v>
          </cell>
          <cell r="G208">
            <v>0</v>
          </cell>
          <cell r="H208">
            <v>0.6</v>
          </cell>
          <cell r="I208">
            <v>0.55000000000000004</v>
          </cell>
          <cell r="J208">
            <v>0.17800000000000002</v>
          </cell>
          <cell r="K208">
            <v>-7.4999999999999997E-3</v>
          </cell>
          <cell r="L208">
            <v>0.15200000000000002</v>
          </cell>
          <cell r="M208">
            <v>6.9764470273282003E-2</v>
          </cell>
          <cell r="N208">
            <v>0.33255188498775479</v>
          </cell>
          <cell r="O208">
            <v>199</v>
          </cell>
        </row>
        <row r="209">
          <cell r="D209">
            <v>42278</v>
          </cell>
          <cell r="E209">
            <v>3.5724999999999998</v>
          </cell>
          <cell r="F209">
            <v>0.14200000000000002</v>
          </cell>
          <cell r="G209">
            <v>0</v>
          </cell>
          <cell r="H209">
            <v>0.65</v>
          </cell>
          <cell r="I209">
            <v>0.6</v>
          </cell>
          <cell r="J209">
            <v>0.192</v>
          </cell>
          <cell r="K209">
            <v>-7.4999999999999997E-3</v>
          </cell>
          <cell r="L209">
            <v>0.15200000000000002</v>
          </cell>
          <cell r="M209">
            <v>6.9784449052745001E-2</v>
          </cell>
          <cell r="N209">
            <v>0.33058106190605469</v>
          </cell>
          <cell r="O209">
            <v>200</v>
          </cell>
        </row>
        <row r="210">
          <cell r="D210">
            <v>42309</v>
          </cell>
          <cell r="E210">
            <v>3.7035000000000005</v>
          </cell>
          <cell r="F210">
            <v>0.23499999999999999</v>
          </cell>
          <cell r="G210">
            <v>1.2500000000000001E-2</v>
          </cell>
          <cell r="H210">
            <v>0.8</v>
          </cell>
          <cell r="I210">
            <v>0.9</v>
          </cell>
          <cell r="J210">
            <v>0.28499999999999998</v>
          </cell>
          <cell r="K210">
            <v>-5.0000000000000001E-3</v>
          </cell>
          <cell r="L210">
            <v>0.15200000000000002</v>
          </cell>
          <cell r="M210">
            <v>6.9805093791661013E-2</v>
          </cell>
          <cell r="N210">
            <v>0.3285557206210124</v>
          </cell>
          <cell r="O210">
            <v>201</v>
          </cell>
        </row>
        <row r="211">
          <cell r="D211">
            <v>42339</v>
          </cell>
          <cell r="E211">
            <v>3.8405</v>
          </cell>
          <cell r="F211">
            <v>0.27500000000000002</v>
          </cell>
          <cell r="G211">
            <v>1.2500000000000001E-2</v>
          </cell>
          <cell r="H211">
            <v>1.1000000000000001</v>
          </cell>
          <cell r="I211">
            <v>1.1499999999999999</v>
          </cell>
          <cell r="J211">
            <v>0.32500000000000001</v>
          </cell>
          <cell r="K211">
            <v>-5.0000000000000001E-3</v>
          </cell>
          <cell r="L211">
            <v>0.15200000000000002</v>
          </cell>
          <cell r="M211">
            <v>6.9825072571392019E-2</v>
          </cell>
          <cell r="N211">
            <v>0.32660647621542516</v>
          </cell>
          <cell r="O211">
            <v>202</v>
          </cell>
        </row>
        <row r="212">
          <cell r="D212">
            <v>42370</v>
          </cell>
          <cell r="E212">
            <v>3.9855</v>
          </cell>
          <cell r="F212">
            <v>0.29199999999999998</v>
          </cell>
          <cell r="G212">
            <v>1.2500000000000001E-2</v>
          </cell>
          <cell r="H212">
            <v>1.1000000000000001</v>
          </cell>
          <cell r="I212">
            <v>1.1499999999999999</v>
          </cell>
          <cell r="J212">
            <v>0.34200000000000003</v>
          </cell>
          <cell r="K212">
            <v>-5.0000000000000001E-3</v>
          </cell>
          <cell r="L212">
            <v>0.151</v>
          </cell>
          <cell r="M212">
            <v>6.9845717310586017E-2</v>
          </cell>
          <cell r="N212">
            <v>0.3246033248555813</v>
          </cell>
          <cell r="O212">
            <v>203</v>
          </cell>
        </row>
        <row r="213">
          <cell r="D213">
            <v>42401</v>
          </cell>
          <cell r="E213">
            <v>3.8935000000000004</v>
          </cell>
          <cell r="F213">
            <v>0.27</v>
          </cell>
          <cell r="G213">
            <v>1.2500000000000001E-2</v>
          </cell>
          <cell r="H213">
            <v>1.1000000000000001</v>
          </cell>
          <cell r="I213">
            <v>1.1499999999999999</v>
          </cell>
          <cell r="J213">
            <v>0.32</v>
          </cell>
          <cell r="K213">
            <v>-5.0000000000000001E-3</v>
          </cell>
          <cell r="L213">
            <v>0.151</v>
          </cell>
          <cell r="M213">
            <v>6.9866362049921027E-2</v>
          </cell>
          <cell r="N213">
            <v>0.32261136792313616</v>
          </cell>
          <cell r="O213">
            <v>204</v>
          </cell>
        </row>
        <row r="214">
          <cell r="D214">
            <v>42430</v>
          </cell>
          <cell r="E214">
            <v>3.7885000000000004</v>
          </cell>
          <cell r="F214">
            <v>0.26800000000000002</v>
          </cell>
          <cell r="G214">
            <v>1.2500000000000001E-2</v>
          </cell>
          <cell r="H214">
            <v>0.75</v>
          </cell>
          <cell r="I214">
            <v>0.85</v>
          </cell>
          <cell r="J214">
            <v>0.318</v>
          </cell>
          <cell r="K214">
            <v>-5.0000000000000001E-3</v>
          </cell>
          <cell r="L214">
            <v>0.151</v>
          </cell>
          <cell r="M214">
            <v>6.9885674870716008E-2</v>
          </cell>
          <cell r="N214">
            <v>0.32075800979413555</v>
          </cell>
          <cell r="O214">
            <v>205</v>
          </cell>
        </row>
        <row r="215">
          <cell r="D215">
            <v>42461</v>
          </cell>
          <cell r="E215">
            <v>3.6844999999999999</v>
          </cell>
          <cell r="F215">
            <v>0.153</v>
          </cell>
          <cell r="G215">
            <v>0</v>
          </cell>
          <cell r="H215">
            <v>0.45</v>
          </cell>
          <cell r="I215">
            <v>0.45</v>
          </cell>
          <cell r="J215">
            <v>0.20300000000000001</v>
          </cell>
          <cell r="K215">
            <v>-7.4999999999999997E-3</v>
          </cell>
          <cell r="L215">
            <v>0.151</v>
          </cell>
          <cell r="M215">
            <v>6.9906319610324008E-2</v>
          </cell>
          <cell r="N215">
            <v>0.31878756275983849</v>
          </cell>
          <cell r="O215">
            <v>206</v>
          </cell>
        </row>
        <row r="216">
          <cell r="D216">
            <v>42491</v>
          </cell>
          <cell r="E216">
            <v>3.6585000000000001</v>
          </cell>
          <cell r="F216">
            <v>0</v>
          </cell>
          <cell r="G216">
            <v>0</v>
          </cell>
          <cell r="H216">
            <v>0.5</v>
          </cell>
          <cell r="I216">
            <v>0.45</v>
          </cell>
          <cell r="J216">
            <v>0</v>
          </cell>
          <cell r="K216">
            <v>0</v>
          </cell>
          <cell r="L216">
            <v>0.151</v>
          </cell>
          <cell r="M216">
            <v>6.9926298390722993E-2</v>
          </cell>
          <cell r="N216">
            <v>0.31689118388484772</v>
          </cell>
          <cell r="O216">
            <v>207</v>
          </cell>
        </row>
        <row r="217">
          <cell r="D217">
            <v>42522</v>
          </cell>
          <cell r="E217">
            <v>3.6615000000000002</v>
          </cell>
          <cell r="F217">
            <v>0</v>
          </cell>
          <cell r="G217">
            <v>0</v>
          </cell>
          <cell r="H217">
            <v>0.5</v>
          </cell>
          <cell r="I217">
            <v>0.45</v>
          </cell>
          <cell r="J217">
            <v>0</v>
          </cell>
          <cell r="K217">
            <v>0</v>
          </cell>
          <cell r="L217">
            <v>0.151</v>
          </cell>
          <cell r="M217">
            <v>6.9946943130607994E-2</v>
          </cell>
          <cell r="N217">
            <v>0.31494239478326763</v>
          </cell>
          <cell r="O217">
            <v>208</v>
          </cell>
        </row>
        <row r="218">
          <cell r="D218">
            <v>42552</v>
          </cell>
          <cell r="E218">
            <v>3.6628000000000003</v>
          </cell>
          <cell r="F218">
            <v>0</v>
          </cell>
          <cell r="G218">
            <v>0</v>
          </cell>
          <cell r="H218">
            <v>0.55000000000000004</v>
          </cell>
          <cell r="I218">
            <v>0.5</v>
          </cell>
          <cell r="J218">
            <v>0</v>
          </cell>
          <cell r="K218">
            <v>0</v>
          </cell>
          <cell r="L218">
            <v>0.151</v>
          </cell>
          <cell r="M218">
            <v>6.9966921911277014E-2</v>
          </cell>
          <cell r="N218">
            <v>0.31306687313485643</v>
          </cell>
          <cell r="O218">
            <v>209</v>
          </cell>
        </row>
        <row r="219">
          <cell r="D219">
            <v>42583</v>
          </cell>
          <cell r="E219">
            <v>3.6595</v>
          </cell>
          <cell r="F219">
            <v>0</v>
          </cell>
          <cell r="G219">
            <v>0</v>
          </cell>
          <cell r="H219">
            <v>0.6</v>
          </cell>
          <cell r="I219">
            <v>0.55000000000000004</v>
          </cell>
          <cell r="J219">
            <v>0</v>
          </cell>
          <cell r="K219">
            <v>0</v>
          </cell>
          <cell r="L219">
            <v>0.151</v>
          </cell>
          <cell r="M219">
            <v>6.9987566651439015E-2</v>
          </cell>
          <cell r="N219">
            <v>0.31113953146435108</v>
          </cell>
          <cell r="O219">
            <v>210</v>
          </cell>
        </row>
        <row r="220">
          <cell r="D220">
            <v>42614</v>
          </cell>
          <cell r="E220">
            <v>3.6705000000000001</v>
          </cell>
          <cell r="F220">
            <v>0</v>
          </cell>
          <cell r="G220">
            <v>0</v>
          </cell>
          <cell r="H220">
            <v>0.6</v>
          </cell>
          <cell r="I220">
            <v>0.55000000000000004</v>
          </cell>
          <cell r="J220">
            <v>0</v>
          </cell>
          <cell r="K220">
            <v>0</v>
          </cell>
          <cell r="L220">
            <v>0.151</v>
          </cell>
          <cell r="M220">
            <v>7.0008211391742015E-2</v>
          </cell>
          <cell r="N220">
            <v>0.3092230091828434</v>
          </cell>
          <cell r="O220">
            <v>211</v>
          </cell>
        </row>
        <row r="221">
          <cell r="D221">
            <v>42644</v>
          </cell>
          <cell r="E221">
            <v>3.7025000000000001</v>
          </cell>
          <cell r="F221">
            <v>0</v>
          </cell>
          <cell r="G221">
            <v>0</v>
          </cell>
          <cell r="H221">
            <v>0.65</v>
          </cell>
          <cell r="I221">
            <v>0.6</v>
          </cell>
          <cell r="J221">
            <v>0</v>
          </cell>
          <cell r="K221">
            <v>0</v>
          </cell>
          <cell r="L221">
            <v>0.151</v>
          </cell>
          <cell r="M221">
            <v>7.0028190172815016E-2</v>
          </cell>
          <cell r="N221">
            <v>0.30737856111574308</v>
          </cell>
          <cell r="O221">
            <v>212</v>
          </cell>
        </row>
        <row r="222">
          <cell r="D222">
            <v>42675</v>
          </cell>
          <cell r="E222">
            <v>3.8335000000000004</v>
          </cell>
          <cell r="F222">
            <v>0</v>
          </cell>
          <cell r="G222">
            <v>0</v>
          </cell>
          <cell r="H222">
            <v>0.8</v>
          </cell>
          <cell r="I222">
            <v>0.9</v>
          </cell>
          <cell r="J222">
            <v>0</v>
          </cell>
          <cell r="K222">
            <v>0</v>
          </cell>
          <cell r="L222">
            <v>0.151</v>
          </cell>
          <cell r="M222">
            <v>7.0048834913395017E-2</v>
          </cell>
          <cell r="N222">
            <v>0.30548317200206598</v>
          </cell>
          <cell r="O222">
            <v>213</v>
          </cell>
        </row>
        <row r="223">
          <cell r="D223">
            <v>42705</v>
          </cell>
          <cell r="E223">
            <v>3.9705000000000004</v>
          </cell>
          <cell r="F223">
            <v>0</v>
          </cell>
          <cell r="G223">
            <v>0</v>
          </cell>
          <cell r="H223">
            <v>1.1000000000000001</v>
          </cell>
          <cell r="I223">
            <v>1.1499999999999999</v>
          </cell>
          <cell r="J223">
            <v>0</v>
          </cell>
          <cell r="K223">
            <v>0</v>
          </cell>
          <cell r="L223">
            <v>0.151</v>
          </cell>
          <cell r="M223">
            <v>7.0068813694735999E-2</v>
          </cell>
          <cell r="N223">
            <v>0.30365907538337122</v>
          </cell>
          <cell r="O223">
            <v>214</v>
          </cell>
        </row>
        <row r="224">
          <cell r="D224">
            <v>42736</v>
          </cell>
          <cell r="E224">
            <v>4.1204999999999998</v>
          </cell>
          <cell r="F224">
            <v>0</v>
          </cell>
          <cell r="G224">
            <v>0</v>
          </cell>
          <cell r="H224">
            <v>1.1000000000000001</v>
          </cell>
          <cell r="I224">
            <v>1.1499999999999999</v>
          </cell>
          <cell r="J224">
            <v>0</v>
          </cell>
          <cell r="K224">
            <v>0</v>
          </cell>
          <cell r="L224">
            <v>0.151</v>
          </cell>
          <cell r="M224">
            <v>7.0089458435594026E-2</v>
          </cell>
          <cell r="N224">
            <v>0.30178461318466449</v>
          </cell>
          <cell r="O224">
            <v>215</v>
          </cell>
        </row>
        <row r="225">
          <cell r="D225">
            <v>42767</v>
          </cell>
          <cell r="E225">
            <v>4.0285000000000002</v>
          </cell>
          <cell r="F225">
            <v>0</v>
          </cell>
          <cell r="G225">
            <v>0</v>
          </cell>
          <cell r="H225">
            <v>1.1000000000000001</v>
          </cell>
          <cell r="I225">
            <v>1.1499999999999999</v>
          </cell>
          <cell r="J225">
            <v>0</v>
          </cell>
          <cell r="K225">
            <v>0</v>
          </cell>
          <cell r="L225">
            <v>0.151</v>
          </cell>
          <cell r="M225">
            <v>7.0110103176593011E-2</v>
          </cell>
          <cell r="N225">
            <v>0.29992070747091576</v>
          </cell>
          <cell r="O225">
            <v>216</v>
          </cell>
        </row>
        <row r="226">
          <cell r="D226">
            <v>42795</v>
          </cell>
          <cell r="E226">
            <v>3.9235000000000002</v>
          </cell>
          <cell r="F226">
            <v>0</v>
          </cell>
          <cell r="G226">
            <v>0</v>
          </cell>
          <cell r="H226">
            <v>0.75</v>
          </cell>
          <cell r="I226">
            <v>0.85</v>
          </cell>
          <cell r="J226">
            <v>0</v>
          </cell>
          <cell r="K226">
            <v>0</v>
          </cell>
          <cell r="L226">
            <v>0.151</v>
          </cell>
          <cell r="M226">
            <v>7.0128750039551019E-2</v>
          </cell>
          <cell r="N226">
            <v>0.29824620948401409</v>
          </cell>
          <cell r="O226">
            <v>217</v>
          </cell>
        </row>
        <row r="227">
          <cell r="D227">
            <v>42826</v>
          </cell>
          <cell r="E227">
            <v>3.8195000000000001</v>
          </cell>
          <cell r="F227">
            <v>0</v>
          </cell>
          <cell r="G227">
            <v>0</v>
          </cell>
          <cell r="H227">
            <v>0.45</v>
          </cell>
          <cell r="I227">
            <v>0.45</v>
          </cell>
          <cell r="J227">
            <v>0</v>
          </cell>
          <cell r="K227">
            <v>0</v>
          </cell>
          <cell r="L227">
            <v>0.151</v>
          </cell>
          <cell r="M227">
            <v>7.0149394780818011E-2</v>
          </cell>
          <cell r="N227">
            <v>0.29640224996409414</v>
          </cell>
          <cell r="O227">
            <v>218</v>
          </cell>
        </row>
        <row r="228">
          <cell r="D228">
            <v>42856</v>
          </cell>
          <cell r="E228">
            <v>3.7935000000000003</v>
          </cell>
          <cell r="F228">
            <v>0</v>
          </cell>
          <cell r="G228">
            <v>0</v>
          </cell>
          <cell r="H228">
            <v>0.5</v>
          </cell>
          <cell r="I228">
            <v>0.45</v>
          </cell>
          <cell r="J228">
            <v>0</v>
          </cell>
          <cell r="K228">
            <v>0</v>
          </cell>
          <cell r="L228">
            <v>0.151</v>
          </cell>
          <cell r="M228">
            <v>7.0169373562824017E-2</v>
          </cell>
          <cell r="N228">
            <v>0.29462767985414323</v>
          </cell>
          <cell r="O228">
            <v>219</v>
          </cell>
        </row>
        <row r="229">
          <cell r="D229">
            <v>42887</v>
          </cell>
          <cell r="E229">
            <v>3.7965000000000004</v>
          </cell>
          <cell r="F229">
            <v>0</v>
          </cell>
          <cell r="G229">
            <v>0</v>
          </cell>
          <cell r="H229">
            <v>0.5</v>
          </cell>
          <cell r="I229">
            <v>0.45</v>
          </cell>
          <cell r="J229">
            <v>0</v>
          </cell>
          <cell r="K229">
            <v>0</v>
          </cell>
          <cell r="L229">
            <v>0.151</v>
          </cell>
          <cell r="M229">
            <v>7.0190018304367024E-2</v>
          </cell>
          <cell r="N229">
            <v>0.29280414388257298</v>
          </cell>
          <cell r="O229">
            <v>220</v>
          </cell>
        </row>
        <row r="230">
          <cell r="D230">
            <v>42917</v>
          </cell>
          <cell r="E230">
            <v>3.7978000000000005</v>
          </cell>
          <cell r="F230">
            <v>0</v>
          </cell>
          <cell r="G230">
            <v>0</v>
          </cell>
          <cell r="H230">
            <v>0.55000000000000004</v>
          </cell>
          <cell r="I230">
            <v>0.5</v>
          </cell>
          <cell r="J230">
            <v>0</v>
          </cell>
          <cell r="K230">
            <v>0</v>
          </cell>
          <cell r="L230">
            <v>0.151</v>
          </cell>
          <cell r="M230">
            <v>7.0209997086641024E-2</v>
          </cell>
          <cell r="N230">
            <v>0.29104924129682924</v>
          </cell>
          <cell r="O230">
            <v>221</v>
          </cell>
        </row>
        <row r="231">
          <cell r="D231">
            <v>42948</v>
          </cell>
          <cell r="E231">
            <v>3.7944999999999998</v>
          </cell>
          <cell r="F231">
            <v>0</v>
          </cell>
          <cell r="G231">
            <v>0</v>
          </cell>
          <cell r="H231">
            <v>0.6</v>
          </cell>
          <cell r="I231">
            <v>0.55000000000000004</v>
          </cell>
          <cell r="J231">
            <v>0</v>
          </cell>
          <cell r="K231">
            <v>0</v>
          </cell>
          <cell r="L231">
            <v>0.151</v>
          </cell>
          <cell r="M231">
            <v>7.0230641828462989E-2</v>
          </cell>
          <cell r="N231">
            <v>0.28924592840797825</v>
          </cell>
          <cell r="O231">
            <v>222</v>
          </cell>
        </row>
        <row r="232">
          <cell r="D232">
            <v>42979</v>
          </cell>
          <cell r="E232">
            <v>3.8055000000000003</v>
          </cell>
          <cell r="F232">
            <v>0</v>
          </cell>
          <cell r="G232">
            <v>0</v>
          </cell>
          <cell r="H232">
            <v>0.6</v>
          </cell>
          <cell r="I232">
            <v>0.55000000000000004</v>
          </cell>
          <cell r="J232">
            <v>0</v>
          </cell>
          <cell r="K232">
            <v>0</v>
          </cell>
          <cell r="L232">
            <v>0.151</v>
          </cell>
          <cell r="M232">
            <v>7.0251286570425023E-2</v>
          </cell>
          <cell r="N232">
            <v>0.28745281652600096</v>
          </cell>
          <cell r="O232">
            <v>223</v>
          </cell>
        </row>
        <row r="233">
          <cell r="D233">
            <v>43009</v>
          </cell>
          <cell r="E233">
            <v>3.8374999999999999</v>
          </cell>
          <cell r="F233">
            <v>0</v>
          </cell>
          <cell r="G233">
            <v>0</v>
          </cell>
          <cell r="H233">
            <v>0.65</v>
          </cell>
          <cell r="I233">
            <v>0.6</v>
          </cell>
          <cell r="J233">
            <v>0</v>
          </cell>
          <cell r="K233">
            <v>0</v>
          </cell>
          <cell r="L233">
            <v>0.151</v>
          </cell>
          <cell r="M233">
            <v>7.0271265353102991E-2</v>
          </cell>
          <cell r="N233">
            <v>0.28572721151595754</v>
          </cell>
          <cell r="O233">
            <v>224</v>
          </cell>
        </row>
        <row r="234">
          <cell r="D234">
            <v>43040</v>
          </cell>
          <cell r="E234">
            <v>3.9685000000000001</v>
          </cell>
          <cell r="F234">
            <v>0</v>
          </cell>
          <cell r="G234">
            <v>0</v>
          </cell>
          <cell r="H234">
            <v>0.8</v>
          </cell>
          <cell r="I234">
            <v>0.9</v>
          </cell>
          <cell r="J234">
            <v>0</v>
          </cell>
          <cell r="K234">
            <v>0</v>
          </cell>
          <cell r="L234">
            <v>0.151</v>
          </cell>
          <cell r="M234">
            <v>7.029191009534401E-2</v>
          </cell>
          <cell r="N234">
            <v>0.28395402348102045</v>
          </cell>
          <cell r="O234">
            <v>225</v>
          </cell>
        </row>
        <row r="235">
          <cell r="D235">
            <v>43070</v>
          </cell>
          <cell r="E235">
            <v>4.1055000000000001</v>
          </cell>
          <cell r="F235">
            <v>0</v>
          </cell>
          <cell r="G235">
            <v>0</v>
          </cell>
          <cell r="H235">
            <v>1.1000000000000001</v>
          </cell>
          <cell r="I235">
            <v>1.1499999999999999</v>
          </cell>
          <cell r="J235">
            <v>0</v>
          </cell>
          <cell r="K235">
            <v>0</v>
          </cell>
          <cell r="L235">
            <v>0.151</v>
          </cell>
          <cell r="M235">
            <v>7.0311888878290013E-2</v>
          </cell>
          <cell r="N235">
            <v>0.28224760440232954</v>
          </cell>
          <cell r="O235">
            <v>226</v>
          </cell>
        </row>
        <row r="236">
          <cell r="D236">
            <v>43101</v>
          </cell>
          <cell r="E236">
            <v>4.2605000000000004</v>
          </cell>
          <cell r="F236">
            <v>0</v>
          </cell>
          <cell r="G236">
            <v>0</v>
          </cell>
          <cell r="J236">
            <v>0</v>
          </cell>
          <cell r="K236">
            <v>0</v>
          </cell>
          <cell r="M236">
            <v>7.0332533620807006E-2</v>
          </cell>
          <cell r="N236">
            <v>0.28049414385347915</v>
          </cell>
          <cell r="O236">
            <v>227</v>
          </cell>
        </row>
        <row r="237">
          <cell r="D237">
            <v>43132</v>
          </cell>
          <cell r="E237">
            <v>4.1684999999999999</v>
          </cell>
          <cell r="F237">
            <v>0</v>
          </cell>
          <cell r="G237">
            <v>0</v>
          </cell>
          <cell r="J237">
            <v>0</v>
          </cell>
          <cell r="K237">
            <v>0</v>
          </cell>
          <cell r="M237">
            <v>7.0353178363464997E-2</v>
          </cell>
          <cell r="N237">
            <v>0.27875063401623867</v>
          </cell>
          <cell r="O237">
            <v>228</v>
          </cell>
        </row>
        <row r="238">
          <cell r="D238">
            <v>43160</v>
          </cell>
          <cell r="E238">
            <v>4.0635000000000003</v>
          </cell>
          <cell r="F238">
            <v>0</v>
          </cell>
          <cell r="G238">
            <v>0</v>
          </cell>
          <cell r="J238">
            <v>0</v>
          </cell>
          <cell r="K238">
            <v>0</v>
          </cell>
          <cell r="M238">
            <v>7.0371825227922E-2</v>
          </cell>
          <cell r="N238">
            <v>0.27718436212343434</v>
          </cell>
          <cell r="O238">
            <v>229</v>
          </cell>
        </row>
        <row r="239">
          <cell r="D239">
            <v>43191</v>
          </cell>
          <cell r="E239">
            <v>3.9594999999999998</v>
          </cell>
          <cell r="F239">
            <v>0</v>
          </cell>
          <cell r="G239">
            <v>0</v>
          </cell>
          <cell r="J239">
            <v>0</v>
          </cell>
          <cell r="K239">
            <v>0</v>
          </cell>
          <cell r="M239">
            <v>7.0392469970847998E-2</v>
          </cell>
          <cell r="N239">
            <v>0.27545965254659477</v>
          </cell>
          <cell r="O239">
            <v>230</v>
          </cell>
        </row>
        <row r="240">
          <cell r="D240">
            <v>43221</v>
          </cell>
          <cell r="E240">
            <v>3.9335000000000004</v>
          </cell>
          <cell r="F240">
            <v>0</v>
          </cell>
          <cell r="G240">
            <v>0</v>
          </cell>
          <cell r="J240">
            <v>0</v>
          </cell>
          <cell r="K240">
            <v>0</v>
          </cell>
          <cell r="M240">
            <v>7.0412448754459012E-2</v>
          </cell>
          <cell r="N240">
            <v>0.27379991578506702</v>
          </cell>
          <cell r="O240">
            <v>231</v>
          </cell>
        </row>
        <row r="241">
          <cell r="D241">
            <v>43252</v>
          </cell>
          <cell r="E241">
            <v>3.9365000000000006</v>
          </cell>
          <cell r="F241">
            <v>0</v>
          </cell>
          <cell r="G241">
            <v>0</v>
          </cell>
          <cell r="J241">
            <v>0</v>
          </cell>
          <cell r="K241">
            <v>0</v>
          </cell>
          <cell r="M241">
            <v>7.0433093497662025E-2</v>
          </cell>
          <cell r="N241">
            <v>0.2720944545674196</v>
          </cell>
          <cell r="O241">
            <v>232</v>
          </cell>
        </row>
        <row r="242">
          <cell r="D242">
            <v>43282</v>
          </cell>
          <cell r="E242">
            <v>3.9377</v>
          </cell>
          <cell r="F242">
            <v>0</v>
          </cell>
          <cell r="G242">
            <v>0</v>
          </cell>
          <cell r="J242">
            <v>0</v>
          </cell>
          <cell r="K242">
            <v>0</v>
          </cell>
          <cell r="M242">
            <v>7.0453072281541018E-2</v>
          </cell>
          <cell r="N242">
            <v>0.2704532527472428</v>
          </cell>
          <cell r="O242">
            <v>233</v>
          </cell>
        </row>
        <row r="243">
          <cell r="D243">
            <v>43313</v>
          </cell>
          <cell r="E243">
            <v>3.9344999999999999</v>
          </cell>
          <cell r="F243">
            <v>0</v>
          </cell>
          <cell r="G243">
            <v>0</v>
          </cell>
          <cell r="J243">
            <v>0</v>
          </cell>
          <cell r="K243">
            <v>0</v>
          </cell>
          <cell r="M243">
            <v>7.0473717025022004E-2</v>
          </cell>
          <cell r="N243">
            <v>0.26876684911585075</v>
          </cell>
          <cell r="O243">
            <v>234</v>
          </cell>
        </row>
        <row r="244">
          <cell r="D244">
            <v>43344</v>
          </cell>
          <cell r="E244">
            <v>3.9455</v>
          </cell>
          <cell r="F244">
            <v>0</v>
          </cell>
          <cell r="G244">
            <v>0</v>
          </cell>
          <cell r="J244">
            <v>0</v>
          </cell>
          <cell r="K244">
            <v>0</v>
          </cell>
          <cell r="M244">
            <v>7.0494361768644015E-2</v>
          </cell>
          <cell r="N244">
            <v>0.26709005788604812</v>
          </cell>
          <cell r="O244">
            <v>235</v>
          </cell>
        </row>
        <row r="245">
          <cell r="D245">
            <v>43374</v>
          </cell>
          <cell r="E245">
            <v>3.9775</v>
          </cell>
          <cell r="F245">
            <v>0</v>
          </cell>
          <cell r="G245">
            <v>0</v>
          </cell>
          <cell r="J245">
            <v>0</v>
          </cell>
          <cell r="K245">
            <v>0</v>
          </cell>
          <cell r="M245">
            <v>7.0514340552927018E-2</v>
          </cell>
          <cell r="N245">
            <v>0.26547646315535839</v>
          </cell>
          <cell r="O245">
            <v>236</v>
          </cell>
        </row>
        <row r="246">
          <cell r="D246">
            <v>43405</v>
          </cell>
          <cell r="E246">
            <v>4.1085000000000003</v>
          </cell>
          <cell r="F246">
            <v>0</v>
          </cell>
          <cell r="G246">
            <v>0</v>
          </cell>
          <cell r="J246">
            <v>0</v>
          </cell>
          <cell r="K246">
            <v>0</v>
          </cell>
          <cell r="M246">
            <v>7.0534985296826003E-2</v>
          </cell>
          <cell r="N246">
            <v>0.2638184447864666</v>
          </cell>
          <cell r="O246">
            <v>237</v>
          </cell>
        </row>
        <row r="247">
          <cell r="D247">
            <v>43435</v>
          </cell>
          <cell r="E247">
            <v>4.2454999999999998</v>
          </cell>
          <cell r="F247">
            <v>0</v>
          </cell>
          <cell r="G247">
            <v>0</v>
          </cell>
          <cell r="J247">
            <v>0</v>
          </cell>
          <cell r="K247">
            <v>0</v>
          </cell>
          <cell r="M247">
            <v>7.0554964081378013E-2</v>
          </cell>
          <cell r="N247">
            <v>0.26222292675717024</v>
          </cell>
          <cell r="O247">
            <v>238</v>
          </cell>
        </row>
        <row r="248">
          <cell r="D248">
            <v>43466</v>
          </cell>
          <cell r="E248">
            <v>4.4055</v>
          </cell>
          <cell r="F248">
            <v>0</v>
          </cell>
          <cell r="G248">
            <v>0</v>
          </cell>
          <cell r="J248">
            <v>0</v>
          </cell>
          <cell r="K248">
            <v>0</v>
          </cell>
          <cell r="M248">
            <v>7.0575608825554012E-2</v>
          </cell>
          <cell r="N248">
            <v>0.26058349443759243</v>
          </cell>
          <cell r="O248">
            <v>239</v>
          </cell>
        </row>
        <row r="249">
          <cell r="D249">
            <v>43497</v>
          </cell>
          <cell r="E249">
            <v>4.3135000000000003</v>
          </cell>
          <cell r="F249">
            <v>0</v>
          </cell>
          <cell r="G249">
            <v>0</v>
          </cell>
          <cell r="J249">
            <v>0</v>
          </cell>
          <cell r="K249">
            <v>0</v>
          </cell>
          <cell r="M249">
            <v>7.0596253569871009E-2</v>
          </cell>
          <cell r="N249">
            <v>0.25895343639653734</v>
          </cell>
          <cell r="O249">
            <v>240</v>
          </cell>
        </row>
        <row r="250">
          <cell r="D250">
            <v>43525</v>
          </cell>
          <cell r="E250">
            <v>4.2084999999999999</v>
          </cell>
          <cell r="F250">
            <v>0</v>
          </cell>
          <cell r="G250">
            <v>0</v>
          </cell>
          <cell r="J250">
            <v>0</v>
          </cell>
          <cell r="K250">
            <v>0</v>
          </cell>
          <cell r="M250">
            <v>7.061490043582698E-2</v>
          </cell>
          <cell r="N250">
            <v>0.25748914367040338</v>
          </cell>
          <cell r="O250">
            <v>241</v>
          </cell>
        </row>
        <row r="251">
          <cell r="D251">
            <v>43556</v>
          </cell>
          <cell r="E251">
            <v>4.1044999999999998</v>
          </cell>
          <cell r="F251">
            <v>0</v>
          </cell>
          <cell r="G251">
            <v>0</v>
          </cell>
          <cell r="J251">
            <v>0</v>
          </cell>
          <cell r="K251">
            <v>0</v>
          </cell>
          <cell r="M251">
            <v>7.0635545180411027E-2</v>
          </cell>
          <cell r="N251">
            <v>0.25587679555352838</v>
          </cell>
          <cell r="O251">
            <v>242</v>
          </cell>
        </row>
        <row r="252">
          <cell r="D252">
            <v>43586</v>
          </cell>
          <cell r="E252">
            <v>4.0785</v>
          </cell>
          <cell r="F252">
            <v>0</v>
          </cell>
          <cell r="G252">
            <v>0</v>
          </cell>
          <cell r="J252">
            <v>0</v>
          </cell>
          <cell r="K252">
            <v>0</v>
          </cell>
          <cell r="M252">
            <v>7.0655523965628006E-2</v>
          </cell>
          <cell r="N252">
            <v>0.25432525355919094</v>
          </cell>
          <cell r="O252">
            <v>243</v>
          </cell>
        </row>
        <row r="253">
          <cell r="D253">
            <v>43617</v>
          </cell>
          <cell r="E253">
            <v>4.0815000000000001</v>
          </cell>
          <cell r="F253">
            <v>0</v>
          </cell>
          <cell r="G253">
            <v>0</v>
          </cell>
          <cell r="J253">
            <v>0</v>
          </cell>
          <cell r="K253">
            <v>0</v>
          </cell>
          <cell r="M253">
            <v>7.0676168710490025E-2</v>
          </cell>
          <cell r="N253">
            <v>0.25273103575825318</v>
          </cell>
          <cell r="O253">
            <v>244</v>
          </cell>
        </row>
        <row r="254">
          <cell r="D254">
            <v>43647</v>
          </cell>
          <cell r="E254">
            <v>4.0827</v>
          </cell>
          <cell r="F254">
            <v>0</v>
          </cell>
          <cell r="G254">
            <v>0</v>
          </cell>
          <cell r="J254">
            <v>0</v>
          </cell>
          <cell r="K254">
            <v>0</v>
          </cell>
          <cell r="M254">
            <v>7.0696147495974013E-2</v>
          </cell>
          <cell r="N254">
            <v>0.25119695125978742</v>
          </cell>
          <cell r="O254">
            <v>245</v>
          </cell>
        </row>
        <row r="255">
          <cell r="D255">
            <v>43678</v>
          </cell>
          <cell r="E255">
            <v>4.0795000000000003</v>
          </cell>
          <cell r="F255">
            <v>0</v>
          </cell>
          <cell r="G255">
            <v>0</v>
          </cell>
          <cell r="J255">
            <v>0</v>
          </cell>
          <cell r="K255">
            <v>0</v>
          </cell>
          <cell r="M255">
            <v>7.0715320475490021E-2</v>
          </cell>
          <cell r="N255">
            <v>0.2496277685037846</v>
          </cell>
          <cell r="O255">
            <v>246</v>
          </cell>
        </row>
        <row r="256">
          <cell r="D256">
            <v>43709</v>
          </cell>
          <cell r="E256">
            <v>4.0905000000000005</v>
          </cell>
          <cell r="F256">
            <v>0</v>
          </cell>
          <cell r="G256">
            <v>0</v>
          </cell>
          <cell r="J256">
            <v>0</v>
          </cell>
          <cell r="K256">
            <v>0</v>
          </cell>
          <cell r="M256">
            <v>7.0713152853520006E-2</v>
          </cell>
          <cell r="N256">
            <v>0.24817017245716219</v>
          </cell>
          <cell r="O256">
            <v>247</v>
          </cell>
        </row>
        <row r="257">
          <cell r="D257">
            <v>43739</v>
          </cell>
          <cell r="E257">
            <v>4.1224999999999996</v>
          </cell>
          <cell r="F257">
            <v>0</v>
          </cell>
          <cell r="G257">
            <v>0</v>
          </cell>
          <cell r="J257">
            <v>0</v>
          </cell>
          <cell r="K257">
            <v>0</v>
          </cell>
          <cell r="M257">
            <v>7.0711055154841024E-2</v>
          </cell>
          <cell r="N257">
            <v>0.24676778327871721</v>
          </cell>
          <cell r="O257">
            <v>248</v>
          </cell>
        </row>
        <row r="258">
          <cell r="D258">
            <v>43770</v>
          </cell>
          <cell r="E258">
            <v>4.2535000000000007</v>
          </cell>
          <cell r="F258">
            <v>0</v>
          </cell>
          <cell r="G258">
            <v>0</v>
          </cell>
          <cell r="J258">
            <v>0</v>
          </cell>
          <cell r="K258">
            <v>0</v>
          </cell>
          <cell r="M258">
            <v>7.070888753287502E-2</v>
          </cell>
          <cell r="N258">
            <v>0.24532705848766026</v>
          </cell>
          <cell r="O258">
            <v>249</v>
          </cell>
        </row>
        <row r="259">
          <cell r="D259">
            <v>43800</v>
          </cell>
          <cell r="E259">
            <v>4.3905000000000003</v>
          </cell>
          <cell r="F259">
            <v>0</v>
          </cell>
          <cell r="G259">
            <v>0</v>
          </cell>
          <cell r="J259">
            <v>0</v>
          </cell>
          <cell r="K259">
            <v>0</v>
          </cell>
          <cell r="M259">
            <v>7.0706789834199035E-2</v>
          </cell>
          <cell r="N259">
            <v>0.24394090061743107</v>
          </cell>
          <cell r="O259">
            <v>250</v>
          </cell>
        </row>
        <row r="260">
          <cell r="D260">
            <v>43831</v>
          </cell>
          <cell r="E260">
            <v>4.5555000000000003</v>
          </cell>
          <cell r="F260">
            <v>0</v>
          </cell>
          <cell r="G260">
            <v>0</v>
          </cell>
          <cell r="J260">
            <v>0</v>
          </cell>
          <cell r="K260">
            <v>0</v>
          </cell>
          <cell r="M260">
            <v>7.0704622212236029E-2</v>
          </cell>
          <cell r="N260">
            <v>0.24251684986305003</v>
          </cell>
          <cell r="O260">
            <v>251</v>
          </cell>
        </row>
        <row r="261">
          <cell r="D261">
            <v>43862</v>
          </cell>
          <cell r="E261">
            <v>4.4635000000000007</v>
          </cell>
          <cell r="F261">
            <v>0</v>
          </cell>
          <cell r="G261">
            <v>0</v>
          </cell>
          <cell r="J261">
            <v>0</v>
          </cell>
          <cell r="K261">
            <v>0</v>
          </cell>
          <cell r="M261">
            <v>7.0702454590274008E-2</v>
          </cell>
          <cell r="N261">
            <v>0.24110119796606513</v>
          </cell>
          <cell r="O261">
            <v>252</v>
          </cell>
        </row>
        <row r="262">
          <cell r="D262">
            <v>43891</v>
          </cell>
          <cell r="E262">
            <v>4.3585000000000003</v>
          </cell>
          <cell r="F262">
            <v>0</v>
          </cell>
          <cell r="G262">
            <v>0</v>
          </cell>
          <cell r="J262">
            <v>0</v>
          </cell>
          <cell r="K262">
            <v>0</v>
          </cell>
          <cell r="M262">
            <v>7.0700426814891998E-2</v>
          </cell>
          <cell r="N262">
            <v>0.23978443767073532</v>
          </cell>
          <cell r="O262">
            <v>253</v>
          </cell>
        </row>
        <row r="263">
          <cell r="D263">
            <v>43922</v>
          </cell>
          <cell r="E263">
            <v>4.2545000000000002</v>
          </cell>
          <cell r="F263">
            <v>0</v>
          </cell>
          <cell r="G263">
            <v>0</v>
          </cell>
          <cell r="J263">
            <v>0</v>
          </cell>
          <cell r="K263">
            <v>0</v>
          </cell>
          <cell r="M263">
            <v>7.0698259192933016E-2</v>
          </cell>
          <cell r="N263">
            <v>0.23838489976804247</v>
          </cell>
          <cell r="O263">
            <v>254</v>
          </cell>
        </row>
        <row r="264">
          <cell r="D264">
            <v>43952</v>
          </cell>
          <cell r="E264">
            <v>4.2285000000000004</v>
          </cell>
          <cell r="F264">
            <v>0</v>
          </cell>
          <cell r="G264">
            <v>0</v>
          </cell>
          <cell r="J264">
            <v>0</v>
          </cell>
          <cell r="K264">
            <v>0</v>
          </cell>
          <cell r="M264">
            <v>7.0696161494264026E-2</v>
          </cell>
          <cell r="N264">
            <v>0.23703836656362645</v>
          </cell>
          <cell r="O264">
            <v>255</v>
          </cell>
        </row>
        <row r="265">
          <cell r="D265">
            <v>43983</v>
          </cell>
          <cell r="E265">
            <v>4.2315000000000005</v>
          </cell>
          <cell r="F265">
            <v>0</v>
          </cell>
          <cell r="G265">
            <v>0</v>
          </cell>
          <cell r="J265">
            <v>0</v>
          </cell>
          <cell r="K265">
            <v>0</v>
          </cell>
          <cell r="M265">
            <v>7.0693993872309027E-2</v>
          </cell>
          <cell r="N265">
            <v>0.23565502133324046</v>
          </cell>
          <cell r="O265">
            <v>256</v>
          </cell>
        </row>
        <row r="266">
          <cell r="D266">
            <v>44013</v>
          </cell>
          <cell r="E266">
            <v>4.2328000000000001</v>
          </cell>
          <cell r="F266">
            <v>0</v>
          </cell>
          <cell r="G266">
            <v>0</v>
          </cell>
          <cell r="J266">
            <v>0</v>
          </cell>
          <cell r="K266">
            <v>0</v>
          </cell>
          <cell r="M266">
            <v>7.0691896173643021E-2</v>
          </cell>
          <cell r="N266">
            <v>0.2343240666299366</v>
          </cell>
          <cell r="O266">
            <v>257</v>
          </cell>
        </row>
        <row r="267">
          <cell r="D267">
            <v>44044</v>
          </cell>
          <cell r="E267">
            <v>4.2294999999999998</v>
          </cell>
          <cell r="F267">
            <v>0</v>
          </cell>
          <cell r="G267">
            <v>0</v>
          </cell>
          <cell r="J267">
            <v>0</v>
          </cell>
          <cell r="K267">
            <v>0</v>
          </cell>
          <cell r="M267">
            <v>7.068972855169002E-2</v>
          </cell>
          <cell r="N267">
            <v>0.23295672486068578</v>
          </cell>
          <cell r="O267">
            <v>258</v>
          </cell>
        </row>
        <row r="268">
          <cell r="D268">
            <v>44075</v>
          </cell>
          <cell r="E268">
            <v>4.2404999999999999</v>
          </cell>
          <cell r="F268">
            <v>0</v>
          </cell>
          <cell r="G268">
            <v>0</v>
          </cell>
          <cell r="J268">
            <v>0</v>
          </cell>
          <cell r="K268">
            <v>0</v>
          </cell>
          <cell r="M268">
            <v>7.0687560929739005E-2</v>
          </cell>
          <cell r="N268">
            <v>0.23159744420272249</v>
          </cell>
          <cell r="O268">
            <v>259</v>
          </cell>
        </row>
        <row r="269">
          <cell r="D269">
            <v>44105</v>
          </cell>
          <cell r="E269">
            <v>4.2725</v>
          </cell>
          <cell r="F269">
            <v>0</v>
          </cell>
          <cell r="G269">
            <v>0</v>
          </cell>
          <cell r="J269">
            <v>0</v>
          </cell>
          <cell r="K269">
            <v>0</v>
          </cell>
          <cell r="M269">
            <v>7.0685463231078008E-2</v>
          </cell>
          <cell r="N269">
            <v>0.23028964134720761</v>
          </cell>
          <cell r="O269">
            <v>260</v>
          </cell>
        </row>
        <row r="270">
          <cell r="D270">
            <v>44136</v>
          </cell>
          <cell r="E270">
            <v>4.4035000000000002</v>
          </cell>
          <cell r="F270">
            <v>0</v>
          </cell>
          <cell r="G270">
            <v>0</v>
          </cell>
          <cell r="J270">
            <v>0</v>
          </cell>
          <cell r="K270">
            <v>0</v>
          </cell>
          <cell r="M270">
            <v>7.0683295609130004E-2</v>
          </cell>
          <cell r="N270">
            <v>0.22894608299629615</v>
          </cell>
          <cell r="O270">
            <v>261</v>
          </cell>
        </row>
        <row r="271">
          <cell r="D271">
            <v>44166</v>
          </cell>
          <cell r="E271">
            <v>4.5405000000000006</v>
          </cell>
          <cell r="F271">
            <v>0</v>
          </cell>
          <cell r="G271">
            <v>0</v>
          </cell>
          <cell r="J271">
            <v>0</v>
          </cell>
          <cell r="K271">
            <v>0</v>
          </cell>
          <cell r="M271">
            <v>7.0681197910472018E-2</v>
          </cell>
          <cell r="N271">
            <v>0.22765340614266316</v>
          </cell>
          <cell r="O271">
            <v>262</v>
          </cell>
        </row>
        <row r="272">
          <cell r="D272">
            <v>44197</v>
          </cell>
          <cell r="E272">
            <v>5.0940000000000003</v>
          </cell>
          <cell r="F272">
            <v>0</v>
          </cell>
          <cell r="G272">
            <v>0</v>
          </cell>
          <cell r="J272">
            <v>0</v>
          </cell>
          <cell r="K272">
            <v>0</v>
          </cell>
          <cell r="M272">
            <v>7.0679030288527012E-2</v>
          </cell>
          <cell r="N272">
            <v>0.22632538643636191</v>
          </cell>
          <cell r="O272">
            <v>263</v>
          </cell>
        </row>
        <row r="273">
          <cell r="D273">
            <v>44228</v>
          </cell>
          <cell r="E273">
            <v>5.0220000000000002</v>
          </cell>
          <cell r="F273">
            <v>0</v>
          </cell>
          <cell r="G273">
            <v>0</v>
          </cell>
          <cell r="J273">
            <v>0</v>
          </cell>
          <cell r="K273">
            <v>0</v>
          </cell>
          <cell r="M273">
            <v>7.0676862666584003E-2</v>
          </cell>
          <cell r="N273">
            <v>0.22500519372836317</v>
          </cell>
          <cell r="O273">
            <v>264</v>
          </cell>
        </row>
        <row r="274">
          <cell r="D274">
            <v>44256</v>
          </cell>
          <cell r="E274">
            <v>4.915</v>
          </cell>
          <cell r="F274">
            <v>0</v>
          </cell>
          <cell r="G274">
            <v>0</v>
          </cell>
          <cell r="J274">
            <v>0</v>
          </cell>
          <cell r="K274">
            <v>0</v>
          </cell>
          <cell r="M274">
            <v>7.0674904814507014E-2</v>
          </cell>
          <cell r="N274">
            <v>0.22381945031658265</v>
          </cell>
          <cell r="O274">
            <v>265</v>
          </cell>
        </row>
        <row r="275">
          <cell r="D275">
            <v>44287</v>
          </cell>
          <cell r="E275">
            <v>4.8029999999999999</v>
          </cell>
          <cell r="F275">
            <v>0</v>
          </cell>
          <cell r="G275">
            <v>0</v>
          </cell>
          <cell r="J275">
            <v>0</v>
          </cell>
          <cell r="K275">
            <v>0</v>
          </cell>
          <cell r="M275">
            <v>7.0672737192566018E-2</v>
          </cell>
          <cell r="N275">
            <v>0.22251402566543257</v>
          </cell>
          <cell r="O275">
            <v>266</v>
          </cell>
        </row>
        <row r="276">
          <cell r="D276">
            <v>44317</v>
          </cell>
          <cell r="E276">
            <v>4.7930000000000001</v>
          </cell>
          <cell r="F276">
            <v>0</v>
          </cell>
          <cell r="G276">
            <v>0</v>
          </cell>
          <cell r="J276">
            <v>0</v>
          </cell>
          <cell r="K276">
            <v>0</v>
          </cell>
          <cell r="M276">
            <v>7.0670639493915999E-2</v>
          </cell>
          <cell r="N276">
            <v>0.22125803624488768</v>
          </cell>
          <cell r="O276">
            <v>267</v>
          </cell>
        </row>
        <row r="277">
          <cell r="D277">
            <v>44348</v>
          </cell>
          <cell r="E277">
            <v>4.7890000000000006</v>
          </cell>
          <cell r="F277">
            <v>0</v>
          </cell>
          <cell r="G277">
            <v>0</v>
          </cell>
          <cell r="J277">
            <v>0</v>
          </cell>
          <cell r="K277">
            <v>0</v>
          </cell>
          <cell r="M277">
            <v>7.0668471871978014E-2</v>
          </cell>
          <cell r="N277">
            <v>0.21996770486194736</v>
          </cell>
          <cell r="O277">
            <v>268</v>
          </cell>
        </row>
        <row r="278">
          <cell r="D278">
            <v>44378</v>
          </cell>
          <cell r="E278">
            <v>4.7860000000000005</v>
          </cell>
          <cell r="F278">
            <v>0</v>
          </cell>
          <cell r="G278">
            <v>0</v>
          </cell>
          <cell r="J278">
            <v>0</v>
          </cell>
          <cell r="K278">
            <v>0</v>
          </cell>
          <cell r="M278">
            <v>7.0666374173330021E-2</v>
          </cell>
          <cell r="N278">
            <v>0.21872623629622254</v>
          </cell>
          <cell r="O278">
            <v>269</v>
          </cell>
        </row>
        <row r="279">
          <cell r="D279">
            <v>44409</v>
          </cell>
          <cell r="E279">
            <v>4.8160000000000007</v>
          </cell>
          <cell r="F279">
            <v>0</v>
          </cell>
          <cell r="G279">
            <v>0</v>
          </cell>
          <cell r="J279">
            <v>0</v>
          </cell>
          <cell r="K279">
            <v>0</v>
          </cell>
          <cell r="M279">
            <v>7.0664206551396019E-2</v>
          </cell>
          <cell r="N279">
            <v>0.21745082193713483</v>
          </cell>
          <cell r="O279">
            <v>270</v>
          </cell>
        </row>
        <row r="280">
          <cell r="D280">
            <v>44440</v>
          </cell>
          <cell r="E280">
            <v>4.8190000000000008</v>
          </cell>
          <cell r="F280">
            <v>0</v>
          </cell>
          <cell r="G280">
            <v>0</v>
          </cell>
          <cell r="J280">
            <v>0</v>
          </cell>
          <cell r="K280">
            <v>0</v>
          </cell>
          <cell r="M280">
            <v>7.0662038929463003E-2</v>
          </cell>
          <cell r="N280">
            <v>0.21618292148522289</v>
          </cell>
          <cell r="O280">
            <v>271</v>
          </cell>
        </row>
        <row r="281">
          <cell r="D281">
            <v>44470</v>
          </cell>
          <cell r="E281">
            <v>4.8419999999999996</v>
          </cell>
          <cell r="F281">
            <v>0</v>
          </cell>
          <cell r="G281">
            <v>0</v>
          </cell>
          <cell r="J281">
            <v>0</v>
          </cell>
          <cell r="K281">
            <v>0</v>
          </cell>
          <cell r="M281">
            <v>7.065994123082002E-2</v>
          </cell>
          <cell r="N281">
            <v>0.21496303317391613</v>
          </cell>
          <cell r="O281">
            <v>272</v>
          </cell>
        </row>
        <row r="282">
          <cell r="D282">
            <v>44501</v>
          </cell>
          <cell r="E282">
            <v>4.9510000000000005</v>
          </cell>
          <cell r="F282">
            <v>0</v>
          </cell>
          <cell r="G282">
            <v>0</v>
          </cell>
          <cell r="J282">
            <v>0</v>
          </cell>
          <cell r="K282">
            <v>0</v>
          </cell>
          <cell r="M282">
            <v>7.0657773608890001E-2</v>
          </cell>
          <cell r="O282">
            <v>273</v>
          </cell>
        </row>
        <row r="283">
          <cell r="D283">
            <v>44531</v>
          </cell>
          <cell r="E283">
            <v>5.0720000000000001</v>
          </cell>
          <cell r="F283">
            <v>0</v>
          </cell>
          <cell r="G283">
            <v>0</v>
          </cell>
          <cell r="J283">
            <v>0</v>
          </cell>
          <cell r="K283">
            <v>0</v>
          </cell>
          <cell r="M283">
            <v>7.0655675910249002E-2</v>
          </cell>
          <cell r="N283">
            <v>0.21250399890721991</v>
          </cell>
          <cell r="O283">
            <v>274</v>
          </cell>
        </row>
        <row r="284">
          <cell r="D284">
            <v>44562</v>
          </cell>
          <cell r="E284">
            <v>5.3040000000000003</v>
          </cell>
          <cell r="F284">
            <v>0</v>
          </cell>
          <cell r="G284">
            <v>0</v>
          </cell>
          <cell r="J284">
            <v>0</v>
          </cell>
          <cell r="K284">
            <v>0</v>
          </cell>
          <cell r="M284">
            <v>7.0653508288323008E-2</v>
          </cell>
          <cell r="N284">
            <v>0.21126523764584093</v>
          </cell>
          <cell r="O284">
            <v>275</v>
          </cell>
        </row>
        <row r="285">
          <cell r="D285">
            <v>44593</v>
          </cell>
          <cell r="E285">
            <v>5.2320000000000002</v>
          </cell>
          <cell r="F285">
            <v>0</v>
          </cell>
          <cell r="G285">
            <v>0</v>
          </cell>
          <cell r="J285">
            <v>0</v>
          </cell>
          <cell r="K285">
            <v>0</v>
          </cell>
          <cell r="M285">
            <v>7.0651340666397E-2</v>
          </cell>
          <cell r="N285">
            <v>0.21003377221829109</v>
          </cell>
          <cell r="O285">
            <v>276</v>
          </cell>
        </row>
        <row r="286">
          <cell r="D286">
            <v>44621</v>
          </cell>
          <cell r="E286">
            <v>5.125</v>
          </cell>
          <cell r="F286">
            <v>0</v>
          </cell>
          <cell r="G286">
            <v>0</v>
          </cell>
          <cell r="J286">
            <v>0</v>
          </cell>
          <cell r="K286">
            <v>0</v>
          </cell>
          <cell r="M286">
            <v>7.0649382814336997E-2</v>
          </cell>
          <cell r="N286">
            <v>0.20892771568387195</v>
          </cell>
          <cell r="O286">
            <v>277</v>
          </cell>
        </row>
        <row r="287">
          <cell r="D287">
            <v>44652</v>
          </cell>
          <cell r="E287">
            <v>5.0129999999999999</v>
          </cell>
          <cell r="F287">
            <v>0</v>
          </cell>
          <cell r="G287">
            <v>0</v>
          </cell>
          <cell r="J287">
            <v>0</v>
          </cell>
          <cell r="K287">
            <v>0</v>
          </cell>
          <cell r="M287">
            <v>7.0647215192415028E-2</v>
          </cell>
          <cell r="N287">
            <v>0.20771001618865101</v>
          </cell>
          <cell r="O287">
            <v>278</v>
          </cell>
        </row>
        <row r="288">
          <cell r="D288">
            <v>44682</v>
          </cell>
          <cell r="E288">
            <v>5.0030000000000001</v>
          </cell>
          <cell r="F288">
            <v>0</v>
          </cell>
          <cell r="G288">
            <v>0</v>
          </cell>
          <cell r="J288">
            <v>0</v>
          </cell>
          <cell r="K288">
            <v>0</v>
          </cell>
          <cell r="M288">
            <v>7.0645117493782009E-2</v>
          </cell>
          <cell r="N288">
            <v>0.20653842508035167</v>
          </cell>
          <cell r="O288">
            <v>279</v>
          </cell>
        </row>
        <row r="289">
          <cell r="D289">
            <v>44713</v>
          </cell>
          <cell r="E289">
            <v>4.9990000000000006</v>
          </cell>
          <cell r="F289">
            <v>0</v>
          </cell>
          <cell r="G289">
            <v>0</v>
          </cell>
          <cell r="J289">
            <v>0</v>
          </cell>
          <cell r="K289">
            <v>0</v>
          </cell>
          <cell r="M289">
            <v>7.0642949871863009E-2</v>
          </cell>
          <cell r="N289">
            <v>0.20533479477237598</v>
          </cell>
          <cell r="O289">
            <v>280</v>
          </cell>
        </row>
        <row r="290">
          <cell r="D290">
            <v>44743</v>
          </cell>
          <cell r="E290">
            <v>4.9960000000000004</v>
          </cell>
          <cell r="F290">
            <v>0</v>
          </cell>
          <cell r="G290">
            <v>0</v>
          </cell>
          <cell r="J290">
            <v>0</v>
          </cell>
          <cell r="K290">
            <v>0</v>
          </cell>
          <cell r="M290">
            <v>7.0640852173233015E-2</v>
          </cell>
          <cell r="N290">
            <v>0.20417673933086214</v>
          </cell>
          <cell r="O290">
            <v>281</v>
          </cell>
        </row>
        <row r="291">
          <cell r="D291">
            <v>44774</v>
          </cell>
          <cell r="E291">
            <v>5.0260000000000007</v>
          </cell>
          <cell r="F291">
            <v>0</v>
          </cell>
          <cell r="G291">
            <v>0</v>
          </cell>
          <cell r="J291">
            <v>0</v>
          </cell>
          <cell r="K291">
            <v>0</v>
          </cell>
          <cell r="M291">
            <v>7.0638684551316028E-2</v>
          </cell>
          <cell r="N291">
            <v>0.20298701403612976</v>
          </cell>
          <cell r="O291">
            <v>282</v>
          </cell>
        </row>
        <row r="292">
          <cell r="D292">
            <v>44805</v>
          </cell>
          <cell r="E292">
            <v>5.0290000000000008</v>
          </cell>
          <cell r="F292">
            <v>0</v>
          </cell>
          <cell r="G292">
            <v>0</v>
          </cell>
          <cell r="J292">
            <v>0</v>
          </cell>
          <cell r="K292">
            <v>0</v>
          </cell>
          <cell r="M292">
            <v>7.063651692940201E-2</v>
          </cell>
          <cell r="N292">
            <v>0.20180429292773591</v>
          </cell>
          <cell r="O292">
            <v>283</v>
          </cell>
        </row>
        <row r="293">
          <cell r="D293">
            <v>44835</v>
          </cell>
          <cell r="E293">
            <v>5.0519999999999996</v>
          </cell>
          <cell r="F293">
            <v>0</v>
          </cell>
          <cell r="G293">
            <v>0</v>
          </cell>
          <cell r="J293">
            <v>0</v>
          </cell>
          <cell r="K293">
            <v>0</v>
          </cell>
          <cell r="M293">
            <v>7.0634419230776013E-2</v>
          </cell>
          <cell r="N293">
            <v>0.20066635380086392</v>
          </cell>
          <cell r="O293">
            <v>284</v>
          </cell>
        </row>
        <row r="294">
          <cell r="D294">
            <v>44866</v>
          </cell>
          <cell r="E294">
            <v>5.1610000000000005</v>
          </cell>
          <cell r="F294">
            <v>0</v>
          </cell>
          <cell r="G294">
            <v>0</v>
          </cell>
          <cell r="J294">
            <v>0</v>
          </cell>
          <cell r="K294">
            <v>0</v>
          </cell>
          <cell r="M294">
            <v>7.0632251608865021E-2</v>
          </cell>
          <cell r="N294">
            <v>0.19949729375017677</v>
          </cell>
          <cell r="O294">
            <v>285</v>
          </cell>
        </row>
        <row r="295">
          <cell r="D295">
            <v>44896</v>
          </cell>
          <cell r="E295">
            <v>5.2820000000000009</v>
          </cell>
          <cell r="F295">
            <v>0</v>
          </cell>
          <cell r="G295">
            <v>0</v>
          </cell>
          <cell r="J295">
            <v>0</v>
          </cell>
          <cell r="K295">
            <v>0</v>
          </cell>
          <cell r="M295">
            <v>7.0630153910242008E-2</v>
          </cell>
          <cell r="N295">
            <v>0.19837249765953349</v>
          </cell>
          <cell r="O295">
            <v>286</v>
          </cell>
        </row>
        <row r="296">
          <cell r="D296">
            <v>44927</v>
          </cell>
          <cell r="E296">
            <v>5.516</v>
          </cell>
          <cell r="F296">
            <v>0</v>
          </cell>
          <cell r="G296">
            <v>0</v>
          </cell>
          <cell r="J296">
            <v>0</v>
          </cell>
          <cell r="K296">
            <v>0</v>
          </cell>
          <cell r="M296">
            <v>7.0627986288333999E-2</v>
          </cell>
          <cell r="N296">
            <v>0.19721693930067477</v>
          </cell>
          <cell r="O296">
            <v>287</v>
          </cell>
        </row>
        <row r="297">
          <cell r="D297">
            <v>44958</v>
          </cell>
          <cell r="E297">
            <v>5.4450000000000003</v>
          </cell>
          <cell r="F297">
            <v>0</v>
          </cell>
          <cell r="G297">
            <v>0</v>
          </cell>
          <cell r="J297">
            <v>0</v>
          </cell>
          <cell r="K297">
            <v>0</v>
          </cell>
          <cell r="M297">
            <v>7.0625818666426018E-2</v>
          </cell>
          <cell r="N297">
            <v>0.19606818198582479</v>
          </cell>
          <cell r="O297">
            <v>288</v>
          </cell>
        </row>
        <row r="298">
          <cell r="D298">
            <v>44986</v>
          </cell>
          <cell r="E298">
            <v>5.3380000000000001</v>
          </cell>
          <cell r="F298">
            <v>0</v>
          </cell>
          <cell r="G298">
            <v>0</v>
          </cell>
          <cell r="J298">
            <v>0</v>
          </cell>
          <cell r="K298">
            <v>0</v>
          </cell>
          <cell r="M298">
            <v>7.0623860814382988E-2</v>
          </cell>
          <cell r="N298">
            <v>0.19503640674243683</v>
          </cell>
          <cell r="O298">
            <v>289</v>
          </cell>
        </row>
        <row r="299">
          <cell r="D299">
            <v>45017</v>
          </cell>
          <cell r="E299">
            <v>5.226</v>
          </cell>
          <cell r="F299">
            <v>0</v>
          </cell>
          <cell r="G299">
            <v>0</v>
          </cell>
          <cell r="J299">
            <v>0</v>
          </cell>
          <cell r="K299">
            <v>0</v>
          </cell>
          <cell r="M299">
            <v>7.0621693192479018E-2</v>
          </cell>
          <cell r="N299">
            <v>0.19390048185637204</v>
          </cell>
          <cell r="O299">
            <v>290</v>
          </cell>
        </row>
        <row r="300">
          <cell r="D300">
            <v>45047</v>
          </cell>
          <cell r="E300">
            <v>5.2160000000000002</v>
          </cell>
          <cell r="F300">
            <v>0</v>
          </cell>
          <cell r="G300">
            <v>0</v>
          </cell>
          <cell r="J300">
            <v>0</v>
          </cell>
          <cell r="K300">
            <v>0</v>
          </cell>
          <cell r="M300">
            <v>7.0619595493864012E-2</v>
          </cell>
          <cell r="N300">
            <v>0.19280756449626377</v>
          </cell>
          <cell r="O300">
            <v>291</v>
          </cell>
        </row>
        <row r="301">
          <cell r="D301">
            <v>45078</v>
          </cell>
          <cell r="E301">
            <v>5.2120000000000006</v>
          </cell>
          <cell r="F301">
            <v>0</v>
          </cell>
          <cell r="G301">
            <v>0</v>
          </cell>
          <cell r="J301">
            <v>0</v>
          </cell>
          <cell r="K301">
            <v>0</v>
          </cell>
          <cell r="M301">
            <v>7.0617427871962998E-2</v>
          </cell>
          <cell r="N301">
            <v>0.19168475483343006</v>
          </cell>
          <cell r="O301">
            <v>292</v>
          </cell>
        </row>
        <row r="302">
          <cell r="D302">
            <v>45108</v>
          </cell>
          <cell r="E302">
            <v>5.2089999999999996</v>
          </cell>
          <cell r="F302">
            <v>0</v>
          </cell>
          <cell r="G302">
            <v>0</v>
          </cell>
          <cell r="J302">
            <v>0</v>
          </cell>
          <cell r="K302">
            <v>0</v>
          </cell>
          <cell r="M302">
            <v>7.0615330173351018E-2</v>
          </cell>
          <cell r="N302">
            <v>0.19060445540243642</v>
          </cell>
          <cell r="O302">
            <v>293</v>
          </cell>
        </row>
        <row r="303">
          <cell r="D303">
            <v>45139</v>
          </cell>
          <cell r="E303">
            <v>5.2389999999999999</v>
          </cell>
          <cell r="F303">
            <v>0</v>
          </cell>
          <cell r="G303">
            <v>0</v>
          </cell>
          <cell r="J303">
            <v>0</v>
          </cell>
          <cell r="K303">
            <v>0</v>
          </cell>
          <cell r="M303">
            <v>7.0613162551453015E-2</v>
          </cell>
          <cell r="N303">
            <v>0.18949460802521478</v>
          </cell>
          <cell r="O303">
            <v>294</v>
          </cell>
        </row>
        <row r="304">
          <cell r="D304">
            <v>45170</v>
          </cell>
          <cell r="E304">
            <v>5.2420000000000009</v>
          </cell>
          <cell r="F304">
            <v>0</v>
          </cell>
          <cell r="G304">
            <v>0</v>
          </cell>
          <cell r="J304">
            <v>0</v>
          </cell>
          <cell r="K304">
            <v>0</v>
          </cell>
          <cell r="M304">
            <v>7.0610994929556012E-2</v>
          </cell>
          <cell r="N304">
            <v>0.18839129000650934</v>
          </cell>
          <cell r="O304">
            <v>295</v>
          </cell>
        </row>
        <row r="305">
          <cell r="D305">
            <v>45200</v>
          </cell>
          <cell r="E305">
            <v>5.2649999999999997</v>
          </cell>
          <cell r="F305">
            <v>0</v>
          </cell>
          <cell r="G305">
            <v>0</v>
          </cell>
          <cell r="J305">
            <v>0</v>
          </cell>
          <cell r="K305">
            <v>0</v>
          </cell>
          <cell r="M305">
            <v>7.0608897230948001E-2</v>
          </cell>
          <cell r="N305">
            <v>0.18732974316456669</v>
          </cell>
          <cell r="O305">
            <v>296</v>
          </cell>
        </row>
        <row r="306">
          <cell r="D306">
            <v>45231</v>
          </cell>
          <cell r="E306">
            <v>5.3739999999999997</v>
          </cell>
          <cell r="F306">
            <v>0</v>
          </cell>
          <cell r="G306">
            <v>0</v>
          </cell>
          <cell r="J306">
            <v>0</v>
          </cell>
          <cell r="K306">
            <v>0</v>
          </cell>
          <cell r="M306">
            <v>7.0606729609055008E-2</v>
          </cell>
          <cell r="N306">
            <v>0.18623916017045195</v>
          </cell>
          <cell r="O306">
            <v>297</v>
          </cell>
        </row>
        <row r="307">
          <cell r="D307">
            <v>45261</v>
          </cell>
          <cell r="E307">
            <v>5.4950000000000001</v>
          </cell>
          <cell r="F307">
            <v>0</v>
          </cell>
          <cell r="G307">
            <v>0</v>
          </cell>
          <cell r="J307">
            <v>0</v>
          </cell>
          <cell r="K307">
            <v>0</v>
          </cell>
          <cell r="M307">
            <v>7.0604631910449994E-2</v>
          </cell>
          <cell r="N307">
            <v>0.18518986549581268</v>
          </cell>
          <cell r="O307">
            <v>298</v>
          </cell>
        </row>
        <row r="308">
          <cell r="D308">
            <v>45292</v>
          </cell>
          <cell r="E308">
            <v>5.7310000000000008</v>
          </cell>
          <cell r="F308">
            <v>0</v>
          </cell>
          <cell r="G308">
            <v>0</v>
          </cell>
          <cell r="J308">
            <v>0</v>
          </cell>
          <cell r="K308">
            <v>0</v>
          </cell>
          <cell r="M308">
            <v>7.0602464288560013E-2</v>
          </cell>
          <cell r="N308">
            <v>0.18411186906474963</v>
          </cell>
          <cell r="O308">
            <v>299</v>
          </cell>
        </row>
        <row r="309">
          <cell r="D309">
            <v>45323</v>
          </cell>
          <cell r="E309">
            <v>5.66</v>
          </cell>
          <cell r="F309">
            <v>0</v>
          </cell>
          <cell r="G309">
            <v>0</v>
          </cell>
          <cell r="J309">
            <v>0</v>
          </cell>
          <cell r="K309">
            <v>0</v>
          </cell>
          <cell r="M309">
            <v>7.0600296666671003E-2</v>
          </cell>
          <cell r="N309">
            <v>0.18304021274952847</v>
          </cell>
          <cell r="O309">
            <v>300</v>
          </cell>
        </row>
        <row r="310">
          <cell r="D310">
            <v>45352</v>
          </cell>
          <cell r="E310">
            <v>5.5530000000000008</v>
          </cell>
          <cell r="F310">
            <v>0</v>
          </cell>
          <cell r="G310">
            <v>0</v>
          </cell>
          <cell r="J310">
            <v>0</v>
          </cell>
          <cell r="K310">
            <v>0</v>
          </cell>
          <cell r="M310">
            <v>7.0598268891357022E-2</v>
          </cell>
          <cell r="N310">
            <v>0.18204340193565852</v>
          </cell>
          <cell r="O310">
            <v>301</v>
          </cell>
        </row>
        <row r="311">
          <cell r="D311">
            <v>45383</v>
          </cell>
          <cell r="E311">
            <v>5.4410000000000007</v>
          </cell>
          <cell r="F311">
            <v>0</v>
          </cell>
          <cell r="G311">
            <v>0</v>
          </cell>
          <cell r="J311">
            <v>0</v>
          </cell>
          <cell r="K311">
            <v>0</v>
          </cell>
          <cell r="M311">
            <v>7.0596101269472009E-2</v>
          </cell>
          <cell r="N311">
            <v>0.18098391001891878</v>
          </cell>
          <cell r="O311">
            <v>302</v>
          </cell>
        </row>
        <row r="312">
          <cell r="D312">
            <v>45413</v>
          </cell>
          <cell r="E312">
            <v>5.431</v>
          </cell>
          <cell r="F312">
            <v>0</v>
          </cell>
          <cell r="G312">
            <v>0</v>
          </cell>
          <cell r="J312">
            <v>0</v>
          </cell>
          <cell r="K312">
            <v>0</v>
          </cell>
          <cell r="M312">
            <v>7.0594003570875016E-2</v>
          </cell>
          <cell r="N312">
            <v>0.17996452761697562</v>
          </cell>
          <cell r="O312">
            <v>303</v>
          </cell>
        </row>
        <row r="313">
          <cell r="F313">
            <v>0</v>
          </cell>
          <cell r="G313">
            <v>0</v>
          </cell>
          <cell r="J313">
            <v>0</v>
          </cell>
          <cell r="K313">
            <v>0</v>
          </cell>
          <cell r="M313">
            <v>7.0591835949000009E-2</v>
          </cell>
          <cell r="N313">
            <v>1002.9272274192878</v>
          </cell>
          <cell r="O313">
            <v>304</v>
          </cell>
        </row>
        <row r="314">
          <cell r="F314">
            <v>0</v>
          </cell>
          <cell r="G314">
            <v>0</v>
          </cell>
          <cell r="J314">
            <v>0</v>
          </cell>
          <cell r="K314">
            <v>0</v>
          </cell>
          <cell r="M314">
            <v>7.0589738250397022E-2</v>
          </cell>
          <cell r="N314">
            <v>1002.7248208424493</v>
          </cell>
          <cell r="O314">
            <v>305</v>
          </cell>
        </row>
        <row r="315">
          <cell r="F315">
            <v>0</v>
          </cell>
          <cell r="G315">
            <v>0</v>
          </cell>
          <cell r="J315">
            <v>0</v>
          </cell>
          <cell r="K315">
            <v>0</v>
          </cell>
          <cell r="M315">
            <v>7.0587570628518018E-2</v>
          </cell>
          <cell r="N315">
            <v>1002.5157100793259</v>
          </cell>
          <cell r="O315">
            <v>306</v>
          </cell>
        </row>
        <row r="316">
          <cell r="F316">
            <v>0</v>
          </cell>
          <cell r="G316">
            <v>0</v>
          </cell>
          <cell r="J316">
            <v>0</v>
          </cell>
          <cell r="K316">
            <v>0</v>
          </cell>
          <cell r="M316">
            <v>7.0585403006639999E-2</v>
          </cell>
          <cell r="N316">
            <v>1002.3066427059309</v>
          </cell>
          <cell r="O316">
            <v>307</v>
          </cell>
        </row>
        <row r="317">
          <cell r="F317">
            <v>0</v>
          </cell>
          <cell r="G317">
            <v>0</v>
          </cell>
          <cell r="J317">
            <v>0</v>
          </cell>
          <cell r="K317">
            <v>0</v>
          </cell>
          <cell r="M317">
            <v>7.0583305308049016E-2</v>
          </cell>
          <cell r="N317">
            <v>1002.1043607457121</v>
          </cell>
          <cell r="O317">
            <v>308</v>
          </cell>
        </row>
        <row r="318">
          <cell r="F318">
            <v>0</v>
          </cell>
          <cell r="G318">
            <v>0</v>
          </cell>
          <cell r="J318">
            <v>0</v>
          </cell>
          <cell r="K318">
            <v>0</v>
          </cell>
          <cell r="M318">
            <v>7.0581137686175008E-2</v>
          </cell>
          <cell r="N318">
            <v>1001.8953787261714</v>
          </cell>
          <cell r="O318">
            <v>309</v>
          </cell>
        </row>
        <row r="319">
          <cell r="F319">
            <v>0</v>
          </cell>
          <cell r="G319">
            <v>0</v>
          </cell>
          <cell r="J319">
            <v>0</v>
          </cell>
          <cell r="K319">
            <v>0</v>
          </cell>
          <cell r="M319">
            <v>7.0579039987587022E-2</v>
          </cell>
          <cell r="N319">
            <v>1001.6931793495629</v>
          </cell>
          <cell r="O319">
            <v>310</v>
          </cell>
        </row>
        <row r="320">
          <cell r="F320">
            <v>0</v>
          </cell>
          <cell r="G320">
            <v>0</v>
          </cell>
          <cell r="J320">
            <v>0</v>
          </cell>
          <cell r="K320">
            <v>0</v>
          </cell>
          <cell r="M320">
            <v>7.0576872365716026E-2</v>
          </cell>
          <cell r="N320">
            <v>1001.4842826491182</v>
          </cell>
          <cell r="O320">
            <v>311</v>
          </cell>
        </row>
        <row r="321">
          <cell r="F321">
            <v>0</v>
          </cell>
          <cell r="G321">
            <v>0</v>
          </cell>
          <cell r="J321">
            <v>0</v>
          </cell>
          <cell r="K321">
            <v>0</v>
          </cell>
          <cell r="M321">
            <v>7.0574704743845001E-2</v>
          </cell>
          <cell r="N321">
            <v>1001.2754292941237</v>
          </cell>
          <cell r="O321">
            <v>312</v>
          </cell>
        </row>
        <row r="322">
          <cell r="F322">
            <v>0</v>
          </cell>
          <cell r="G322">
            <v>0</v>
          </cell>
          <cell r="J322">
            <v>0</v>
          </cell>
          <cell r="K322">
            <v>0</v>
          </cell>
          <cell r="M322">
            <v>7.0572746891835028E-2</v>
          </cell>
          <cell r="N322">
            <v>1001.0868248032288</v>
          </cell>
          <cell r="O322">
            <v>313</v>
          </cell>
        </row>
        <row r="323">
          <cell r="F323">
            <v>0</v>
          </cell>
          <cell r="G323">
            <v>0</v>
          </cell>
          <cell r="J323">
            <v>0</v>
          </cell>
          <cell r="K323">
            <v>0</v>
          </cell>
          <cell r="M323">
            <v>7.0570579269967015E-2</v>
          </cell>
          <cell r="N323">
            <v>1000.8780539199932</v>
          </cell>
          <cell r="O323">
            <v>314</v>
          </cell>
        </row>
        <row r="324">
          <cell r="F324">
            <v>0</v>
          </cell>
          <cell r="G324">
            <v>0</v>
          </cell>
          <cell r="J324">
            <v>0</v>
          </cell>
          <cell r="K324">
            <v>0</v>
          </cell>
          <cell r="M324">
            <v>7.0568481571387009E-2</v>
          </cell>
          <cell r="N324">
            <v>1000.6760588275291</v>
          </cell>
          <cell r="O324">
            <v>315</v>
          </cell>
        </row>
        <row r="325">
          <cell r="F325">
            <v>0</v>
          </cell>
          <cell r="G325">
            <v>0</v>
          </cell>
          <cell r="J325">
            <v>0</v>
          </cell>
          <cell r="K325">
            <v>0</v>
          </cell>
          <cell r="M325">
            <v>7.0566313949522994E-2</v>
          </cell>
          <cell r="N325">
            <v>1000.4673731777104</v>
          </cell>
          <cell r="O325">
            <v>316</v>
          </cell>
        </row>
        <row r="326">
          <cell r="F326">
            <v>0</v>
          </cell>
          <cell r="G326">
            <v>0</v>
          </cell>
          <cell r="J326">
            <v>0</v>
          </cell>
          <cell r="K326">
            <v>0</v>
          </cell>
          <cell r="M326">
            <v>7.0564216250946013E-2</v>
          </cell>
          <cell r="N326">
            <v>1000.2654605523704</v>
          </cell>
          <cell r="O326">
            <v>317</v>
          </cell>
        </row>
        <row r="327">
          <cell r="F327">
            <v>0</v>
          </cell>
          <cell r="G327">
            <v>0</v>
          </cell>
          <cell r="J327">
            <v>0</v>
          </cell>
          <cell r="K327">
            <v>0</v>
          </cell>
          <cell r="M327">
            <v>7.0562048629084009E-2</v>
          </cell>
          <cell r="N327">
            <v>1000.056860101135</v>
          </cell>
          <cell r="O327">
            <v>318</v>
          </cell>
        </row>
        <row r="328">
          <cell r="F328">
            <v>0</v>
          </cell>
          <cell r="G328">
            <v>0</v>
          </cell>
          <cell r="J328">
            <v>0</v>
          </cell>
          <cell r="K328">
            <v>0</v>
          </cell>
          <cell r="M328">
            <v>7.0559881007225017E-2</v>
          </cell>
          <cell r="N328">
            <v>999.84830293448749</v>
          </cell>
          <cell r="O328">
            <v>319</v>
          </cell>
        </row>
        <row r="329">
          <cell r="F329">
            <v>0</v>
          </cell>
          <cell r="G329">
            <v>0</v>
          </cell>
          <cell r="J329">
            <v>0</v>
          </cell>
          <cell r="K329">
            <v>0</v>
          </cell>
          <cell r="M329">
            <v>7.0557783308653005E-2</v>
          </cell>
          <cell r="N329">
            <v>999.64651462245843</v>
          </cell>
          <cell r="O329">
            <v>320</v>
          </cell>
        </row>
        <row r="330">
          <cell r="F330">
            <v>0</v>
          </cell>
          <cell r="G330">
            <v>0</v>
          </cell>
          <cell r="J330">
            <v>0</v>
          </cell>
          <cell r="K330">
            <v>0</v>
          </cell>
          <cell r="M330">
            <v>7.0555615686796011E-2</v>
          </cell>
          <cell r="N330">
            <v>999.4380426022027</v>
          </cell>
          <cell r="O330">
            <v>321</v>
          </cell>
        </row>
        <row r="331">
          <cell r="F331">
            <v>0</v>
          </cell>
          <cell r="G331">
            <v>0</v>
          </cell>
          <cell r="J331">
            <v>0</v>
          </cell>
          <cell r="K331">
            <v>0</v>
          </cell>
          <cell r="M331">
            <v>7.0553517988227024E-2</v>
          </cell>
          <cell r="N331">
            <v>999.23633667330557</v>
          </cell>
          <cell r="O331">
            <v>322</v>
          </cell>
        </row>
        <row r="332">
          <cell r="F332">
            <v>0</v>
          </cell>
          <cell r="G332">
            <v>0</v>
          </cell>
          <cell r="J332">
            <v>0</v>
          </cell>
          <cell r="K332">
            <v>0</v>
          </cell>
          <cell r="M332">
            <v>7.0551350366373028E-2</v>
          </cell>
          <cell r="N332">
            <v>999.02794976498137</v>
          </cell>
          <cell r="O332">
            <v>323</v>
          </cell>
        </row>
        <row r="333">
          <cell r="F333">
            <v>0</v>
          </cell>
          <cell r="G333">
            <v>0</v>
          </cell>
          <cell r="J333">
            <v>0</v>
          </cell>
          <cell r="K333">
            <v>0</v>
          </cell>
          <cell r="M333">
            <v>7.054918274452103E-2</v>
          </cell>
          <cell r="N333">
            <v>998.81960609707335</v>
          </cell>
          <cell r="O333">
            <v>324</v>
          </cell>
        </row>
        <row r="334">
          <cell r="F334">
            <v>0</v>
          </cell>
          <cell r="G334">
            <v>0</v>
          </cell>
          <cell r="J334">
            <v>0</v>
          </cell>
          <cell r="K334">
            <v>0</v>
          </cell>
          <cell r="M334">
            <v>7.0547224892527016E-2</v>
          </cell>
          <cell r="N334">
            <v>998.63146187818381</v>
          </cell>
          <cell r="O334">
            <v>325</v>
          </cell>
        </row>
        <row r="335">
          <cell r="F335">
            <v>0</v>
          </cell>
          <cell r="G335">
            <v>0</v>
          </cell>
          <cell r="J335">
            <v>0</v>
          </cell>
          <cell r="K335">
            <v>0</v>
          </cell>
          <cell r="M335">
            <v>7.0545057270677988E-2</v>
          </cell>
          <cell r="N335">
            <v>998.4232004817394</v>
          </cell>
          <cell r="O335">
            <v>326</v>
          </cell>
        </row>
        <row r="336">
          <cell r="F336">
            <v>0</v>
          </cell>
          <cell r="G336">
            <v>0</v>
          </cell>
          <cell r="J336">
            <v>0</v>
          </cell>
          <cell r="K336">
            <v>0</v>
          </cell>
          <cell r="M336">
            <v>7.054295957211601E-2</v>
          </cell>
          <cell r="N336">
            <v>998.2216983408747</v>
          </cell>
          <cell r="O336">
            <v>327</v>
          </cell>
        </row>
        <row r="337">
          <cell r="F337">
            <v>0</v>
          </cell>
          <cell r="G337">
            <v>0</v>
          </cell>
          <cell r="J337">
            <v>0</v>
          </cell>
          <cell r="K337">
            <v>0</v>
          </cell>
          <cell r="M337">
            <v>7.0540791950270021E-2</v>
          </cell>
          <cell r="N337">
            <v>998.01352197080541</v>
          </cell>
          <cell r="O337">
            <v>328</v>
          </cell>
        </row>
        <row r="338">
          <cell r="F338">
            <v>0</v>
          </cell>
          <cell r="G338">
            <v>0</v>
          </cell>
          <cell r="J338">
            <v>0</v>
          </cell>
          <cell r="K338">
            <v>0</v>
          </cell>
          <cell r="M338">
            <v>7.0538694251710013E-2</v>
          </cell>
          <cell r="N338">
            <v>997.81210209669609</v>
          </cell>
          <cell r="O338">
            <v>329</v>
          </cell>
        </row>
        <row r="339">
          <cell r="F339">
            <v>0</v>
          </cell>
          <cell r="G339">
            <v>0</v>
          </cell>
          <cell r="J339">
            <v>0</v>
          </cell>
          <cell r="K339">
            <v>0</v>
          </cell>
          <cell r="M339">
            <v>7.0536526629866994E-2</v>
          </cell>
          <cell r="N339">
            <v>997.60401071846331</v>
          </cell>
          <cell r="O339">
            <v>330</v>
          </cell>
        </row>
        <row r="340">
          <cell r="F340">
            <v>0</v>
          </cell>
          <cell r="G340">
            <v>0</v>
          </cell>
          <cell r="J340">
            <v>0</v>
          </cell>
          <cell r="K340">
            <v>0</v>
          </cell>
          <cell r="M340">
            <v>7.0534359008026001E-2</v>
          </cell>
          <cell r="N340">
            <v>997.3959625195921</v>
          </cell>
          <cell r="O340">
            <v>331</v>
          </cell>
        </row>
        <row r="341">
          <cell r="F341">
            <v>0</v>
          </cell>
          <cell r="G341">
            <v>0</v>
          </cell>
          <cell r="J341">
            <v>0</v>
          </cell>
          <cell r="K341">
            <v>0</v>
          </cell>
          <cell r="M341">
            <v>7.0532261309471017E-2</v>
          </cell>
          <cell r="N341">
            <v>997.19466665698621</v>
          </cell>
          <cell r="O341">
            <v>332</v>
          </cell>
        </row>
        <row r="342">
          <cell r="F342">
            <v>0</v>
          </cell>
          <cell r="G342">
            <v>0</v>
          </cell>
          <cell r="J342">
            <v>0</v>
          </cell>
          <cell r="K342">
            <v>0</v>
          </cell>
          <cell r="M342">
            <v>7.0530093687633008E-2</v>
          </cell>
          <cell r="N342">
            <v>996.9867033978868</v>
          </cell>
          <cell r="O342">
            <v>333</v>
          </cell>
        </row>
        <row r="343">
          <cell r="F343">
            <v>0</v>
          </cell>
          <cell r="G343">
            <v>0</v>
          </cell>
          <cell r="J343">
            <v>0</v>
          </cell>
          <cell r="K343">
            <v>0</v>
          </cell>
          <cell r="M343">
            <v>7.0527995989081008E-2</v>
          </cell>
          <cell r="N343">
            <v>996.78548971837392</v>
          </cell>
          <cell r="O343">
            <v>334</v>
          </cell>
        </row>
        <row r="344">
          <cell r="F344">
            <v>0</v>
          </cell>
          <cell r="G344">
            <v>0</v>
          </cell>
          <cell r="J344">
            <v>0</v>
          </cell>
          <cell r="K344">
            <v>0</v>
          </cell>
          <cell r="M344">
            <v>7.0525828367246024E-2</v>
          </cell>
          <cell r="N344">
            <v>996.57761136449858</v>
          </cell>
          <cell r="O344">
            <v>335</v>
          </cell>
        </row>
        <row r="345">
          <cell r="F345">
            <v>0</v>
          </cell>
          <cell r="G345">
            <v>0</v>
          </cell>
          <cell r="J345">
            <v>0</v>
          </cell>
          <cell r="K345">
            <v>0</v>
          </cell>
          <cell r="M345">
            <v>7.0523660745412012E-2</v>
          </cell>
          <cell r="N345">
            <v>996.36977614596037</v>
          </cell>
          <cell r="O345">
            <v>336</v>
          </cell>
        </row>
        <row r="346">
          <cell r="F346">
            <v>0</v>
          </cell>
          <cell r="G346">
            <v>0</v>
          </cell>
          <cell r="J346">
            <v>0</v>
          </cell>
          <cell r="K346">
            <v>0</v>
          </cell>
          <cell r="M346">
            <v>7.0521702893434027E-2</v>
          </cell>
          <cell r="N346">
            <v>996.18209108143219</v>
          </cell>
          <cell r="O346">
            <v>337</v>
          </cell>
        </row>
        <row r="347">
          <cell r="F347">
            <v>0</v>
          </cell>
          <cell r="G347">
            <v>0</v>
          </cell>
          <cell r="J347">
            <v>0</v>
          </cell>
          <cell r="K347">
            <v>0</v>
          </cell>
          <cell r="M347">
            <v>7.0519535271604025E-2</v>
          </cell>
          <cell r="N347">
            <v>995.97433793471839</v>
          </cell>
          <cell r="O347">
            <v>338</v>
          </cell>
        </row>
        <row r="348">
          <cell r="F348">
            <v>0</v>
          </cell>
          <cell r="G348">
            <v>0</v>
          </cell>
          <cell r="J348">
            <v>0</v>
          </cell>
          <cell r="K348">
            <v>0</v>
          </cell>
          <cell r="M348">
            <v>7.0517437573059005E-2</v>
          </cell>
          <cell r="N348">
            <v>995.77332754836709</v>
          </cell>
          <cell r="O348">
            <v>339</v>
          </cell>
        </row>
        <row r="349">
          <cell r="F349">
            <v>0</v>
          </cell>
          <cell r="G349">
            <v>0</v>
          </cell>
          <cell r="J349">
            <v>0</v>
          </cell>
          <cell r="K349">
            <v>0</v>
          </cell>
          <cell r="M349">
            <v>7.0515269951232029E-2</v>
          </cell>
          <cell r="N349">
            <v>995.56565922157063</v>
          </cell>
          <cell r="O349">
            <v>340</v>
          </cell>
        </row>
        <row r="350">
          <cell r="F350">
            <v>0</v>
          </cell>
          <cell r="G350">
            <v>0</v>
          </cell>
          <cell r="J350">
            <v>0</v>
          </cell>
          <cell r="K350">
            <v>0</v>
          </cell>
          <cell r="M350">
            <v>7.0513172252690021E-2</v>
          </cell>
          <cell r="N350">
            <v>995.3647309023479</v>
          </cell>
          <cell r="O350">
            <v>341</v>
          </cell>
        </row>
        <row r="351">
          <cell r="F351">
            <v>0</v>
          </cell>
          <cell r="G351">
            <v>0</v>
          </cell>
          <cell r="J351">
            <v>0</v>
          </cell>
          <cell r="K351">
            <v>0</v>
          </cell>
          <cell r="M351">
            <v>7.0511004630865015E-2</v>
          </cell>
          <cell r="N351">
            <v>995.15714736093082</v>
          </cell>
          <cell r="O351">
            <v>342</v>
          </cell>
        </row>
        <row r="352">
          <cell r="F352">
            <v>0</v>
          </cell>
          <cell r="G352">
            <v>0</v>
          </cell>
          <cell r="J352">
            <v>0</v>
          </cell>
          <cell r="K352">
            <v>0</v>
          </cell>
          <cell r="M352">
            <v>7.0508837009042022E-2</v>
          </cell>
          <cell r="N352">
            <v>994.94960689398204</v>
          </cell>
          <cell r="O352">
            <v>343</v>
          </cell>
        </row>
        <row r="353">
          <cell r="F353">
            <v>0</v>
          </cell>
          <cell r="G353">
            <v>0</v>
          </cell>
          <cell r="J353">
            <v>0</v>
          </cell>
          <cell r="K353">
            <v>0</v>
          </cell>
          <cell r="M353">
            <v>7.0506739310505023E-2</v>
          </cell>
          <cell r="N353">
            <v>994.74880228514269</v>
          </cell>
          <cell r="O353">
            <v>344</v>
          </cell>
        </row>
        <row r="354">
          <cell r="F354">
            <v>0</v>
          </cell>
          <cell r="G354">
            <v>0</v>
          </cell>
          <cell r="J354">
            <v>0</v>
          </cell>
          <cell r="K354">
            <v>0</v>
          </cell>
          <cell r="M354">
            <v>7.0504571688685E-2</v>
          </cell>
          <cell r="N354">
            <v>994.54134655172038</v>
          </cell>
          <cell r="O354">
            <v>345</v>
          </cell>
        </row>
        <row r="355">
          <cell r="F355">
            <v>0</v>
          </cell>
          <cell r="G355">
            <v>0</v>
          </cell>
          <cell r="J355">
            <v>0</v>
          </cell>
          <cell r="K355">
            <v>0</v>
          </cell>
          <cell r="M355">
            <v>7.0502473990151013E-2</v>
          </cell>
          <cell r="N355">
            <v>994.34062392637441</v>
          </cell>
          <cell r="O355">
            <v>346</v>
          </cell>
        </row>
        <row r="356">
          <cell r="F356">
            <v>0</v>
          </cell>
          <cell r="G356">
            <v>0</v>
          </cell>
          <cell r="J356">
            <v>0</v>
          </cell>
          <cell r="K356">
            <v>0</v>
          </cell>
          <cell r="M356">
            <v>7.0500306368334001E-2</v>
          </cell>
          <cell r="N356">
            <v>994.13325289205579</v>
          </cell>
          <cell r="O356">
            <v>347</v>
          </cell>
        </row>
        <row r="357">
          <cell r="F357">
            <v>0</v>
          </cell>
          <cell r="G357">
            <v>0</v>
          </cell>
          <cell r="J357">
            <v>0</v>
          </cell>
          <cell r="K357">
            <v>0</v>
          </cell>
          <cell r="M357">
            <v>7.0498138746518016E-2</v>
          </cell>
          <cell r="N357">
            <v>993.92592488833145</v>
          </cell>
          <cell r="O357">
            <v>348</v>
          </cell>
        </row>
        <row r="358">
          <cell r="F358">
            <v>0</v>
          </cell>
          <cell r="G358">
            <v>0</v>
          </cell>
          <cell r="J358">
            <v>0</v>
          </cell>
          <cell r="K358">
            <v>0</v>
          </cell>
          <cell r="M358">
            <v>7.0496110971272993E-2</v>
          </cell>
          <cell r="N358">
            <v>993.7320118329551</v>
          </cell>
          <cell r="O358">
            <v>349</v>
          </cell>
        </row>
        <row r="359">
          <cell r="F359">
            <v>0</v>
          </cell>
          <cell r="G359">
            <v>0</v>
          </cell>
          <cell r="J359">
            <v>0</v>
          </cell>
          <cell r="K359">
            <v>0</v>
          </cell>
          <cell r="M359">
            <v>7.0493943349461033E-2</v>
          </cell>
          <cell r="N359">
            <v>993.52476708915617</v>
          </cell>
          <cell r="O359">
            <v>350</v>
          </cell>
        </row>
        <row r="360">
          <cell r="F360">
            <v>0</v>
          </cell>
          <cell r="G360">
            <v>0</v>
          </cell>
          <cell r="J360">
            <v>0</v>
          </cell>
          <cell r="K360">
            <v>0</v>
          </cell>
          <cell r="M360">
            <v>7.0491845650934026E-2</v>
          </cell>
          <cell r="N360">
            <v>993.32424860570211</v>
          </cell>
          <cell r="O360">
            <v>351</v>
          </cell>
        </row>
        <row r="361">
          <cell r="F361">
            <v>0</v>
          </cell>
          <cell r="G361">
            <v>0</v>
          </cell>
          <cell r="J361">
            <v>0</v>
          </cell>
          <cell r="K361">
            <v>0</v>
          </cell>
          <cell r="M361">
            <v>7.0489678029125008E-2</v>
          </cell>
          <cell r="N361">
            <v>993.11708847529951</v>
          </cell>
          <cell r="O361">
            <v>352</v>
          </cell>
        </row>
        <row r="362">
          <cell r="F362">
            <v>0</v>
          </cell>
          <cell r="G362">
            <v>0</v>
          </cell>
          <cell r="J362">
            <v>0</v>
          </cell>
          <cell r="K362">
            <v>0</v>
          </cell>
          <cell r="M362">
            <v>7.0487580330601027E-2</v>
          </cell>
          <cell r="N362">
            <v>992.9166518591519</v>
          </cell>
          <cell r="O362">
            <v>353</v>
          </cell>
        </row>
        <row r="363">
          <cell r="F363">
            <v>0</v>
          </cell>
          <cell r="G363">
            <v>0</v>
          </cell>
          <cell r="J363">
            <v>0</v>
          </cell>
          <cell r="K363">
            <v>0</v>
          </cell>
          <cell r="M363">
            <v>7.0485412708795006E-2</v>
          </cell>
          <cell r="N363">
            <v>992.70957630773171</v>
          </cell>
          <cell r="O363">
            <v>354</v>
          </cell>
        </row>
        <row r="364">
          <cell r="F364">
            <v>0</v>
          </cell>
          <cell r="G364">
            <v>0</v>
          </cell>
          <cell r="J364">
            <v>0</v>
          </cell>
          <cell r="K364">
            <v>0</v>
          </cell>
          <cell r="M364">
            <v>7.0483245087000004E-2</v>
          </cell>
          <cell r="N364">
            <v>992.50254372683469</v>
          </cell>
          <cell r="O364">
            <v>355</v>
          </cell>
        </row>
        <row r="365">
          <cell r="F365">
            <v>0</v>
          </cell>
          <cell r="G365">
            <v>0</v>
          </cell>
          <cell r="J365">
            <v>0</v>
          </cell>
          <cell r="K365">
            <v>0</v>
          </cell>
          <cell r="M365">
            <v>7.0481147388470014E-2</v>
          </cell>
          <cell r="N365">
            <v>992.3022305187958</v>
          </cell>
          <cell r="O365">
            <v>356</v>
          </cell>
        </row>
        <row r="366">
          <cell r="F366">
            <v>0</v>
          </cell>
          <cell r="G366">
            <v>0</v>
          </cell>
          <cell r="J366">
            <v>0</v>
          </cell>
          <cell r="K366">
            <v>0</v>
          </cell>
          <cell r="M366">
            <v>7.0478979766669017E-2</v>
          </cell>
          <cell r="N366">
            <v>992.09528246426248</v>
          </cell>
          <cell r="O366">
            <v>357</v>
          </cell>
        </row>
        <row r="367">
          <cell r="F367">
            <v>0</v>
          </cell>
          <cell r="G367">
            <v>0</v>
          </cell>
          <cell r="J367">
            <v>0</v>
          </cell>
          <cell r="K367">
            <v>0</v>
          </cell>
          <cell r="M367">
            <v>7.047688206815203E-2</v>
          </cell>
          <cell r="N367">
            <v>991.89505104107729</v>
          </cell>
          <cell r="O367">
            <v>358</v>
          </cell>
        </row>
        <row r="368">
          <cell r="M368">
            <v>7.0474714446354003E-2</v>
          </cell>
          <cell r="N368">
            <v>991.68818747937678</v>
          </cell>
          <cell r="O368">
            <v>359</v>
          </cell>
        </row>
        <row r="369">
          <cell r="M369">
            <v>7.0472546824557017E-2</v>
          </cell>
          <cell r="N369">
            <v>991.48136684345559</v>
          </cell>
          <cell r="O369">
            <v>360</v>
          </cell>
        </row>
        <row r="370">
          <cell r="M370">
            <v>7.0470588972612019E-2</v>
          </cell>
          <cell r="N370">
            <v>991.29459799604342</v>
          </cell>
          <cell r="O370">
            <v>361</v>
          </cell>
        </row>
        <row r="371">
          <cell r="M371">
            <v>7.0468421350818003E-2</v>
          </cell>
          <cell r="N371">
            <v>991.08785903327259</v>
          </cell>
        </row>
        <row r="372">
          <cell r="M372">
            <v>7.0466323652309024E-2</v>
          </cell>
          <cell r="N372">
            <v>990.88782991595656</v>
          </cell>
        </row>
        <row r="373">
          <cell r="D373">
            <v>47119</v>
          </cell>
          <cell r="E373">
            <v>5.9529756149009003E-2</v>
          </cell>
          <cell r="F373">
            <v>0</v>
          </cell>
          <cell r="G373">
            <v>0</v>
          </cell>
          <cell r="H373">
            <v>0</v>
          </cell>
          <cell r="I373">
            <v>0.178648062</v>
          </cell>
          <cell r="M373">
            <v>7.0464156030518019E-2</v>
          </cell>
        </row>
        <row r="374">
          <cell r="D374">
            <v>47150</v>
          </cell>
          <cell r="E374">
            <v>5.9528622187856019E-2</v>
          </cell>
          <cell r="M374">
            <v>7.0462058332012009E-2</v>
          </cell>
        </row>
        <row r="375">
          <cell r="M375">
            <v>6.5486450997459006E-2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xtendible Collars"/>
      <sheetName val="Basket Options"/>
      <sheetName val="Basis Options"/>
      <sheetName val="Correllations"/>
      <sheetName val="Benchmark Positions"/>
      <sheetName val="Curves"/>
      <sheetName val="POSITION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E7">
            <v>1</v>
          </cell>
          <cell r="F7">
            <v>2</v>
          </cell>
          <cell r="G7">
            <v>3</v>
          </cell>
          <cell r="H7">
            <v>4</v>
          </cell>
          <cell r="I7">
            <v>5</v>
          </cell>
          <cell r="J7">
            <v>6</v>
          </cell>
          <cell r="K7">
            <v>7</v>
          </cell>
          <cell r="L7">
            <v>8</v>
          </cell>
          <cell r="M7">
            <v>9</v>
          </cell>
          <cell r="N7">
            <v>10</v>
          </cell>
          <cell r="O7">
            <v>11</v>
          </cell>
          <cell r="P7">
            <v>12</v>
          </cell>
          <cell r="Q7">
            <v>13</v>
          </cell>
          <cell r="V7">
            <v>18</v>
          </cell>
          <cell r="W7">
            <v>19</v>
          </cell>
          <cell r="X7">
            <v>20</v>
          </cell>
          <cell r="Y7">
            <v>21</v>
          </cell>
          <cell r="Z7">
            <v>22</v>
          </cell>
          <cell r="AA7">
            <v>23</v>
          </cell>
          <cell r="AB7">
            <v>24</v>
          </cell>
          <cell r="AC7">
            <v>25</v>
          </cell>
          <cell r="AD7">
            <v>26</v>
          </cell>
          <cell r="AE7">
            <v>27</v>
          </cell>
          <cell r="AF7">
            <v>28</v>
          </cell>
          <cell r="AG7">
            <v>29</v>
          </cell>
        </row>
        <row r="8">
          <cell r="E8">
            <v>36375</v>
          </cell>
          <cell r="F8">
            <v>36375</v>
          </cell>
          <cell r="G8">
            <v>36375</v>
          </cell>
          <cell r="H8">
            <v>36375</v>
          </cell>
          <cell r="I8">
            <v>36375</v>
          </cell>
          <cell r="J8">
            <v>36375</v>
          </cell>
          <cell r="K8">
            <v>36375</v>
          </cell>
          <cell r="L8">
            <v>36375</v>
          </cell>
          <cell r="M8">
            <v>36375</v>
          </cell>
          <cell r="N8">
            <v>36375</v>
          </cell>
          <cell r="O8">
            <v>36375</v>
          </cell>
          <cell r="P8">
            <v>36375</v>
          </cell>
          <cell r="Q8">
            <v>36375</v>
          </cell>
          <cell r="R8">
            <v>36375</v>
          </cell>
          <cell r="S8">
            <v>36375</v>
          </cell>
          <cell r="T8">
            <v>36375</v>
          </cell>
          <cell r="U8">
            <v>36375</v>
          </cell>
          <cell r="V8">
            <v>36375</v>
          </cell>
          <cell r="W8">
            <v>36375</v>
          </cell>
          <cell r="X8">
            <v>36375</v>
          </cell>
          <cell r="Y8">
            <v>36375</v>
          </cell>
          <cell r="Z8">
            <v>36375</v>
          </cell>
          <cell r="AA8">
            <v>36375</v>
          </cell>
          <cell r="AB8">
            <v>36375</v>
          </cell>
          <cell r="AC8">
            <v>36375</v>
          </cell>
          <cell r="AD8">
            <v>36375</v>
          </cell>
          <cell r="AE8">
            <v>36375</v>
          </cell>
          <cell r="AF8">
            <v>36375</v>
          </cell>
          <cell r="AG8">
            <v>36375</v>
          </cell>
        </row>
        <row r="9">
          <cell r="E9">
            <v>36373</v>
          </cell>
          <cell r="F9">
            <v>36373</v>
          </cell>
          <cell r="G9">
            <v>36373</v>
          </cell>
          <cell r="H9">
            <v>36373</v>
          </cell>
          <cell r="I9">
            <v>36373</v>
          </cell>
          <cell r="J9">
            <v>36373</v>
          </cell>
          <cell r="K9">
            <v>36373</v>
          </cell>
          <cell r="L9">
            <v>36373</v>
          </cell>
          <cell r="M9">
            <v>36373</v>
          </cell>
          <cell r="N9">
            <v>36373</v>
          </cell>
          <cell r="O9">
            <v>36373</v>
          </cell>
          <cell r="P9">
            <v>36373</v>
          </cell>
          <cell r="Q9">
            <v>36373</v>
          </cell>
          <cell r="R9">
            <v>36373</v>
          </cell>
          <cell r="S9">
            <v>36373</v>
          </cell>
          <cell r="T9">
            <v>36373</v>
          </cell>
          <cell r="U9">
            <v>36373</v>
          </cell>
          <cell r="V9">
            <v>36373</v>
          </cell>
          <cell r="W9">
            <v>36373</v>
          </cell>
          <cell r="X9">
            <v>36373</v>
          </cell>
          <cell r="Y9">
            <v>36373</v>
          </cell>
          <cell r="Z9">
            <v>36373</v>
          </cell>
          <cell r="AA9">
            <v>36373</v>
          </cell>
          <cell r="AB9">
            <v>36373</v>
          </cell>
          <cell r="AC9">
            <v>36373</v>
          </cell>
          <cell r="AD9">
            <v>36373</v>
          </cell>
          <cell r="AE9">
            <v>36373</v>
          </cell>
          <cell r="AF9">
            <v>36373</v>
          </cell>
          <cell r="AG9">
            <v>36373</v>
          </cell>
        </row>
        <row r="10">
          <cell r="A10">
            <v>23</v>
          </cell>
          <cell r="E10" t="str">
            <v>NG</v>
          </cell>
          <cell r="F10" t="str">
            <v>NG</v>
          </cell>
          <cell r="G10" t="str">
            <v>INTNS</v>
          </cell>
          <cell r="H10" t="str">
            <v>IF-HPL/SHPCHAN</v>
          </cell>
          <cell r="I10" t="str">
            <v>IF-PAN/TX/OK</v>
          </cell>
          <cell r="J10" t="str">
            <v>NGI/CHI. GATE</v>
          </cell>
          <cell r="K10" t="str">
            <v>IF-CGT/APPALAC</v>
          </cell>
          <cell r="L10" t="str">
            <v>IF-TRANSCO/Z1</v>
          </cell>
          <cell r="M10" t="str">
            <v>IF-TRANSCO/Z2</v>
          </cell>
          <cell r="N10" t="str">
            <v>IF-NWPL_ROCKY_M</v>
          </cell>
          <cell r="O10" t="str">
            <v>IF-TRANSCO/Z3</v>
          </cell>
          <cell r="P10" t="str">
            <v>IF-SONAT/LA</v>
          </cell>
          <cell r="Q10" t="str">
            <v>IF-COLGULF/LA</v>
          </cell>
          <cell r="R10" t="str">
            <v>IF-NGPL/LA</v>
          </cell>
          <cell r="S10" t="str">
            <v>IF-FGT/Z3</v>
          </cell>
          <cell r="T10" t="str">
            <v>IF-TENN/TX</v>
          </cell>
          <cell r="U10" t="str">
            <v>IF-ELPO/PERMIAN</v>
          </cell>
          <cell r="V10" t="str">
            <v>IF-TRANSCO/Z6</v>
          </cell>
          <cell r="W10" t="str">
            <v>IF-HPL/SHPCHAN</v>
          </cell>
          <cell r="X10" t="str">
            <v>IF-TRANSCO/Z6</v>
          </cell>
          <cell r="Y10" t="str">
            <v>IF-NWPL_ROCKY_M</v>
          </cell>
          <cell r="Z10" t="str">
            <v>NGI/CHI. GATE</v>
          </cell>
          <cell r="AA10" t="str">
            <v>IF-CGT/APPALAC</v>
          </cell>
          <cell r="AB10" t="str">
            <v>IF-TRANSCO/Z1</v>
          </cell>
          <cell r="AC10" t="str">
            <v>IF-TRANSCO/Z2</v>
          </cell>
          <cell r="AD10" t="str">
            <v>IF-TRANSCO/Z3</v>
          </cell>
          <cell r="AE10" t="str">
            <v>IF-SONAT/LA</v>
          </cell>
          <cell r="AF10" t="str">
            <v>IF-COLGULF/LA</v>
          </cell>
          <cell r="AG10" t="str">
            <v>IF-PAN/TX/OK</v>
          </cell>
        </row>
        <row r="11">
          <cell r="E11" t="str">
            <v>PR</v>
          </cell>
          <cell r="F11" t="str">
            <v>VO</v>
          </cell>
          <cell r="G11" t="str">
            <v>AA</v>
          </cell>
          <cell r="H11" t="str">
            <v>PR</v>
          </cell>
          <cell r="I11" t="str">
            <v>PR</v>
          </cell>
          <cell r="J11" t="str">
            <v>PR</v>
          </cell>
          <cell r="K11" t="str">
            <v>PR</v>
          </cell>
          <cell r="L11" t="str">
            <v>PR</v>
          </cell>
          <cell r="M11" t="str">
            <v>PR</v>
          </cell>
          <cell r="N11" t="str">
            <v>PR</v>
          </cell>
          <cell r="O11" t="str">
            <v>PR</v>
          </cell>
          <cell r="P11" t="str">
            <v>PR</v>
          </cell>
          <cell r="Q11" t="str">
            <v>PR</v>
          </cell>
          <cell r="R11" t="str">
            <v>PR</v>
          </cell>
          <cell r="S11" t="str">
            <v>PR</v>
          </cell>
          <cell r="T11" t="str">
            <v>PR</v>
          </cell>
          <cell r="U11" t="str">
            <v>PR</v>
          </cell>
          <cell r="V11" t="str">
            <v>PR</v>
          </cell>
          <cell r="W11" t="str">
            <v>VO</v>
          </cell>
          <cell r="X11" t="str">
            <v>VO</v>
          </cell>
          <cell r="Y11" t="str">
            <v>VO</v>
          </cell>
          <cell r="Z11" t="str">
            <v>VO</v>
          </cell>
          <cell r="AA11" t="str">
            <v>VO</v>
          </cell>
          <cell r="AB11" t="str">
            <v>VO</v>
          </cell>
          <cell r="AC11" t="str">
            <v>VO</v>
          </cell>
          <cell r="AD11" t="str">
            <v>VO</v>
          </cell>
          <cell r="AE11" t="str">
            <v>VO</v>
          </cell>
          <cell r="AF11" t="str">
            <v>VO</v>
          </cell>
          <cell r="AG11" t="str">
            <v>VO</v>
          </cell>
        </row>
        <row r="12">
          <cell r="E12" t="str">
            <v>P</v>
          </cell>
          <cell r="F12" t="str">
            <v>P</v>
          </cell>
          <cell r="G12" t="str">
            <v>R</v>
          </cell>
          <cell r="H12" t="str">
            <v>D</v>
          </cell>
          <cell r="I12" t="str">
            <v>D</v>
          </cell>
          <cell r="J12" t="str">
            <v>D</v>
          </cell>
          <cell r="K12" t="str">
            <v>D</v>
          </cell>
          <cell r="L12" t="str">
            <v>D</v>
          </cell>
          <cell r="M12" t="str">
            <v>D</v>
          </cell>
          <cell r="N12" t="str">
            <v>D</v>
          </cell>
          <cell r="O12" t="str">
            <v>D</v>
          </cell>
          <cell r="P12" t="str">
            <v>D</v>
          </cell>
          <cell r="Q12" t="str">
            <v>D</v>
          </cell>
          <cell r="R12" t="str">
            <v>D</v>
          </cell>
          <cell r="S12" t="str">
            <v>D</v>
          </cell>
          <cell r="T12" t="str">
            <v>D</v>
          </cell>
          <cell r="U12" t="str">
            <v>D</v>
          </cell>
          <cell r="V12" t="str">
            <v>D</v>
          </cell>
          <cell r="W12" t="str">
            <v>P</v>
          </cell>
          <cell r="X12" t="str">
            <v>P</v>
          </cell>
          <cell r="Y12" t="str">
            <v>P</v>
          </cell>
          <cell r="Z12" t="str">
            <v>P</v>
          </cell>
          <cell r="AA12" t="str">
            <v>P</v>
          </cell>
          <cell r="AB12" t="str">
            <v>P</v>
          </cell>
          <cell r="AC12" t="str">
            <v>P</v>
          </cell>
          <cell r="AD12" t="str">
            <v>P</v>
          </cell>
          <cell r="AE12" t="str">
            <v>P</v>
          </cell>
          <cell r="AF12" t="str">
            <v>P</v>
          </cell>
          <cell r="AG12" t="str">
            <v>P</v>
          </cell>
        </row>
        <row r="13">
          <cell r="E13" t="str">
            <v>D8</v>
          </cell>
          <cell r="F13" t="str">
            <v>F8</v>
          </cell>
          <cell r="G13" t="str">
            <v>g8</v>
          </cell>
          <cell r="H13" t="str">
            <v>h8</v>
          </cell>
          <cell r="I13" t="str">
            <v>i8</v>
          </cell>
          <cell r="J13" t="str">
            <v>j8</v>
          </cell>
          <cell r="K13" t="str">
            <v>k8</v>
          </cell>
          <cell r="L13" t="str">
            <v>l8</v>
          </cell>
          <cell r="M13" t="str">
            <v>m8</v>
          </cell>
          <cell r="N13" t="str">
            <v>n8</v>
          </cell>
          <cell r="O13" t="str">
            <v>o8</v>
          </cell>
          <cell r="P13" t="str">
            <v>p8</v>
          </cell>
          <cell r="Q13" t="str">
            <v>q8</v>
          </cell>
          <cell r="R13" t="str">
            <v>r8</v>
          </cell>
          <cell r="S13" t="str">
            <v>s8</v>
          </cell>
          <cell r="T13" t="str">
            <v>t8</v>
          </cell>
          <cell r="U13" t="str">
            <v>u8</v>
          </cell>
          <cell r="V13" t="str">
            <v>v8</v>
          </cell>
          <cell r="W13" t="str">
            <v>w8</v>
          </cell>
          <cell r="X13" t="str">
            <v>x8</v>
          </cell>
          <cell r="Y13" t="str">
            <v>y8</v>
          </cell>
          <cell r="Z13" t="str">
            <v>z8</v>
          </cell>
          <cell r="AA13" t="str">
            <v>aa8</v>
          </cell>
          <cell r="AB13" t="str">
            <v>ab8</v>
          </cell>
          <cell r="AC13" t="str">
            <v>ac8</v>
          </cell>
          <cell r="AD13" t="str">
            <v>ad8</v>
          </cell>
          <cell r="AE13" t="str">
            <v>ae8</v>
          </cell>
          <cell r="AF13" t="str">
            <v>af8</v>
          </cell>
          <cell r="AG13" t="str">
            <v>ag8</v>
          </cell>
        </row>
      </sheetData>
      <sheetData sheetId="7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Curves"/>
      <sheetName val="Correlations"/>
    </sheetNames>
    <sheetDataSet>
      <sheetData sheetId="0">
        <row r="2">
          <cell r="B2">
            <v>36328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buss" refreshedDate="36563.686243981479" createdVersion="1" recordCount="19">
  <cacheSource type="worksheet">
    <worksheetSource ref="AT6:BA25" sheet="Extendible Collars"/>
  </cacheSource>
  <cacheFields count="8">
    <cacheField name="PERIOD" numFmtId="0">
      <sharedItems containsBlank="1" count="2">
        <s v="MAY00-OCT00"/>
        <m/>
      </sharedItems>
    </cacheField>
    <cacheField name="PUBCODE" numFmtId="0">
      <sharedItems containsBlank="1" count="2">
        <s v="IF-HPL/SHPCHAN"/>
        <m/>
      </sharedItems>
    </cacheField>
    <cacheField name="Gamma" numFmtId="0">
      <sharedItems containsString="0" containsBlank="1" containsNumber="1" minValue="-39431.235194206238" maxValue="39431.235194206238" count="3">
        <n v="-39431.235194206238"/>
        <m/>
        <n v="39431.235194206238"/>
      </sharedItems>
    </cacheField>
    <cacheField name="Rho" numFmtId="0">
      <sharedItems containsString="0" containsBlank="1" containsNumber="1" minValue="-7.1883201599121094" maxValue="7.1883201599121094" count="3">
        <n v="-7.1883201599121094"/>
        <m/>
        <n v="7.1883201599121094"/>
      </sharedItems>
    </cacheField>
    <cacheField name="Drift" numFmtId="0">
      <sharedItems containsString="0" containsBlank="1" containsNumber="1" minValue="-42.155301370949019" maxValue="42.155301370949019" count="3">
        <n v="-42.155301370949019"/>
        <m/>
        <n v="42.155301370949019"/>
      </sharedItems>
    </cacheField>
    <cacheField name="Vega" numFmtId="0">
      <sharedItems containsString="0" containsBlank="1" containsNumber="1" containsInteger="1" minValue="0" maxValue="0" count="2">
        <n v="0"/>
        <m/>
      </sharedItems>
    </cacheField>
    <cacheField name="Theta" numFmtId="0">
      <sharedItems containsString="0" containsBlank="1" containsNumber="1" minValue="-1108.4228754043579" maxValue="1108.4228754043579" count="3">
        <n v="-1108.4228754043579"/>
        <m/>
        <n v="1108.4228754043579"/>
      </sharedItems>
    </cacheField>
    <cacheField name="DAY" numFmtId="0">
      <sharedItems containsString="0" containsBlank="1" containsNumber="1" minValue="-249065.31572341919" maxValue="249065.31572341919" count="3">
        <n v="249065.31572341919"/>
        <m/>
        <n v="-249065.315723419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buss" refreshedDate="36633.906876504632" createdVersion="1" recordCount="494">
  <cacheSource type="worksheet">
    <worksheetSource ref="A6:Y500" sheet="Basis Options"/>
  </cacheSource>
  <cacheFields count="25">
    <cacheField name="Counterparty" numFmtId="0">
      <sharedItems containsBlank="1" count="13">
        <s v="ELPASMER"/>
        <s v="LT-TRANS-EA"/>
        <s v="RELIANTENESER"/>
        <s v="STATOILENETRA"/>
        <s v="UPRENESER"/>
        <s v="TXUENETRA"/>
        <s v="SOUTHERCOMENEMA"/>
        <s v="TRACTEBEENMAR"/>
        <s v="DUKEENETRA"/>
        <s v="DYNEGYMARAND"/>
        <s v="OMICRON"/>
        <s v="JARON"/>
        <m/>
      </sharedItems>
    </cacheField>
    <cacheField name="External" numFmtId="0">
      <sharedItems containsBlank="1" count="3">
        <s v="E"/>
        <s v="I"/>
        <m/>
      </sharedItems>
    </cacheField>
    <cacheField name="Deal Num" numFmtId="0">
      <sharedItems containsBlank="1"/>
    </cacheField>
    <cacheField name="Pub Code" numFmtId="0">
      <sharedItems containsBlank="1" count="4">
        <s v="IF-TRANSCO/Z6"/>
        <s v="IF-CGT/APPALAC"/>
        <s v="IF-NWPL_ROCKY_M"/>
        <m/>
      </sharedItems>
    </cacheField>
    <cacheField name="Fin" numFmtId="0">
      <sharedItems containsBlank="1" count="2">
        <s v="F"/>
        <m/>
      </sharedItems>
    </cacheField>
    <cacheField name="Put" numFmtId="0">
      <sharedItems containsBlank="1" count="3">
        <s v="C"/>
        <s v="P"/>
        <m/>
      </sharedItems>
    </cacheField>
    <cacheField name="Period" numFmtId="0">
      <sharedItems containsDate="1" containsString="0" containsBlank="1" minDate="2000-05-01T00:00:00" maxDate="2002-03-02T00:00:00" count="24"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m/>
      </sharedItems>
    </cacheField>
    <cacheField name="Option Qty" numFmtId="0">
      <sharedItems containsString="0" containsBlank="1" containsNumber="1" containsInteger="1" minValue="-1000000" maxValue="1500000" count="14">
        <n v="300000"/>
        <n v="310000"/>
        <n v="600000"/>
        <n v="500000"/>
        <n v="280000"/>
        <n v="-1000000"/>
        <n v="900000"/>
        <n v="1500000"/>
        <n v="1240000"/>
        <n v="-310000"/>
        <n v="-500000"/>
        <n v="-250000"/>
        <n v="1000000"/>
        <m/>
      </sharedItems>
    </cacheField>
    <cacheField name="Price" numFmtId="0">
      <sharedItems containsString="0" containsBlank="1" containsNumber="1" minValue="-0.4" maxValue="1.25" count="15">
        <n v="0.25"/>
        <n v="0.16"/>
        <n v="-0.4"/>
        <n v="0.3"/>
        <n v="0.33"/>
        <n v="0.95"/>
        <n v="1"/>
        <n v="0.45"/>
        <n v="1.25"/>
        <n v="-0.32"/>
        <n v="-0.25"/>
        <n v="-0.3"/>
        <n v="0.75"/>
        <n v="1.1499999999999999"/>
        <m/>
      </sharedItems>
    </cacheField>
    <cacheField name="Price2" numFmtId="0">
      <sharedItems containsString="0" containsBlank="1" containsNumber="1" minValue="2.8069999999999999" maxValue="3.3650000000000002" count="22">
        <n v="3.1579999999999999"/>
        <n v="3.1720000000000002"/>
        <n v="3.181"/>
        <n v="3.1829999999999998"/>
        <n v="3.173"/>
        <n v="3.18"/>
        <n v="3.2650000000000001"/>
        <n v="3.3519999999999999"/>
        <n v="3.3650000000000002"/>
        <n v="3.1909999999999998"/>
        <n v="3.0169999999999999"/>
        <n v="2.8610000000000002"/>
        <n v="2.81"/>
        <n v="2.8119999999999998"/>
        <n v="2.8130000000000002"/>
        <n v="2.8330000000000002"/>
        <n v="2.9420000000000002"/>
        <n v="3.044"/>
        <n v="3.0640000000000001"/>
        <n v="2.9449999999999998"/>
        <n v="2.8069999999999999"/>
        <m/>
      </sharedItems>
    </cacheField>
    <cacheField name="Basis" numFmtId="0">
      <sharedItems containsString="0" containsBlank="1" containsNumber="1" minValue="-0.34499999999999997" maxValue="1.53" count="30">
        <n v="0.29499999999999998"/>
        <n v="0.16500000000000001"/>
        <n v="-0.34499999999999997"/>
        <n v="0.3075"/>
        <n v="0.16750000000000001"/>
        <n v="-0.34"/>
        <n v="0.34499999999999997"/>
        <n v="0.17"/>
        <n v="-0.32250000000000001"/>
        <n v="0.315"/>
        <n v="-0.29749999999999999"/>
        <n v="0.19500000000000001"/>
        <n v="0.27250000000000002"/>
        <n v="0.31"/>
        <n v="0.23749999999999999"/>
        <n v="0.37"/>
        <n v="0.2525"/>
        <n v="0.25750000000000001"/>
        <n v="0.255"/>
        <n v="0.71250000000000002"/>
        <n v="1.2"/>
        <n v="1.4450000000000001"/>
        <n v="1.42"/>
        <n v="0.875"/>
        <n v="0.70750000000000002"/>
        <n v="0.86"/>
        <n v="1.27"/>
        <n v="1.53"/>
        <n v="1.49"/>
        <m/>
      </sharedItems>
    </cacheField>
    <cacheField name="Price3" numFmtId="0">
      <sharedItems containsString="0" containsBlank="1" containsNumber="1" minValue="2.8129999999999997" maxValue="4.8949999999999996"/>
    </cacheField>
    <cacheField name="Rate" numFmtId="0">
      <sharedItems containsString="0" containsBlank="1" containsNumber="1" minValue="6.2683518517613002E-2" maxValue="6.9682902690216E-2" count="24">
        <n v="6.2683518517613002E-2"/>
        <n v="6.3039999833066004E-2"/>
        <n v="6.3695649345076003E-2"/>
        <n v="6.4500399973534003E-2"/>
        <n v="6.5221012015626995E-2"/>
        <n v="6.5817989695161006E-2"/>
        <n v="6.6244373635737999E-2"/>
        <n v="6.6657003312999993E-2"/>
        <n v="6.7045194353832993E-2"/>
        <n v="6.7372913158926004E-2"/>
        <n v="6.7668917271508006E-2"/>
        <n v="6.7951442923936997E-2"/>
        <n v="6.8146586684140004E-2"/>
        <n v="6.8348235249589995E-2"/>
        <n v="6.8534823747616005E-2"/>
        <n v="6.8711482572367005E-2"/>
        <n v="6.8888141407443995E-2"/>
        <n v="6.9044059331132002E-2"/>
        <n v="6.9180473626196004E-2"/>
        <n v="6.9312487465989003E-2"/>
        <n v="6.9444274797342997E-2"/>
        <n v="6.9569655552267004E-2"/>
        <n v="6.9682902690216E-2"/>
        <m/>
      </sharedItems>
    </cacheField>
    <cacheField name="Vol" numFmtId="0">
      <sharedItems containsString="0" containsBlank="1" containsNumber="1" minValue="0.24399999999999999" maxValue="0.4325" count="21">
        <n v="0.41"/>
        <n v="0.38250000000000001"/>
        <n v="0.39500000000000002"/>
        <n v="0.41249999999999998"/>
        <n v="0.42"/>
        <n v="0.42249999999999999"/>
        <n v="0.42749999999999999"/>
        <n v="0.43"/>
        <n v="0.4325"/>
        <n v="0.375"/>
        <n v="0.3"/>
        <n v="0.26500000000000001"/>
        <n v="0.25750000000000001"/>
        <n v="0.255"/>
        <n v="0.26250000000000001"/>
        <n v="0.26400000000000001"/>
        <n v="0.26900000000000002"/>
        <n v="0.27150000000000002"/>
        <n v="0.26650000000000001"/>
        <n v="0.24399999999999999"/>
        <m/>
      </sharedItems>
    </cacheField>
    <cacheField name="Vol2" numFmtId="0">
      <sharedItems containsString="0" containsBlank="1" containsNumber="1" minValue="0.25" maxValue="0.47299999999999998" count="25">
        <n v="0.40200000000000002"/>
        <n v="0.377"/>
        <n v="0.375"/>
        <n v="0.38700000000000001"/>
        <n v="0.40400000000000003"/>
        <n v="0.41199999999999998"/>
        <n v="0.41399999999999998"/>
        <n v="0.42799999999999999"/>
        <n v="0.43"/>
        <n v="0.433"/>
        <n v="0.42299999999999999"/>
        <n v="0.29399999999999998"/>
        <n v="0.26"/>
        <n v="0.252"/>
        <n v="0.25"/>
        <n v="0.25700000000000001"/>
        <n v="0.28999999999999998"/>
        <n v="0.29599999999999999"/>
        <n v="0.27200000000000002"/>
        <n v="0.29299999999999998"/>
        <n v="0.26800000000000002"/>
        <n v="0.41299999999999998"/>
        <n v="0.47299999999999998"/>
        <n v="0.46500000000000002"/>
        <m/>
      </sharedItems>
    </cacheField>
    <cacheField name="Correlation" numFmtId="0">
      <sharedItems containsString="0" containsBlank="1" containsNumber="1" minValue="0.95" maxValue="0.995" count="7">
        <n v="0.99"/>
        <n v="0.995"/>
        <n v="0.96"/>
        <n v="0.96323267464099116"/>
        <n v="0.98379000000000005"/>
        <n v="0.95"/>
        <m/>
      </sharedItems>
    </cacheField>
    <cacheField name="Expiry" numFmtId="0">
      <sharedItems containsDate="1" containsString="0" containsBlank="1" minDate="2000-04-27T00:00:00" maxDate="2002-02-28T00:00:00" count="24">
        <d v="2000-04-27T00:00:00"/>
        <d v="2000-05-30T00:00:00"/>
        <d v="2000-06-29T00:00:00"/>
        <d v="2000-07-28T00:00:00"/>
        <d v="2000-08-30T00:00:00"/>
        <d v="2000-09-28T00:00:00"/>
        <d v="2000-10-30T00:00:00"/>
        <d v="2000-11-29T00:00:00"/>
        <d v="2000-12-28T00:00:00"/>
        <d v="2001-01-30T00:00:00"/>
        <d v="2001-02-27T00:00:00"/>
        <d v="2001-03-29T00:00:00"/>
        <d v="2001-04-27T00:00:00"/>
        <d v="2001-05-30T00:00:00"/>
        <d v="2001-06-28T00:00:00"/>
        <d v="2001-07-30T00:00:00"/>
        <d v="2001-08-30T00:00:00"/>
        <d v="2001-09-27T00:00:00"/>
        <d v="2001-10-30T00:00:00"/>
        <d v="2001-11-29T00:00:00"/>
        <d v="2001-12-28T00:00:00"/>
        <d v="2002-01-30T00:00:00"/>
        <d v="2002-02-27T00:00:00"/>
        <m/>
      </sharedItems>
    </cacheField>
    <cacheField name="Type" numFmtId="0">
      <sharedItems containsString="0" containsBlank="1" containsNumber="1" containsInteger="1" minValue="0" maxValue="1" count="3">
        <n v="1"/>
        <n v="0"/>
        <m/>
      </sharedItems>
    </cacheField>
    <cacheField name="PREMIUM" numFmtId="0">
      <sharedItems containsString="0" containsBlank="1" containsNumber="1" minValue="1.941927982033409E-3" maxValue="0.49999292412736579"/>
    </cacheField>
    <cacheField name="DELTA" numFmtId="0">
      <sharedItems containsString="0" containsBlank="1" containsNumber="1" minValue="-742003.9726557259" maxValue="374759.06216208125"/>
    </cacheField>
    <cacheField name="MTM Value" numFmtId="0">
      <sharedItems containsString="0" containsBlank="1" containsNumber="1" minValue="-499992.92412736581" maxValue="135984.73553054317"/>
    </cacheField>
    <cacheField name="Offset" numFmtId="0">
      <sharedItems containsString="0" containsBlank="1" containsNumber="1" minValue="-351262.11993877805" maxValue="723215.18707868224"/>
    </cacheField>
    <cacheField name="Delta2" numFmtId="0">
      <sharedItems containsString="0" containsBlank="1" containsNumber="1" minValue="-33947.75341224781" maxValue="42061.205290034704"/>
    </cacheField>
    <cacheField name="blank" numFmtId="0">
      <sharedItems containsBlank="1"/>
    </cacheField>
    <cacheField name="Contracts" numFmtId="0">
      <sharedItems containsString="0" containsBlank="1" containsNumber="1" containsInteger="1" minValue="-100" maxValue="150" count="14">
        <n v="30"/>
        <n v="31"/>
        <n v="60"/>
        <n v="50"/>
        <n v="28"/>
        <n v="-100"/>
        <n v="90"/>
        <n v="150"/>
        <n v="124"/>
        <n v="-31"/>
        <n v="-50"/>
        <n v="-25"/>
        <n v="1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1"/>
    <x v="1"/>
    <x v="1"/>
    <x v="1"/>
    <x v="1"/>
    <x v="1"/>
    <x v="1"/>
    <x v="1"/>
  </r>
  <r>
    <x v="1"/>
    <x v="1"/>
    <x v="1"/>
    <x v="1"/>
    <x v="1"/>
    <x v="1"/>
    <x v="1"/>
    <x v="1"/>
  </r>
  <r>
    <x v="1"/>
    <x v="1"/>
    <x v="1"/>
    <x v="1"/>
    <x v="1"/>
    <x v="1"/>
    <x v="1"/>
    <x v="1"/>
  </r>
  <r>
    <x v="1"/>
    <x v="1"/>
    <x v="1"/>
    <x v="1"/>
    <x v="1"/>
    <x v="1"/>
    <x v="1"/>
    <x v="1"/>
  </r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1"/>
    <x v="1"/>
    <x v="1"/>
    <x v="1"/>
    <x v="1"/>
    <x v="1"/>
    <x v="1"/>
    <x v="1"/>
  </r>
  <r>
    <x v="1"/>
    <x v="1"/>
    <x v="1"/>
    <x v="1"/>
    <x v="1"/>
    <x v="1"/>
    <x v="1"/>
    <x v="1"/>
  </r>
  <r>
    <x v="1"/>
    <x v="1"/>
    <x v="1"/>
    <x v="1"/>
    <x v="1"/>
    <x v="1"/>
    <x v="1"/>
    <x v="1"/>
  </r>
  <r>
    <x v="1"/>
    <x v="1"/>
    <x v="1"/>
    <x v="1"/>
    <x v="1"/>
    <x v="1"/>
    <x v="1"/>
    <x v="1"/>
  </r>
  <r>
    <x v="0"/>
    <x v="0"/>
    <x v="2"/>
    <x v="2"/>
    <x v="2"/>
    <x v="0"/>
    <x v="2"/>
    <x v="2"/>
  </r>
  <r>
    <x v="1"/>
    <x v="1"/>
    <x v="1"/>
    <x v="1"/>
    <x v="1"/>
    <x v="1"/>
    <x v="1"/>
    <x v="1"/>
  </r>
  <r>
    <x v="1"/>
    <x v="1"/>
    <x v="1"/>
    <x v="1"/>
    <x v="1"/>
    <x v="1"/>
    <x v="1"/>
    <x v="1"/>
  </r>
  <r>
    <x v="1"/>
    <x v="1"/>
    <x v="1"/>
    <x v="1"/>
    <x v="1"/>
    <x v="1"/>
    <x v="1"/>
    <x v="1"/>
  </r>
  <r>
    <x v="1"/>
    <x v="1"/>
    <x v="1"/>
    <x v="1"/>
    <x v="1"/>
    <x v="1"/>
    <x v="1"/>
    <x v="1"/>
  </r>
  <r>
    <x v="1"/>
    <x v="1"/>
    <x v="1"/>
    <x v="1"/>
    <x v="1"/>
    <x v="1"/>
    <x v="1"/>
    <x v="1"/>
  </r>
  <r>
    <x v="0"/>
    <x v="0"/>
    <x v="2"/>
    <x v="2"/>
    <x v="2"/>
    <x v="0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4">
  <r>
    <x v="0"/>
    <x v="0"/>
    <s v="EY1230"/>
    <x v="0"/>
    <x v="0"/>
    <x v="0"/>
    <x v="0"/>
    <x v="0"/>
    <x v="0"/>
    <x v="0"/>
    <x v="0"/>
    <n v="3.4529999999999998"/>
    <x v="0"/>
    <x v="0"/>
    <x v="0"/>
    <x v="0"/>
    <x v="0"/>
    <x v="0"/>
    <n v="4.6368781566727822E-2"/>
    <n v="272283.38852821762"/>
    <n v="13910.634470018347"/>
    <n v="-271875.86037522869"/>
    <n v="407.52815298893256"/>
    <s v="36647IF-TRANSCO/Z6"/>
    <x v="0"/>
  </r>
  <r>
    <x v="1"/>
    <x v="1"/>
    <s v="NA9501.1"/>
    <x v="1"/>
    <x v="0"/>
    <x v="0"/>
    <x v="0"/>
    <x v="1"/>
    <x v="1"/>
    <x v="0"/>
    <x v="1"/>
    <n v="3.323"/>
    <x v="0"/>
    <x v="0"/>
    <x v="0"/>
    <x v="1"/>
    <x v="0"/>
    <x v="0"/>
    <n v="1.1758797365899324E-2"/>
    <n v="182215.33265862818"/>
    <n v="3645.2271834287903"/>
    <n v="-181485.42863503535"/>
    <n v="729.90402359282598"/>
    <s v="36647IF-CGT/APPALAC"/>
    <x v="1"/>
  </r>
  <r>
    <x v="2"/>
    <x v="0"/>
    <s v="W2420"/>
    <x v="2"/>
    <x v="0"/>
    <x v="1"/>
    <x v="0"/>
    <x v="1"/>
    <x v="2"/>
    <x v="0"/>
    <x v="2"/>
    <n v="2.8129999999999997"/>
    <x v="0"/>
    <x v="0"/>
    <x v="1"/>
    <x v="2"/>
    <x v="0"/>
    <x v="1"/>
    <n v="8.3318467433163654E-3"/>
    <n v="-65414.331387060061"/>
    <n v="2582.8724904280734"/>
    <n v="67037.016187560163"/>
    <n v="1622.6848005001011"/>
    <s v="36647IF-NWPL_ROCKY_M"/>
    <x v="1"/>
  </r>
  <r>
    <x v="3"/>
    <x v="0"/>
    <s v="N33626.2"/>
    <x v="1"/>
    <x v="0"/>
    <x v="0"/>
    <x v="0"/>
    <x v="2"/>
    <x v="1"/>
    <x v="0"/>
    <x v="1"/>
    <n v="3.323"/>
    <x v="0"/>
    <x v="0"/>
    <x v="0"/>
    <x v="1"/>
    <x v="0"/>
    <x v="0"/>
    <n v="1.1758797365899324E-2"/>
    <n v="352674.83740379644"/>
    <n v="7055.2784195395943"/>
    <n v="-351262.11993877805"/>
    <n v="1412.7174650183879"/>
    <s v="36647IF-CGT/APPALAC"/>
    <x v="2"/>
  </r>
  <r>
    <x v="3"/>
    <x v="0"/>
    <s v="W1882"/>
    <x v="0"/>
    <x v="0"/>
    <x v="0"/>
    <x v="0"/>
    <x v="3"/>
    <x v="3"/>
    <x v="0"/>
    <x v="0"/>
    <n v="3.4529999999999998"/>
    <x v="0"/>
    <x v="0"/>
    <x v="0"/>
    <x v="0"/>
    <x v="0"/>
    <x v="0"/>
    <n v="1.1625788599782439E-2"/>
    <n v="222821.40836257546"/>
    <n v="5812.8942998912198"/>
    <n v="-221260.50760671601"/>
    <n v="1560.9007558594458"/>
    <s v="36647IF-TRANSCO/Z6"/>
    <x v="3"/>
  </r>
  <r>
    <x v="0"/>
    <x v="0"/>
    <s v="EY1230"/>
    <x v="0"/>
    <x v="0"/>
    <x v="0"/>
    <x v="1"/>
    <x v="0"/>
    <x v="0"/>
    <x v="1"/>
    <x v="3"/>
    <n v="3.4795000000000003"/>
    <x v="1"/>
    <x v="1"/>
    <x v="2"/>
    <x v="0"/>
    <x v="1"/>
    <x v="0"/>
    <n v="6.3980412816014923E-2"/>
    <n v="241799.73296922602"/>
    <n v="19194.123844804475"/>
    <n v="-240506.15904614411"/>
    <n v="1293.5739230819163"/>
    <s v="36678IF-TRANSCO/Z6"/>
    <x v="0"/>
  </r>
  <r>
    <x v="1"/>
    <x v="1"/>
    <s v="NA9501.1"/>
    <x v="1"/>
    <x v="0"/>
    <x v="0"/>
    <x v="1"/>
    <x v="0"/>
    <x v="1"/>
    <x v="1"/>
    <x v="4"/>
    <n v="3.3395000000000001"/>
    <x v="1"/>
    <x v="1"/>
    <x v="2"/>
    <x v="1"/>
    <x v="1"/>
    <x v="0"/>
    <n v="2.1449623304051958E-2"/>
    <n v="169958.27149145416"/>
    <n v="6434.8869912155878"/>
    <n v="-168585.52541951396"/>
    <n v="1372.7460719402006"/>
    <s v="36678IF-CGT/APPALAC"/>
    <x v="0"/>
  </r>
  <r>
    <x v="2"/>
    <x v="0"/>
    <s v="W2420"/>
    <x v="2"/>
    <x v="0"/>
    <x v="1"/>
    <x v="1"/>
    <x v="0"/>
    <x v="2"/>
    <x v="1"/>
    <x v="5"/>
    <n v="2.8320000000000003"/>
    <x v="1"/>
    <x v="1"/>
    <x v="2"/>
    <x v="2"/>
    <x v="1"/>
    <x v="1"/>
    <n v="2.529955571926893E-2"/>
    <n v="-92731.077967233636"/>
    <n v="7589.8667157806794"/>
    <n v="96314.848695393084"/>
    <n v="3583.7707281594485"/>
    <s v="36678IF-NWPL_ROCKY_M"/>
    <x v="0"/>
  </r>
  <r>
    <x v="3"/>
    <x v="0"/>
    <s v="N33626.2"/>
    <x v="1"/>
    <x v="0"/>
    <x v="0"/>
    <x v="1"/>
    <x v="2"/>
    <x v="1"/>
    <x v="1"/>
    <x v="4"/>
    <n v="3.3395000000000001"/>
    <x v="1"/>
    <x v="1"/>
    <x v="2"/>
    <x v="1"/>
    <x v="1"/>
    <x v="0"/>
    <n v="2.1449623304051958E-2"/>
    <n v="339916.54298290832"/>
    <n v="12869.773982431176"/>
    <n v="-337171.05083902791"/>
    <n v="2745.4921438804013"/>
    <s v="36678IF-CGT/APPALAC"/>
    <x v="2"/>
  </r>
  <r>
    <x v="3"/>
    <x v="0"/>
    <s v="W1882"/>
    <x v="0"/>
    <x v="0"/>
    <x v="0"/>
    <x v="1"/>
    <x v="3"/>
    <x v="3"/>
    <x v="1"/>
    <x v="3"/>
    <n v="3.4795000000000003"/>
    <x v="1"/>
    <x v="1"/>
    <x v="2"/>
    <x v="0"/>
    <x v="1"/>
    <x v="0"/>
    <n v="3.0940961472274917E-2"/>
    <n v="272786.20715747558"/>
    <n v="15470.480736137459"/>
    <n v="-269778.68391250208"/>
    <n v="3007.5232449735049"/>
    <s v="36678IF-TRANSCO/Z6"/>
    <x v="3"/>
  </r>
  <r>
    <x v="0"/>
    <x v="0"/>
    <s v="EY1230"/>
    <x v="0"/>
    <x v="0"/>
    <x v="0"/>
    <x v="2"/>
    <x v="0"/>
    <x v="0"/>
    <x v="2"/>
    <x v="6"/>
    <n v="3.5259999999999998"/>
    <x v="2"/>
    <x v="2"/>
    <x v="3"/>
    <x v="0"/>
    <x v="2"/>
    <x v="0"/>
    <n v="0.10031088848140139"/>
    <n v="254733.50268676673"/>
    <n v="30093.266544420418"/>
    <n v="-253305.76873917776"/>
    <n v="1427.7339475889748"/>
    <s v="36708IF-TRANSCO/Z6"/>
    <x v="0"/>
  </r>
  <r>
    <x v="1"/>
    <x v="1"/>
    <s v="NA9501.1"/>
    <x v="1"/>
    <x v="0"/>
    <x v="0"/>
    <x v="2"/>
    <x v="1"/>
    <x v="1"/>
    <x v="2"/>
    <x v="7"/>
    <n v="3.351"/>
    <x v="2"/>
    <x v="2"/>
    <x v="3"/>
    <x v="1"/>
    <x v="2"/>
    <x v="0"/>
    <n v="2.8689064383407972E-2"/>
    <n v="174817.66351384675"/>
    <n v="8893.6099588564721"/>
    <n v="-172917.01696346942"/>
    <n v="1900.6465503773361"/>
    <s v="36708IF-CGT/APPALAC"/>
    <x v="1"/>
  </r>
  <r>
    <x v="2"/>
    <x v="0"/>
    <s v="W2420"/>
    <x v="2"/>
    <x v="0"/>
    <x v="1"/>
    <x v="2"/>
    <x v="1"/>
    <x v="2"/>
    <x v="2"/>
    <x v="8"/>
    <n v="2.8585000000000003"/>
    <x v="2"/>
    <x v="2"/>
    <x v="3"/>
    <x v="2"/>
    <x v="2"/>
    <x v="1"/>
    <n v="3.5172063358679881E-2"/>
    <n v="-97189.590127516625"/>
    <n v="10903.339641190763"/>
    <n v="102210.94290718625"/>
    <n v="5021.3527796696289"/>
    <s v="36708IF-NWPL_ROCKY_M"/>
    <x v="1"/>
  </r>
  <r>
    <x v="3"/>
    <x v="0"/>
    <s v="N33626.2"/>
    <x v="1"/>
    <x v="0"/>
    <x v="0"/>
    <x v="2"/>
    <x v="2"/>
    <x v="1"/>
    <x v="2"/>
    <x v="7"/>
    <n v="3.351"/>
    <x v="2"/>
    <x v="2"/>
    <x v="3"/>
    <x v="1"/>
    <x v="2"/>
    <x v="0"/>
    <n v="2.8689064383407972E-2"/>
    <n v="338356.76809131628"/>
    <n v="17213.438630044784"/>
    <n v="-334678.09734865051"/>
    <n v="3678.6707426657667"/>
    <s v="36708IF-CGT/APPALAC"/>
    <x v="2"/>
  </r>
  <r>
    <x v="3"/>
    <x v="0"/>
    <s v="W1882"/>
    <x v="0"/>
    <x v="0"/>
    <x v="0"/>
    <x v="2"/>
    <x v="3"/>
    <x v="3"/>
    <x v="2"/>
    <x v="6"/>
    <n v="3.5259999999999998"/>
    <x v="2"/>
    <x v="2"/>
    <x v="3"/>
    <x v="0"/>
    <x v="2"/>
    <x v="0"/>
    <n v="6.2960064075801014E-2"/>
    <n v="342370.90168939601"/>
    <n v="31480.032037900506"/>
    <n v="-338815.51520913717"/>
    <n v="3555.3864802588359"/>
    <s v="36708IF-TRANSCO/Z6"/>
    <x v="3"/>
  </r>
  <r>
    <x v="0"/>
    <x v="0"/>
    <s v="EY1230"/>
    <x v="0"/>
    <x v="0"/>
    <x v="0"/>
    <x v="3"/>
    <x v="0"/>
    <x v="0"/>
    <x v="3"/>
    <x v="6"/>
    <n v="3.5279999999999996"/>
    <x v="3"/>
    <x v="3"/>
    <x v="4"/>
    <x v="0"/>
    <x v="3"/>
    <x v="0"/>
    <n v="0.10498892694260846"/>
    <n v="239019.78721478995"/>
    <n v="31496.678082782539"/>
    <n v="-236889.64694650308"/>
    <n v="2130.1402682868647"/>
    <s v="36739IF-TRANSCO/Z6"/>
    <x v="0"/>
  </r>
  <r>
    <x v="1"/>
    <x v="1"/>
    <s v="NA9501.1"/>
    <x v="1"/>
    <x v="0"/>
    <x v="0"/>
    <x v="3"/>
    <x v="1"/>
    <x v="1"/>
    <x v="3"/>
    <x v="4"/>
    <n v="3.3504999999999998"/>
    <x v="3"/>
    <x v="3"/>
    <x v="4"/>
    <x v="1"/>
    <x v="3"/>
    <x v="0"/>
    <n v="3.2583781358017379E-2"/>
    <n v="166284.19188996326"/>
    <n v="10100.972220985388"/>
    <n v="-163927.07270029848"/>
    <n v="2357.1191896647797"/>
    <s v="36739IF-CGT/APPALAC"/>
    <x v="1"/>
  </r>
  <r>
    <x v="2"/>
    <x v="0"/>
    <s v="W2420"/>
    <x v="2"/>
    <x v="0"/>
    <x v="1"/>
    <x v="3"/>
    <x v="1"/>
    <x v="2"/>
    <x v="3"/>
    <x v="8"/>
    <n v="2.8605"/>
    <x v="3"/>
    <x v="3"/>
    <x v="4"/>
    <x v="2"/>
    <x v="3"/>
    <x v="1"/>
    <n v="4.9324185810084888E-2"/>
    <n v="-105948.12300219067"/>
    <n v="15290.497601126315"/>
    <n v="112343.66643468848"/>
    <n v="6395.5434324978123"/>
    <s v="36739IF-NWPL_ROCKY_M"/>
    <x v="1"/>
  </r>
  <r>
    <x v="3"/>
    <x v="0"/>
    <s v="N33626.2"/>
    <x v="1"/>
    <x v="0"/>
    <x v="0"/>
    <x v="3"/>
    <x v="2"/>
    <x v="1"/>
    <x v="3"/>
    <x v="4"/>
    <n v="3.3504999999999998"/>
    <x v="3"/>
    <x v="3"/>
    <x v="4"/>
    <x v="1"/>
    <x v="3"/>
    <x v="0"/>
    <n v="3.2583781358017379E-2"/>
    <n v="321840.37139992887"/>
    <n v="19550.268814810428"/>
    <n v="-317278.20522638416"/>
    <n v="4562.1661735447124"/>
    <s v="36739IF-CGT/APPALAC"/>
    <x v="2"/>
  </r>
  <r>
    <x v="3"/>
    <x v="0"/>
    <s v="W1882"/>
    <x v="0"/>
    <x v="0"/>
    <x v="0"/>
    <x v="3"/>
    <x v="3"/>
    <x v="3"/>
    <x v="3"/>
    <x v="6"/>
    <n v="3.5279999999999996"/>
    <x v="3"/>
    <x v="3"/>
    <x v="4"/>
    <x v="0"/>
    <x v="3"/>
    <x v="0"/>
    <n v="7.0370105649823031E-2"/>
    <n v="325189.22765374812"/>
    <n v="35185.052824911516"/>
    <n v="-320639.02114514465"/>
    <n v="4550.2065086034709"/>
    <s v="36739IF-TRANSCO/Z6"/>
    <x v="3"/>
  </r>
  <r>
    <x v="0"/>
    <x v="0"/>
    <s v="EY1230"/>
    <x v="0"/>
    <x v="0"/>
    <x v="0"/>
    <x v="4"/>
    <x v="0"/>
    <x v="0"/>
    <x v="4"/>
    <x v="9"/>
    <n v="3.488"/>
    <x v="4"/>
    <x v="4"/>
    <x v="5"/>
    <x v="0"/>
    <x v="4"/>
    <x v="0"/>
    <n v="8.8175682757920329E-2"/>
    <n v="205520.27114083315"/>
    <n v="26452.704827376099"/>
    <n v="-202335.11186054387"/>
    <n v="3185.1592802892847"/>
    <s v="36770IF-TRANSCO/Z6"/>
    <x v="0"/>
  </r>
  <r>
    <x v="1"/>
    <x v="1"/>
    <s v="NA9501.1"/>
    <x v="1"/>
    <x v="0"/>
    <x v="0"/>
    <x v="4"/>
    <x v="0"/>
    <x v="1"/>
    <x v="4"/>
    <x v="4"/>
    <n v="3.3405"/>
    <x v="4"/>
    <x v="4"/>
    <x v="5"/>
    <x v="1"/>
    <x v="4"/>
    <x v="0"/>
    <n v="3.7365572021734531E-2"/>
    <n v="158516.47825929752"/>
    <n v="11209.67160652036"/>
    <n v="-155864.18687119847"/>
    <n v="2652.2913880990527"/>
    <s v="36770IF-CGT/APPALAC"/>
    <x v="0"/>
  </r>
  <r>
    <x v="2"/>
    <x v="0"/>
    <s v="W2420"/>
    <x v="2"/>
    <x v="0"/>
    <x v="1"/>
    <x v="4"/>
    <x v="0"/>
    <x v="2"/>
    <x v="4"/>
    <x v="8"/>
    <n v="2.8505000000000003"/>
    <x v="4"/>
    <x v="4"/>
    <x v="5"/>
    <x v="2"/>
    <x v="4"/>
    <x v="1"/>
    <n v="6.1806484886073036E-2"/>
    <n v="-107334.00197715068"/>
    <n v="18541.945465821911"/>
    <n v="114669.21786075036"/>
    <n v="7335.2158835996815"/>
    <s v="36770IF-NWPL_ROCKY_M"/>
    <x v="0"/>
  </r>
  <r>
    <x v="3"/>
    <x v="0"/>
    <s v="N33626.2"/>
    <x v="1"/>
    <x v="0"/>
    <x v="0"/>
    <x v="4"/>
    <x v="2"/>
    <x v="1"/>
    <x v="4"/>
    <x v="4"/>
    <n v="3.3405"/>
    <x v="4"/>
    <x v="4"/>
    <x v="5"/>
    <x v="1"/>
    <x v="4"/>
    <x v="0"/>
    <n v="3.7365572021734531E-2"/>
    <n v="317032.95651859505"/>
    <n v="22419.34321304072"/>
    <n v="-311728.37374239694"/>
    <n v="5304.5827761981054"/>
    <s v="36770IF-CGT/APPALAC"/>
    <x v="2"/>
  </r>
  <r>
    <x v="3"/>
    <x v="0"/>
    <s v="W1882"/>
    <x v="0"/>
    <x v="0"/>
    <x v="0"/>
    <x v="4"/>
    <x v="3"/>
    <x v="3"/>
    <x v="4"/>
    <x v="9"/>
    <n v="3.488"/>
    <x v="4"/>
    <x v="4"/>
    <x v="5"/>
    <x v="0"/>
    <x v="4"/>
    <x v="0"/>
    <n v="5.9717690015039612E-2"/>
    <n v="271578.61589461216"/>
    <n v="29858.845007519805"/>
    <n v="-265827.00875457766"/>
    <n v="5751.6071400344954"/>
    <s v="36770IF-TRANSCO/Z6"/>
    <x v="3"/>
  </r>
  <r>
    <x v="0"/>
    <x v="0"/>
    <s v="EY1230"/>
    <x v="0"/>
    <x v="0"/>
    <x v="0"/>
    <x v="5"/>
    <x v="0"/>
    <x v="0"/>
    <x v="5"/>
    <x v="6"/>
    <n v="3.5250000000000004"/>
    <x v="5"/>
    <x v="5"/>
    <x v="6"/>
    <x v="0"/>
    <x v="5"/>
    <x v="0"/>
    <n v="0.11348864631317983"/>
    <n v="219847.8372168366"/>
    <n v="34046.593893953948"/>
    <n v="-216664.85667343764"/>
    <n v="3182.9805433989677"/>
    <s v="36800IF-TRANSCO/Z6"/>
    <x v="0"/>
  </r>
  <r>
    <x v="1"/>
    <x v="1"/>
    <s v="NA9501.1"/>
    <x v="1"/>
    <x v="0"/>
    <x v="0"/>
    <x v="5"/>
    <x v="1"/>
    <x v="1"/>
    <x v="5"/>
    <x v="1"/>
    <n v="3.3450000000000002"/>
    <x v="5"/>
    <x v="5"/>
    <x v="6"/>
    <x v="1"/>
    <x v="5"/>
    <x v="0"/>
    <n v="3.9452006381696478E-2"/>
    <n v="158953.27758626203"/>
    <n v="12230.121978325908"/>
    <n v="-155917.00627917703"/>
    <n v="3036.2713070850004"/>
    <s v="36800IF-CGT/APPALAC"/>
    <x v="1"/>
  </r>
  <r>
    <x v="2"/>
    <x v="0"/>
    <s v="W2420"/>
    <x v="2"/>
    <x v="0"/>
    <x v="1"/>
    <x v="5"/>
    <x v="1"/>
    <x v="2"/>
    <x v="5"/>
    <x v="10"/>
    <n v="2.8825000000000003"/>
    <x v="5"/>
    <x v="5"/>
    <x v="6"/>
    <x v="2"/>
    <x v="5"/>
    <x v="1"/>
    <n v="6.2840081894201927E-2"/>
    <n v="-103350.10759202309"/>
    <n v="19480.425387202598"/>
    <n v="111568.35230856734"/>
    <n v="8218.2447165442427"/>
    <s v="36800IF-NWPL_ROCKY_M"/>
    <x v="1"/>
  </r>
  <r>
    <x v="3"/>
    <x v="0"/>
    <s v="N33626.2"/>
    <x v="1"/>
    <x v="0"/>
    <x v="0"/>
    <x v="5"/>
    <x v="2"/>
    <x v="1"/>
    <x v="5"/>
    <x v="1"/>
    <n v="3.3450000000000002"/>
    <x v="5"/>
    <x v="5"/>
    <x v="6"/>
    <x v="1"/>
    <x v="5"/>
    <x v="0"/>
    <n v="3.9452006381696478E-2"/>
    <n v="307651.50500566844"/>
    <n v="23671.203829017886"/>
    <n v="-301774.85086292331"/>
    <n v="5876.6541427451302"/>
    <s v="36800IF-CGT/APPALAC"/>
    <x v="2"/>
  </r>
  <r>
    <x v="3"/>
    <x v="0"/>
    <s v="W1882"/>
    <x v="0"/>
    <x v="0"/>
    <x v="0"/>
    <x v="5"/>
    <x v="3"/>
    <x v="3"/>
    <x v="5"/>
    <x v="6"/>
    <n v="3.5250000000000004"/>
    <x v="5"/>
    <x v="5"/>
    <x v="6"/>
    <x v="0"/>
    <x v="5"/>
    <x v="0"/>
    <n v="8.2175162078058181E-2"/>
    <n v="306451.95685375604"/>
    <n v="41087.581039029094"/>
    <n v="-300414.27894911484"/>
    <n v="6037.6779046411975"/>
    <s v="36800IF-TRANSCO/Z6"/>
    <x v="3"/>
  </r>
  <r>
    <x v="4"/>
    <x v="0"/>
    <s v="NB4804"/>
    <x v="1"/>
    <x v="0"/>
    <x v="0"/>
    <x v="6"/>
    <x v="0"/>
    <x v="4"/>
    <x v="6"/>
    <x v="11"/>
    <n v="3.46"/>
    <x v="6"/>
    <x v="6"/>
    <x v="7"/>
    <x v="3"/>
    <x v="6"/>
    <x v="0"/>
    <n v="6.3153828353019345E-2"/>
    <n v="99842.334907653218"/>
    <n v="18946.148505905803"/>
    <n v="-91415.357880997864"/>
    <n v="8426.9770266553533"/>
    <s v="36831IF-CGT/APPALAC"/>
    <x v="0"/>
  </r>
  <r>
    <x v="4"/>
    <x v="0"/>
    <s v="NB4804"/>
    <x v="1"/>
    <x v="0"/>
    <x v="0"/>
    <x v="7"/>
    <x v="1"/>
    <x v="4"/>
    <x v="7"/>
    <x v="12"/>
    <n v="3.6244999999999998"/>
    <x v="7"/>
    <x v="7"/>
    <x v="8"/>
    <x v="3"/>
    <x v="7"/>
    <x v="0"/>
    <n v="0.10399246876576694"/>
    <n v="134396.75131451868"/>
    <n v="32237.665317387753"/>
    <n v="-124235.82740374828"/>
    <n v="10160.923910770405"/>
    <s v="36861IF-CGT/APPALAC"/>
    <x v="1"/>
  </r>
  <r>
    <x v="4"/>
    <x v="0"/>
    <s v="NB4804"/>
    <x v="1"/>
    <x v="0"/>
    <x v="0"/>
    <x v="8"/>
    <x v="1"/>
    <x v="4"/>
    <x v="8"/>
    <x v="13"/>
    <n v="3.6750000000000003"/>
    <x v="8"/>
    <x v="8"/>
    <x v="9"/>
    <x v="3"/>
    <x v="8"/>
    <x v="0"/>
    <n v="0.12998286945577522"/>
    <n v="147609.70879612057"/>
    <n v="40294.689531290322"/>
    <n v="-136676.63799531417"/>
    <n v="10933.070800806396"/>
    <s v="36892IF-CGT/APPALAC"/>
    <x v="1"/>
  </r>
  <r>
    <x v="4"/>
    <x v="0"/>
    <s v="NB4804"/>
    <x v="1"/>
    <x v="0"/>
    <x v="0"/>
    <x v="9"/>
    <x v="4"/>
    <x v="4"/>
    <x v="9"/>
    <x v="13"/>
    <n v="3.5009999999999999"/>
    <x v="9"/>
    <x v="5"/>
    <x v="10"/>
    <x v="3"/>
    <x v="9"/>
    <x v="0"/>
    <n v="0.1281541894944955"/>
    <n v="132726.50265804955"/>
    <n v="35883.173058458742"/>
    <n v="-122592.24516848061"/>
    <n v="10134.257489568932"/>
    <s v="36923IF-CGT/APPALAC"/>
    <x v="4"/>
  </r>
  <r>
    <x v="4"/>
    <x v="0"/>
    <s v="NB4804"/>
    <x v="1"/>
    <x v="0"/>
    <x v="0"/>
    <x v="10"/>
    <x v="1"/>
    <x v="4"/>
    <x v="10"/>
    <x v="14"/>
    <n v="3.2544999999999997"/>
    <x v="10"/>
    <x v="9"/>
    <x v="2"/>
    <x v="3"/>
    <x v="10"/>
    <x v="0"/>
    <n v="8.0983373224833163E-2"/>
    <n v="118482.17357328875"/>
    <n v="25104.845699698282"/>
    <n v="-108552.88329823916"/>
    <n v="9929.290275049585"/>
    <s v="36951IF-CGT/APPALAC"/>
    <x v="1"/>
  </r>
  <r>
    <x v="3"/>
    <x v="0"/>
    <s v="W1882"/>
    <x v="0"/>
    <x v="0"/>
    <x v="0"/>
    <x v="11"/>
    <x v="3"/>
    <x v="3"/>
    <x v="11"/>
    <x v="15"/>
    <n v="3.2310000000000003"/>
    <x v="11"/>
    <x v="10"/>
    <x v="11"/>
    <x v="4"/>
    <x v="11"/>
    <x v="0"/>
    <n v="0.10312891637137883"/>
    <n v="313702.65938994882"/>
    <n v="51564.458185689415"/>
    <n v="-305992.88872987404"/>
    <n v="7709.770660074777"/>
    <s v="36982IF-TRANSCO/Z6"/>
    <x v="3"/>
  </r>
  <r>
    <x v="3"/>
    <x v="0"/>
    <s v="W1882"/>
    <x v="0"/>
    <x v="0"/>
    <x v="0"/>
    <x v="12"/>
    <x v="3"/>
    <x v="3"/>
    <x v="12"/>
    <x v="16"/>
    <n v="3.0625"/>
    <x v="12"/>
    <x v="11"/>
    <x v="12"/>
    <x v="4"/>
    <x v="12"/>
    <x v="0"/>
    <n v="3.8049637286300668E-2"/>
    <n v="182498.43069092275"/>
    <n v="19024.818643150335"/>
    <n v="-175053.21868819834"/>
    <n v="7445.2120027244091"/>
    <s v="37012IF-TRANSCO/Z6"/>
    <x v="3"/>
  </r>
  <r>
    <x v="3"/>
    <x v="0"/>
    <s v="W1882"/>
    <x v="0"/>
    <x v="0"/>
    <x v="0"/>
    <x v="13"/>
    <x v="3"/>
    <x v="3"/>
    <x v="13"/>
    <x v="16"/>
    <n v="3.0644999999999998"/>
    <x v="13"/>
    <x v="12"/>
    <x v="13"/>
    <x v="4"/>
    <x v="13"/>
    <x v="0"/>
    <n v="3.8230628019952903E-2"/>
    <n v="181739.12572114909"/>
    <n v="19115.314009976453"/>
    <n v="-174243.91387278828"/>
    <n v="7495.2118483608065"/>
    <s v="37043IF-TRANSCO/Z6"/>
    <x v="3"/>
  </r>
  <r>
    <x v="3"/>
    <x v="0"/>
    <s v="W1882"/>
    <x v="0"/>
    <x v="0"/>
    <x v="0"/>
    <x v="14"/>
    <x v="3"/>
    <x v="3"/>
    <x v="14"/>
    <x v="17"/>
    <n v="3.0705"/>
    <x v="14"/>
    <x v="13"/>
    <x v="14"/>
    <x v="4"/>
    <x v="14"/>
    <x v="0"/>
    <n v="4.150246889642862E-2"/>
    <n v="188104.74847317836"/>
    <n v="20751.234448214309"/>
    <n v="-180377.82370632087"/>
    <n v="7726.9247668574972"/>
    <s v="37073IF-TRANSCO/Z6"/>
    <x v="3"/>
  </r>
  <r>
    <x v="3"/>
    <x v="0"/>
    <s v="W1882"/>
    <x v="0"/>
    <x v="0"/>
    <x v="0"/>
    <x v="15"/>
    <x v="3"/>
    <x v="3"/>
    <x v="14"/>
    <x v="17"/>
    <n v="3.0705"/>
    <x v="15"/>
    <x v="13"/>
    <x v="14"/>
    <x v="4"/>
    <x v="15"/>
    <x v="0"/>
    <n v="4.3295824822031148E-2"/>
    <n v="188796.36862810419"/>
    <n v="21647.912411015575"/>
    <n v="-180821.23896289073"/>
    <n v="7975.1296652134624"/>
    <s v="37104IF-TRANSCO/Z6"/>
    <x v="3"/>
  </r>
  <r>
    <x v="3"/>
    <x v="0"/>
    <s v="W1882"/>
    <x v="0"/>
    <x v="0"/>
    <x v="0"/>
    <x v="16"/>
    <x v="3"/>
    <x v="3"/>
    <x v="14"/>
    <x v="16"/>
    <n v="3.0655000000000001"/>
    <x v="16"/>
    <x v="12"/>
    <x v="13"/>
    <x v="4"/>
    <x v="16"/>
    <x v="0"/>
    <n v="4.3405855196087445E-2"/>
    <n v="184333.58814922706"/>
    <n v="21702.927598043723"/>
    <n v="-176110.13149178651"/>
    <n v="8223.4566574405471"/>
    <s v="37135IF-TRANSCO/Z6"/>
    <x v="3"/>
  </r>
  <r>
    <x v="3"/>
    <x v="0"/>
    <s v="W1882"/>
    <x v="0"/>
    <x v="0"/>
    <x v="0"/>
    <x v="17"/>
    <x v="3"/>
    <x v="3"/>
    <x v="15"/>
    <x v="18"/>
    <n v="3.0880000000000001"/>
    <x v="17"/>
    <x v="14"/>
    <x v="15"/>
    <x v="4"/>
    <x v="17"/>
    <x v="0"/>
    <n v="4.7391915245839231E-2"/>
    <n v="188564.79409615445"/>
    <n v="23695.957622919614"/>
    <n v="-179922.0294412245"/>
    <n v="8642.7646549299534"/>
    <s v="37165IF-TRANSCO/Z6"/>
    <x v="3"/>
  </r>
  <r>
    <x v="5"/>
    <x v="0"/>
    <s v="EM1452.2"/>
    <x v="0"/>
    <x v="0"/>
    <x v="0"/>
    <x v="18"/>
    <x v="5"/>
    <x v="5"/>
    <x v="16"/>
    <x v="19"/>
    <n v="3.6545000000000001"/>
    <x v="18"/>
    <x v="15"/>
    <x v="16"/>
    <x v="5"/>
    <x v="18"/>
    <x v="0"/>
    <n v="0.10705325794768127"/>
    <n v="-330693.56640802947"/>
    <n v="-107053.25794768127"/>
    <n v="298268.12942753843"/>
    <n v="-32425.436980491038"/>
    <s v="37196IF-TRANSCO/Z6"/>
    <x v="5"/>
  </r>
  <r>
    <x v="5"/>
    <x v="0"/>
    <s v="EM1452.2"/>
    <x v="0"/>
    <x v="0"/>
    <x v="0"/>
    <x v="19"/>
    <x v="5"/>
    <x v="5"/>
    <x v="17"/>
    <x v="20"/>
    <n v="4.2439999999999998"/>
    <x v="19"/>
    <x v="16"/>
    <x v="17"/>
    <x v="5"/>
    <x v="19"/>
    <x v="0"/>
    <n v="0.35492466043535675"/>
    <n v="-618471.56898804998"/>
    <n v="-354924.66043535678"/>
    <n v="586381.11532826431"/>
    <n v="-32090.453659785679"/>
    <s v="37226IF-TRANSCO/Z6"/>
    <x v="5"/>
  </r>
  <r>
    <x v="5"/>
    <x v="0"/>
    <s v="EM1452.2"/>
    <x v="0"/>
    <x v="0"/>
    <x v="0"/>
    <x v="20"/>
    <x v="5"/>
    <x v="5"/>
    <x v="18"/>
    <x v="21"/>
    <n v="4.5090000000000003"/>
    <x v="20"/>
    <x v="17"/>
    <x v="18"/>
    <x v="5"/>
    <x v="20"/>
    <x v="0"/>
    <n v="0.4922262234242335"/>
    <n v="-742003.9726557259"/>
    <n v="-492226.2234242335"/>
    <n v="723215.18707868224"/>
    <n v="-18788.785577043658"/>
    <s v="37257IF-TRANSCO/Z6"/>
    <x v="5"/>
  </r>
  <r>
    <x v="5"/>
    <x v="0"/>
    <s v="EM1452.2"/>
    <x v="0"/>
    <x v="0"/>
    <x v="0"/>
    <x v="21"/>
    <x v="5"/>
    <x v="5"/>
    <x v="19"/>
    <x v="22"/>
    <n v="4.3650000000000002"/>
    <x v="21"/>
    <x v="18"/>
    <x v="19"/>
    <x v="5"/>
    <x v="21"/>
    <x v="0"/>
    <n v="0.49999292412736579"/>
    <n v="-699494.53860410524"/>
    <n v="-499992.92412736581"/>
    <n v="672840.81451206608"/>
    <n v="-26653.724092039163"/>
    <s v="37288IF-TRANSCO/Z6"/>
    <x v="5"/>
  </r>
  <r>
    <x v="5"/>
    <x v="0"/>
    <s v="EM1452.2"/>
    <x v="0"/>
    <x v="0"/>
    <x v="0"/>
    <x v="22"/>
    <x v="5"/>
    <x v="5"/>
    <x v="20"/>
    <x v="23"/>
    <n v="3.6819999999999999"/>
    <x v="22"/>
    <x v="19"/>
    <x v="20"/>
    <x v="5"/>
    <x v="22"/>
    <x v="0"/>
    <n v="0.16440674357997567"/>
    <n v="-428310.48513143143"/>
    <n v="-164406.74357997568"/>
    <n v="394362.73171918362"/>
    <n v="-33947.75341224781"/>
    <s v="37316IF-TRANSCO/Z6"/>
    <x v="5"/>
  </r>
  <r>
    <x v="6"/>
    <x v="0"/>
    <s v="NE3899"/>
    <x v="0"/>
    <x v="0"/>
    <x v="0"/>
    <x v="6"/>
    <x v="6"/>
    <x v="6"/>
    <x v="6"/>
    <x v="24"/>
    <n v="3.9725000000000001"/>
    <x v="6"/>
    <x v="6"/>
    <x v="7"/>
    <x v="5"/>
    <x v="6"/>
    <x v="0"/>
    <n v="7.1826802108523088E-2"/>
    <n v="250870.55909717953"/>
    <n v="64644.121897670782"/>
    <n v="-227836.31160577084"/>
    <n v="23034.247491408692"/>
    <s v="36831IF-TRANSCO/Z6"/>
    <x v="6"/>
  </r>
  <r>
    <x v="7"/>
    <x v="0"/>
    <s v="NE3901"/>
    <x v="0"/>
    <x v="0"/>
    <x v="1"/>
    <x v="6"/>
    <x v="0"/>
    <x v="7"/>
    <x v="6"/>
    <x v="24"/>
    <n v="3.9725000000000001"/>
    <x v="6"/>
    <x v="6"/>
    <x v="7"/>
    <x v="5"/>
    <x v="6"/>
    <x v="1"/>
    <n v="5.6739710102957142E-2"/>
    <n v="-68437.572742890814"/>
    <n v="17021.913030887143"/>
    <n v="76849.813800897755"/>
    <n v="8412.2410580069409"/>
    <s v="36831IF-TRANSCO/Z6"/>
    <x v="0"/>
  </r>
  <r>
    <x v="8"/>
    <x v="0"/>
    <s v="NE3903"/>
    <x v="0"/>
    <x v="0"/>
    <x v="1"/>
    <x v="6"/>
    <x v="6"/>
    <x v="7"/>
    <x v="6"/>
    <x v="24"/>
    <n v="3.9725000000000001"/>
    <x v="6"/>
    <x v="6"/>
    <x v="7"/>
    <x v="5"/>
    <x v="6"/>
    <x v="1"/>
    <n v="5.6739710102957142E-2"/>
    <n v="-205312.71822867246"/>
    <n v="51065.739092661424"/>
    <n v="230549.44140269328"/>
    <n v="25236.723174020823"/>
    <s v="36831IF-TRANSCO/Z6"/>
    <x v="6"/>
  </r>
  <r>
    <x v="9"/>
    <x v="0"/>
    <s v="NE3906"/>
    <x v="0"/>
    <x v="0"/>
    <x v="1"/>
    <x v="6"/>
    <x v="7"/>
    <x v="7"/>
    <x v="6"/>
    <x v="24"/>
    <n v="3.9725000000000001"/>
    <x v="6"/>
    <x v="6"/>
    <x v="7"/>
    <x v="5"/>
    <x v="6"/>
    <x v="1"/>
    <n v="5.6739710102957142E-2"/>
    <n v="-342187.86371445411"/>
    <n v="85109.56515443571"/>
    <n v="384249.06900448882"/>
    <n v="42061.205290034704"/>
    <s v="36831IF-TRANSCO/Z6"/>
    <x v="7"/>
  </r>
  <r>
    <x v="6"/>
    <x v="0"/>
    <s v="NE5062.1"/>
    <x v="0"/>
    <x v="0"/>
    <x v="0"/>
    <x v="10"/>
    <x v="8"/>
    <x v="8"/>
    <x v="10"/>
    <x v="25"/>
    <n v="3.8769999999999998"/>
    <x v="10"/>
    <x v="9"/>
    <x v="21"/>
    <x v="5"/>
    <x v="10"/>
    <x v="0"/>
    <n v="0.10966510929882514"/>
    <n v="374759.06216208125"/>
    <n v="135984.73553054317"/>
    <n v="-333717.45533787279"/>
    <n v="41041.606824208458"/>
    <s v="36951IF-TRANSCO/Z6"/>
    <x v="8"/>
  </r>
  <r>
    <x v="10"/>
    <x v="1"/>
    <s v="NE5062.2"/>
    <x v="0"/>
    <x v="0"/>
    <x v="0"/>
    <x v="10"/>
    <x v="9"/>
    <x v="8"/>
    <x v="10"/>
    <x v="25"/>
    <n v="3.8769999999999998"/>
    <x v="10"/>
    <x v="9"/>
    <x v="21"/>
    <x v="5"/>
    <x v="10"/>
    <x v="0"/>
    <n v="0.10966510929882514"/>
    <n v="-93689.765540520311"/>
    <n v="-33996.183882635793"/>
    <n v="83429.363834468197"/>
    <n v="-10260.401706052115"/>
    <s v="36951IF-TRANSCO/Z6"/>
    <x v="9"/>
  </r>
  <r>
    <x v="11"/>
    <x v="0"/>
    <s v="NE6161.1"/>
    <x v="2"/>
    <x v="0"/>
    <x v="0"/>
    <x v="0"/>
    <x v="1"/>
    <x v="9"/>
    <x v="0"/>
    <x v="2"/>
    <n v="2.8129999999999997"/>
    <x v="0"/>
    <x v="0"/>
    <x v="1"/>
    <x v="2"/>
    <x v="0"/>
    <x v="0"/>
    <n v="1.578739605507451E-2"/>
    <n v="109980.16353165914"/>
    <n v="4894.0927770730977"/>
    <n v="-107878.29895132608"/>
    <n v="2101.8645803330583"/>
    <s v="36647IF-NWPL_ROCKY_M"/>
    <x v="1"/>
  </r>
  <r>
    <x v="11"/>
    <x v="0"/>
    <s v="NE6161.1"/>
    <x v="2"/>
    <x v="0"/>
    <x v="0"/>
    <x v="1"/>
    <x v="0"/>
    <x v="9"/>
    <x v="1"/>
    <x v="5"/>
    <n v="2.8320000000000003"/>
    <x v="1"/>
    <x v="1"/>
    <x v="2"/>
    <x v="2"/>
    <x v="1"/>
    <x v="0"/>
    <n v="3.8566083010680985E-2"/>
    <n v="130957.07866581265"/>
    <n v="11569.824903204295"/>
    <n v="-126903.54300273901"/>
    <n v="4053.5356630736351"/>
    <s v="36678IF-NWPL_ROCKY_M"/>
    <x v="0"/>
  </r>
  <r>
    <x v="11"/>
    <x v="0"/>
    <s v="NE6161.1"/>
    <x v="2"/>
    <x v="0"/>
    <x v="0"/>
    <x v="2"/>
    <x v="1"/>
    <x v="9"/>
    <x v="2"/>
    <x v="8"/>
    <n v="2.8585000000000003"/>
    <x v="2"/>
    <x v="2"/>
    <x v="3"/>
    <x v="2"/>
    <x v="2"/>
    <x v="0"/>
    <n v="6.3142152782796557E-2"/>
    <n v="153486.51964006183"/>
    <n v="19574.067362666934"/>
    <n v="-147792.62898761919"/>
    <n v="5693.890652442642"/>
    <s v="36708IF-NWPL_ROCKY_M"/>
    <x v="1"/>
  </r>
  <r>
    <x v="11"/>
    <x v="0"/>
    <s v="NE6161.1"/>
    <x v="2"/>
    <x v="0"/>
    <x v="0"/>
    <x v="3"/>
    <x v="1"/>
    <x v="9"/>
    <x v="3"/>
    <x v="8"/>
    <n v="2.8605"/>
    <x v="3"/>
    <x v="3"/>
    <x v="4"/>
    <x v="2"/>
    <x v="3"/>
    <x v="0"/>
    <n v="7.7903439049721079E-2"/>
    <n v="153566.52949680309"/>
    <n v="24150.066105413534"/>
    <n v="-146574.41710433128"/>
    <n v="6992.1123924718122"/>
    <s v="36739IF-NWPL_ROCKY_M"/>
    <x v="1"/>
  </r>
  <r>
    <x v="11"/>
    <x v="0"/>
    <s v="NE6161.1"/>
    <x v="2"/>
    <x v="0"/>
    <x v="0"/>
    <x v="4"/>
    <x v="0"/>
    <x v="9"/>
    <x v="4"/>
    <x v="8"/>
    <n v="2.8505000000000003"/>
    <x v="4"/>
    <x v="4"/>
    <x v="5"/>
    <x v="2"/>
    <x v="4"/>
    <x v="0"/>
    <n v="9.0546705422620555E-2"/>
    <n v="148387.09407739271"/>
    <n v="27164.011626786167"/>
    <n v="-140511.65615582402"/>
    <n v="7875.4379215686931"/>
    <s v="36770IF-NWPL_ROCKY_M"/>
    <x v="0"/>
  </r>
  <r>
    <x v="11"/>
    <x v="0"/>
    <s v="NE6161.1"/>
    <x v="2"/>
    <x v="0"/>
    <x v="0"/>
    <x v="5"/>
    <x v="1"/>
    <x v="9"/>
    <x v="5"/>
    <x v="10"/>
    <n v="2.8824999999999998"/>
    <x v="5"/>
    <x v="5"/>
    <x v="6"/>
    <x v="2"/>
    <x v="5"/>
    <x v="0"/>
    <n v="0.11308842639577898"/>
    <n v="164402.47960170516"/>
    <n v="35057.412182691485"/>
    <n v="-155438.77755835879"/>
    <n v="8963.7020433463622"/>
    <s v="36800IF-NWPL_ROCKY_M"/>
    <x v="1"/>
  </r>
  <r>
    <x v="11"/>
    <x v="0"/>
    <s v="NE6161.2"/>
    <x v="2"/>
    <x v="0"/>
    <x v="1"/>
    <x v="0"/>
    <x v="1"/>
    <x v="9"/>
    <x v="0"/>
    <x v="2"/>
    <n v="2.8129999999999997"/>
    <x v="0"/>
    <x v="0"/>
    <x v="1"/>
    <x v="2"/>
    <x v="0"/>
    <x v="1"/>
    <n v="4.0744528319868197E-2"/>
    <n v="-199488.27655178361"/>
    <n v="12630.803779159141"/>
    <n v="201590.14113211664"/>
    <n v="2101.8645803330292"/>
    <s v="36647IF-NWPL_ROCKY_M"/>
    <x v="1"/>
  </r>
  <r>
    <x v="11"/>
    <x v="0"/>
    <s v="NE6161.2"/>
    <x v="2"/>
    <x v="0"/>
    <x v="1"/>
    <x v="1"/>
    <x v="0"/>
    <x v="9"/>
    <x v="1"/>
    <x v="5"/>
    <n v="2.8320000000000003"/>
    <x v="1"/>
    <x v="1"/>
    <x v="2"/>
    <x v="2"/>
    <x v="1"/>
    <x v="1"/>
    <n v="5.8418201506883018E-2"/>
    <n v="-166824.69877722117"/>
    <n v="17525.460452064905"/>
    <n v="170878.23444029479"/>
    <n v="4053.5356630736205"/>
    <s v="36678IF-NWPL_ROCKY_M"/>
    <x v="0"/>
  </r>
  <r>
    <x v="11"/>
    <x v="0"/>
    <s v="NE6161.2"/>
    <x v="2"/>
    <x v="0"/>
    <x v="1"/>
    <x v="2"/>
    <x v="1"/>
    <x v="9"/>
    <x v="2"/>
    <x v="8"/>
    <n v="2.8585000000000003"/>
    <x v="2"/>
    <x v="2"/>
    <x v="3"/>
    <x v="2"/>
    <x v="2"/>
    <x v="1"/>
    <n v="6.5610528479048608E-2"/>
    <n v="-152592.0666952031"/>
    <n v="20339.263828505067"/>
    <n v="158285.95734764574"/>
    <n v="5693.890652442642"/>
    <s v="36708IF-NWPL_ROCKY_M"/>
    <x v="1"/>
  </r>
  <r>
    <x v="11"/>
    <x v="0"/>
    <s v="NE6161.2"/>
    <x v="2"/>
    <x v="0"/>
    <x v="1"/>
    <x v="3"/>
    <x v="1"/>
    <x v="9"/>
    <x v="3"/>
    <x v="8"/>
    <n v="2.8605"/>
    <x v="3"/>
    <x v="3"/>
    <x v="4"/>
    <x v="2"/>
    <x v="3"/>
    <x v="1"/>
    <n v="8.0358811105179145E-2"/>
    <n v="-150899.60538000011"/>
    <n v="24911.231442605535"/>
    <n v="157891.71777247192"/>
    <n v="6992.1123924718122"/>
    <s v="36739IF-NWPL_ROCKY_M"/>
    <x v="1"/>
  </r>
  <r>
    <x v="11"/>
    <x v="0"/>
    <s v="NE6161.2"/>
    <x v="2"/>
    <x v="0"/>
    <x v="1"/>
    <x v="4"/>
    <x v="0"/>
    <x v="9"/>
    <x v="4"/>
    <x v="8"/>
    <n v="2.8505000000000003"/>
    <x v="4"/>
    <x v="4"/>
    <x v="5"/>
    <x v="2"/>
    <x v="4"/>
    <x v="1"/>
    <n v="9.2987160192405424E-2"/>
    <n v="-144467.47829680663"/>
    <n v="27896.148057721628"/>
    <n v="152342.91621837529"/>
    <n v="7875.437921568664"/>
    <s v="36770IF-NWPL_ROCKY_M"/>
    <x v="0"/>
  </r>
  <r>
    <x v="11"/>
    <x v="0"/>
    <s v="NE6161.2"/>
    <x v="2"/>
    <x v="0"/>
    <x v="1"/>
    <x v="5"/>
    <x v="1"/>
    <x v="9"/>
    <x v="5"/>
    <x v="10"/>
    <n v="2.8824999999999998"/>
    <x v="5"/>
    <x v="5"/>
    <x v="6"/>
    <x v="2"/>
    <x v="5"/>
    <x v="1"/>
    <n v="9.1243634492784956E-2"/>
    <n v="-136570.20883954217"/>
    <n v="28285.526692763335"/>
    <n v="145533.91088288851"/>
    <n v="8963.7020433463331"/>
    <s v="36800IF-NWPL_ROCKY_M"/>
    <x v="1"/>
  </r>
  <r>
    <x v="11"/>
    <x v="0"/>
    <s v="NE6195"/>
    <x v="2"/>
    <x v="0"/>
    <x v="1"/>
    <x v="0"/>
    <x v="1"/>
    <x v="2"/>
    <x v="0"/>
    <x v="2"/>
    <n v="2.8129999999999997"/>
    <x v="0"/>
    <x v="0"/>
    <x v="1"/>
    <x v="2"/>
    <x v="0"/>
    <x v="1"/>
    <n v="8.3318467433163654E-3"/>
    <n v="-65414.331387060061"/>
    <n v="2582.8724904280734"/>
    <n v="67037.016187560163"/>
    <n v="1622.6848005001011"/>
    <s v="36647IF-NWPL_ROCKY_M"/>
    <x v="1"/>
  </r>
  <r>
    <x v="11"/>
    <x v="0"/>
    <s v="NE6195"/>
    <x v="2"/>
    <x v="0"/>
    <x v="1"/>
    <x v="1"/>
    <x v="0"/>
    <x v="2"/>
    <x v="1"/>
    <x v="5"/>
    <n v="2.8320000000000003"/>
    <x v="1"/>
    <x v="1"/>
    <x v="2"/>
    <x v="2"/>
    <x v="1"/>
    <x v="1"/>
    <n v="2.529955571926893E-2"/>
    <n v="-92731.077967233636"/>
    <n v="7589.8667157806794"/>
    <n v="96314.848695393084"/>
    <n v="3583.7707281594485"/>
    <s v="36678IF-NWPL_ROCKY_M"/>
    <x v="0"/>
  </r>
  <r>
    <x v="11"/>
    <x v="0"/>
    <s v="NE6195"/>
    <x v="2"/>
    <x v="0"/>
    <x v="1"/>
    <x v="2"/>
    <x v="1"/>
    <x v="2"/>
    <x v="2"/>
    <x v="8"/>
    <n v="2.8585000000000003"/>
    <x v="2"/>
    <x v="2"/>
    <x v="3"/>
    <x v="2"/>
    <x v="2"/>
    <x v="1"/>
    <n v="3.5172063358679881E-2"/>
    <n v="-97189.590127516625"/>
    <n v="10903.339641190763"/>
    <n v="102210.94290718625"/>
    <n v="5021.3527796696289"/>
    <s v="36708IF-NWPL_ROCKY_M"/>
    <x v="1"/>
  </r>
  <r>
    <x v="11"/>
    <x v="0"/>
    <s v="NE6195"/>
    <x v="2"/>
    <x v="0"/>
    <x v="1"/>
    <x v="3"/>
    <x v="1"/>
    <x v="2"/>
    <x v="3"/>
    <x v="8"/>
    <n v="2.8605"/>
    <x v="3"/>
    <x v="3"/>
    <x v="4"/>
    <x v="2"/>
    <x v="3"/>
    <x v="1"/>
    <n v="4.9324185810084888E-2"/>
    <n v="-105948.12300219067"/>
    <n v="15290.497601126315"/>
    <n v="112343.66643468848"/>
    <n v="6395.5434324978123"/>
    <s v="36739IF-NWPL_ROCKY_M"/>
    <x v="1"/>
  </r>
  <r>
    <x v="11"/>
    <x v="0"/>
    <s v="NE6195"/>
    <x v="2"/>
    <x v="0"/>
    <x v="1"/>
    <x v="4"/>
    <x v="0"/>
    <x v="2"/>
    <x v="4"/>
    <x v="8"/>
    <n v="2.8505000000000003"/>
    <x v="4"/>
    <x v="4"/>
    <x v="5"/>
    <x v="2"/>
    <x v="4"/>
    <x v="1"/>
    <n v="6.1806484886073036E-2"/>
    <n v="-107334.00197715068"/>
    <n v="18541.945465821911"/>
    <n v="114669.21786075036"/>
    <n v="7335.2158835996815"/>
    <s v="36770IF-NWPL_ROCKY_M"/>
    <x v="0"/>
  </r>
  <r>
    <x v="11"/>
    <x v="0"/>
    <s v="NE6195"/>
    <x v="2"/>
    <x v="0"/>
    <x v="1"/>
    <x v="5"/>
    <x v="1"/>
    <x v="2"/>
    <x v="5"/>
    <x v="10"/>
    <n v="2.8824999999999998"/>
    <x v="5"/>
    <x v="5"/>
    <x v="6"/>
    <x v="2"/>
    <x v="5"/>
    <x v="1"/>
    <n v="6.2840081894201927E-2"/>
    <n v="-103350.10759202309"/>
    <n v="19480.425387202598"/>
    <n v="111568.35230856734"/>
    <n v="8218.2447165442427"/>
    <s v="36800IF-NWPL_ROCKY_M"/>
    <x v="1"/>
  </r>
  <r>
    <x v="2"/>
    <x v="0"/>
    <s v="NE6212"/>
    <x v="2"/>
    <x v="0"/>
    <x v="0"/>
    <x v="0"/>
    <x v="1"/>
    <x v="10"/>
    <x v="0"/>
    <x v="2"/>
    <n v="2.8129999999999997"/>
    <x v="0"/>
    <x v="0"/>
    <x v="1"/>
    <x v="2"/>
    <x v="0"/>
    <x v="0"/>
    <n v="1.941927982033409E-3"/>
    <n v="21618.856260677119"/>
    <n v="601.99767443035682"/>
    <n v="-20858.940220644421"/>
    <n v="759.91604003269822"/>
    <s v="36647IF-NWPL_ROCKY_M"/>
    <x v="1"/>
  </r>
  <r>
    <x v="2"/>
    <x v="0"/>
    <s v="NE6212"/>
    <x v="2"/>
    <x v="0"/>
    <x v="0"/>
    <x v="1"/>
    <x v="0"/>
    <x v="10"/>
    <x v="1"/>
    <x v="5"/>
    <n v="2.8320000000000003"/>
    <x v="1"/>
    <x v="1"/>
    <x v="2"/>
    <x v="2"/>
    <x v="1"/>
    <x v="0"/>
    <n v="1.4887424452426523E-2"/>
    <n v="67487.652311620128"/>
    <n v="4466.2273357279573"/>
    <n v="-64360.48845417831"/>
    <n v="3127.1638574418175"/>
    <s v="36678IF-NWPL_ROCKY_M"/>
    <x v="0"/>
  </r>
  <r>
    <x v="2"/>
    <x v="0"/>
    <s v="NE6212"/>
    <x v="2"/>
    <x v="0"/>
    <x v="0"/>
    <x v="2"/>
    <x v="1"/>
    <x v="10"/>
    <x v="2"/>
    <x v="8"/>
    <n v="2.8585000000000003"/>
    <x v="2"/>
    <x v="2"/>
    <x v="3"/>
    <x v="2"/>
    <x v="2"/>
    <x v="0"/>
    <n v="3.3246753108390231E-2"/>
    <n v="101600.10478445489"/>
    <n v="10306.493463600971"/>
    <n v="-96368.092157469931"/>
    <n v="5232.012626984957"/>
    <s v="36708IF-NWPL_ROCKY_M"/>
    <x v="1"/>
  </r>
  <r>
    <x v="2"/>
    <x v="0"/>
    <s v="NE6212"/>
    <x v="2"/>
    <x v="0"/>
    <x v="0"/>
    <x v="3"/>
    <x v="1"/>
    <x v="10"/>
    <x v="3"/>
    <x v="8"/>
    <n v="2.8605"/>
    <x v="3"/>
    <x v="3"/>
    <x v="4"/>
    <x v="2"/>
    <x v="3"/>
    <x v="0"/>
    <n v="4.6571436107695097E-2"/>
    <n v="111413.20964849698"/>
    <n v="14437.145193385481"/>
    <n v="-104755.038981604"/>
    <n v="6658.1706668929837"/>
    <s v="36739IF-NWPL_ROCKY_M"/>
    <x v="1"/>
  </r>
  <r>
    <x v="2"/>
    <x v="0"/>
    <s v="NE6212"/>
    <x v="2"/>
    <x v="0"/>
    <x v="0"/>
    <x v="4"/>
    <x v="0"/>
    <x v="10"/>
    <x v="4"/>
    <x v="8"/>
    <n v="2.8505000000000003"/>
    <x v="4"/>
    <x v="4"/>
    <x v="5"/>
    <x v="2"/>
    <x v="4"/>
    <x v="0"/>
    <n v="5.8334520561907466E-2"/>
    <n v="113535.91744240717"/>
    <n v="17500.356168572238"/>
    <n v="-105898.67778451613"/>
    <n v="7637.2396578910411"/>
    <s v="36770IF-NWPL_ROCKY_M"/>
    <x v="0"/>
  </r>
  <r>
    <x v="2"/>
    <x v="0"/>
    <s v="NE6212"/>
    <x v="2"/>
    <x v="0"/>
    <x v="0"/>
    <x v="5"/>
    <x v="1"/>
    <x v="10"/>
    <x v="5"/>
    <x v="10"/>
    <n v="2.8824999999999998"/>
    <x v="5"/>
    <x v="5"/>
    <x v="6"/>
    <x v="2"/>
    <x v="5"/>
    <x v="0"/>
    <n v="7.773453399050953E-2"/>
    <n v="132375.71122083475"/>
    <n v="24097.705537057955"/>
    <n v="-123371.17606251351"/>
    <n v="9004.5351583212469"/>
    <s v="36800IF-NWPL_ROCKY_M"/>
    <x v="1"/>
  </r>
  <r>
    <x v="9"/>
    <x v="0"/>
    <s v="NE7612"/>
    <x v="2"/>
    <x v="0"/>
    <x v="0"/>
    <x v="0"/>
    <x v="1"/>
    <x v="11"/>
    <x v="0"/>
    <x v="2"/>
    <n v="2.8129999999999997"/>
    <x v="0"/>
    <x v="0"/>
    <x v="1"/>
    <x v="2"/>
    <x v="0"/>
    <x v="0"/>
    <n v="9.5967240375107177E-3"/>
    <n v="76924.740441745234"/>
    <n v="2974.9844516283224"/>
    <n v="-75134.312773736718"/>
    <n v="1790.4276680085168"/>
    <s v="36647IF-NWPL_ROCKY_M"/>
    <x v="1"/>
  </r>
  <r>
    <x v="9"/>
    <x v="0"/>
    <s v="NE7612"/>
    <x v="2"/>
    <x v="0"/>
    <x v="0"/>
    <x v="1"/>
    <x v="0"/>
    <x v="11"/>
    <x v="1"/>
    <x v="5"/>
    <n v="2.8320000000000003"/>
    <x v="1"/>
    <x v="1"/>
    <x v="2"/>
    <x v="2"/>
    <x v="1"/>
    <x v="0"/>
    <n v="3.0218556437148658E-2"/>
    <n v="111599.77436601763"/>
    <n v="9065.5669311445981"/>
    <n v="-107690.7765280341"/>
    <n v="3908.9978379835375"/>
    <s v="36678IF-NWPL_ROCKY_M"/>
    <x v="0"/>
  </r>
  <r>
    <x v="9"/>
    <x v="0"/>
    <s v="NE7612"/>
    <x v="2"/>
    <x v="0"/>
    <x v="0"/>
    <x v="2"/>
    <x v="1"/>
    <x v="11"/>
    <x v="2"/>
    <x v="8"/>
    <n v="2.8585000000000003"/>
    <x v="2"/>
    <x v="2"/>
    <x v="3"/>
    <x v="2"/>
    <x v="2"/>
    <x v="0"/>
    <n v="5.3360807966381263E-2"/>
    <n v="138528.75446100248"/>
    <n v="16541.850469578192"/>
    <n v="-132857.96227047587"/>
    <n v="5670.7921905266121"/>
    <s v="36708IF-NWPL_ROCKY_M"/>
    <x v="1"/>
  </r>
  <r>
    <x v="9"/>
    <x v="0"/>
    <s v="NE7612"/>
    <x v="2"/>
    <x v="0"/>
    <x v="0"/>
    <x v="3"/>
    <x v="1"/>
    <x v="11"/>
    <x v="3"/>
    <x v="8"/>
    <n v="2.8605"/>
    <x v="3"/>
    <x v="3"/>
    <x v="4"/>
    <x v="2"/>
    <x v="3"/>
    <x v="0"/>
    <n v="6.7936736055053848E-2"/>
    <n v="141549.1311234516"/>
    <n v="21060.388177066692"/>
    <n v="-134562.8471408069"/>
    <n v="6986.2839826447016"/>
    <s v="36739IF-NWPL_ROCKY_M"/>
    <x v="1"/>
  </r>
  <r>
    <x v="9"/>
    <x v="0"/>
    <s v="NE7612"/>
    <x v="2"/>
    <x v="0"/>
    <x v="0"/>
    <x v="4"/>
    <x v="0"/>
    <x v="11"/>
    <x v="4"/>
    <x v="8"/>
    <n v="2.8505000000000003"/>
    <x v="4"/>
    <x v="4"/>
    <x v="5"/>
    <x v="2"/>
    <x v="4"/>
    <x v="0"/>
    <n v="8.0467474625074864E-2"/>
    <n v="138508.02025347718"/>
    <n v="24140.242387522459"/>
    <n v="-130625.77386863893"/>
    <n v="7882.2463848382467"/>
    <s v="36770IF-NWPL_ROCKY_M"/>
    <x v="0"/>
  </r>
  <r>
    <x v="9"/>
    <x v="0"/>
    <s v="NE7612"/>
    <x v="2"/>
    <x v="0"/>
    <x v="0"/>
    <x v="5"/>
    <x v="1"/>
    <x v="11"/>
    <x v="5"/>
    <x v="10"/>
    <n v="2.8824999999999998"/>
    <x v="5"/>
    <x v="5"/>
    <x v="6"/>
    <x v="2"/>
    <x v="5"/>
    <x v="0"/>
    <n v="0.10220851732105973"/>
    <n v="155437.9190480058"/>
    <n v="31684.640369528519"/>
    <n v="-146395.54087874157"/>
    <n v="9042.3781692642369"/>
    <s v="36800IF-NWPL_ROCKY_M"/>
    <x v="1"/>
  </r>
  <r>
    <x v="9"/>
    <x v="0"/>
    <s v="NE7612"/>
    <x v="2"/>
    <x v="0"/>
    <x v="1"/>
    <x v="0"/>
    <x v="1"/>
    <x v="11"/>
    <x v="0"/>
    <x v="2"/>
    <n v="2.8129999999999997"/>
    <x v="0"/>
    <x v="0"/>
    <x v="1"/>
    <x v="2"/>
    <x v="0"/>
    <x v="1"/>
    <n v="5.4519562114139636E-2"/>
    <n v="-232543.69964169749"/>
    <n v="16901.064255383288"/>
    <n v="234334.127309706"/>
    <n v="1790.4276680085168"/>
    <s v="36647IF-NWPL_ROCKY_M"/>
    <x v="1"/>
  </r>
  <r>
    <x v="9"/>
    <x v="0"/>
    <s v="NE7612"/>
    <x v="2"/>
    <x v="0"/>
    <x v="1"/>
    <x v="1"/>
    <x v="0"/>
    <x v="11"/>
    <x v="1"/>
    <x v="5"/>
    <n v="2.8320000000000003"/>
    <x v="1"/>
    <x v="1"/>
    <x v="2"/>
    <x v="2"/>
    <x v="1"/>
    <x v="1"/>
    <n v="6.9922793429552654E-2"/>
    <n v="-186182.00307701615"/>
    <n v="20976.838028865797"/>
    <n v="190091.00091499969"/>
    <n v="3908.9978379835375"/>
    <s v="36678IF-NWPL_ROCKY_M"/>
    <x v="0"/>
  </r>
  <r>
    <x v="9"/>
    <x v="0"/>
    <s v="NE7612"/>
    <x v="2"/>
    <x v="0"/>
    <x v="1"/>
    <x v="2"/>
    <x v="1"/>
    <x v="11"/>
    <x v="2"/>
    <x v="8"/>
    <n v="2.8585000000000003"/>
    <x v="2"/>
    <x v="2"/>
    <x v="3"/>
    <x v="2"/>
    <x v="2"/>
    <x v="1"/>
    <n v="7.5576189232650151E-2"/>
    <n v="-167549.83187426248"/>
    <n v="23428.618662121546"/>
    <n v="173220.62406478907"/>
    <n v="5670.792190526583"/>
    <s v="36708IF-NWPL_ROCKY_M"/>
    <x v="1"/>
  </r>
  <r>
    <x v="9"/>
    <x v="0"/>
    <s v="NE7612"/>
    <x v="2"/>
    <x v="0"/>
    <x v="1"/>
    <x v="3"/>
    <x v="1"/>
    <x v="11"/>
    <x v="3"/>
    <x v="8"/>
    <n v="2.8605"/>
    <x v="3"/>
    <x v="3"/>
    <x v="4"/>
    <x v="2"/>
    <x v="3"/>
    <x v="1"/>
    <n v="9.0035084554176345E-2"/>
    <n v="-162917.0037533516"/>
    <n v="27910.876211794668"/>
    <n v="169903.28773599633"/>
    <n v="6986.2839826447307"/>
    <s v="36739IF-NWPL_ROCKY_M"/>
    <x v="1"/>
  </r>
  <r>
    <x v="9"/>
    <x v="0"/>
    <s v="NE7612"/>
    <x v="2"/>
    <x v="0"/>
    <x v="1"/>
    <x v="4"/>
    <x v="0"/>
    <x v="11"/>
    <x v="4"/>
    <x v="8"/>
    <n v="2.8505000000000003"/>
    <x v="4"/>
    <x v="4"/>
    <x v="5"/>
    <x v="2"/>
    <x v="4"/>
    <x v="1"/>
    <n v="0.10243156755313955"/>
    <n v="-154346.55212072213"/>
    <n v="30729.470265941865"/>
    <n v="162228.79850556038"/>
    <n v="7882.2463848382467"/>
    <s v="36770IF-NWPL_ROCKY_M"/>
    <x v="0"/>
  </r>
  <r>
    <x v="9"/>
    <x v="0"/>
    <s v="NE7612"/>
    <x v="2"/>
    <x v="0"/>
    <x v="1"/>
    <x v="5"/>
    <x v="1"/>
    <x v="11"/>
    <x v="5"/>
    <x v="10"/>
    <n v="2.8824999999999998"/>
    <x v="5"/>
    <x v="5"/>
    <x v="6"/>
    <x v="2"/>
    <x v="5"/>
    <x v="1"/>
    <n v="9.9781318220726639E-2"/>
    <n v="-145534.7693932415"/>
    <n v="30932.208648425258"/>
    <n v="154577.14756250574"/>
    <n v="9042.3781692642369"/>
    <s v="36800IF-NWPL_ROCKY_M"/>
    <x v="1"/>
  </r>
  <r>
    <x v="0"/>
    <x v="0"/>
    <s v="NE8609"/>
    <x v="0"/>
    <x v="0"/>
    <x v="1"/>
    <x v="7"/>
    <x v="3"/>
    <x v="6"/>
    <x v="7"/>
    <x v="26"/>
    <n v="4.6219999999999999"/>
    <x v="7"/>
    <x v="7"/>
    <x v="22"/>
    <x v="5"/>
    <x v="7"/>
    <x v="1"/>
    <n v="0.14869965960711118"/>
    <n v="-147386.0514724346"/>
    <n v="74349.829803555593"/>
    <n v="164528.63122898998"/>
    <n v="17142.57975655538"/>
    <s v="36861IF-TRANSCO/Z6"/>
    <x v="3"/>
  </r>
  <r>
    <x v="0"/>
    <x v="0"/>
    <s v="NE8609"/>
    <x v="0"/>
    <x v="0"/>
    <x v="1"/>
    <x v="8"/>
    <x v="3"/>
    <x v="6"/>
    <x v="8"/>
    <x v="27"/>
    <n v="4.8949999999999996"/>
    <x v="8"/>
    <x v="8"/>
    <x v="9"/>
    <x v="5"/>
    <x v="8"/>
    <x v="1"/>
    <n v="6.3705909306697284E-2"/>
    <n v="-81266.694918547495"/>
    <n v="31852.954653348643"/>
    <n v="91969.007024849343"/>
    <n v="10702.312106301848"/>
    <s v="36892IF-TRANSCO/Z6"/>
    <x v="3"/>
  </r>
  <r>
    <x v="0"/>
    <x v="0"/>
    <s v="NE8609"/>
    <x v="0"/>
    <x v="0"/>
    <x v="1"/>
    <x v="9"/>
    <x v="3"/>
    <x v="6"/>
    <x v="9"/>
    <x v="28"/>
    <n v="4.681"/>
    <x v="9"/>
    <x v="5"/>
    <x v="23"/>
    <x v="5"/>
    <x v="9"/>
    <x v="1"/>
    <n v="0.11149875602137516"/>
    <n v="-104899.3309094205"/>
    <n v="55749.378010687578"/>
    <n v="120696.08545237704"/>
    <n v="15796.754542956536"/>
    <s v="36923IF-TRANSCO/Z6"/>
    <x v="3"/>
  </r>
  <r>
    <x v="11"/>
    <x v="0"/>
    <s v="NE8644"/>
    <x v="0"/>
    <x v="0"/>
    <x v="1"/>
    <x v="6"/>
    <x v="3"/>
    <x v="12"/>
    <x v="6"/>
    <x v="24"/>
    <n v="3.9725000000000001"/>
    <x v="6"/>
    <x v="6"/>
    <x v="7"/>
    <x v="5"/>
    <x v="6"/>
    <x v="1"/>
    <n v="0.18598820786544734"/>
    <n v="-247925.65473510345"/>
    <n v="92994.103932723665"/>
    <n v="264055.18350265932"/>
    <n v="16129.528767555865"/>
    <s v="36831IF-TRANSCO/Z6"/>
    <x v="3"/>
  </r>
  <r>
    <x v="11"/>
    <x v="0"/>
    <s v="NE8644"/>
    <x v="0"/>
    <x v="0"/>
    <x v="1"/>
    <x v="7"/>
    <x v="3"/>
    <x v="12"/>
    <x v="7"/>
    <x v="26"/>
    <n v="4.6219999999999999"/>
    <x v="7"/>
    <x v="7"/>
    <x v="22"/>
    <x v="5"/>
    <x v="7"/>
    <x v="1"/>
    <n v="6.6042709098111274E-2"/>
    <n v="-83942.507510888157"/>
    <n v="33021.354549055635"/>
    <n v="97296.889979202824"/>
    <n v="13354.382468314667"/>
    <s v="36861IF-TRANSCO/Z6"/>
    <x v="3"/>
  </r>
  <r>
    <x v="11"/>
    <x v="0"/>
    <s v="NE8644"/>
    <x v="0"/>
    <x v="0"/>
    <x v="1"/>
    <x v="8"/>
    <x v="3"/>
    <x v="12"/>
    <x v="8"/>
    <x v="27"/>
    <n v="4.8949999999999996"/>
    <x v="8"/>
    <x v="8"/>
    <x v="9"/>
    <x v="5"/>
    <x v="8"/>
    <x v="1"/>
    <n v="2.0689915268424675E-2"/>
    <n v="-34362.562785452021"/>
    <n v="10344.957634212336"/>
    <n v="40777.091354060438"/>
    <n v="6414.5285686084171"/>
    <s v="36892IF-TRANSCO/Z6"/>
    <x v="3"/>
  </r>
  <r>
    <x v="11"/>
    <x v="0"/>
    <s v="NE8644"/>
    <x v="0"/>
    <x v="0"/>
    <x v="1"/>
    <x v="9"/>
    <x v="3"/>
    <x v="12"/>
    <x v="9"/>
    <x v="28"/>
    <n v="4.681"/>
    <x v="9"/>
    <x v="5"/>
    <x v="23"/>
    <x v="5"/>
    <x v="9"/>
    <x v="1"/>
    <n v="4.7348188369674915E-2"/>
    <n v="-56410.925189326001"/>
    <n v="23674.094184837457"/>
    <n v="67684.161983733109"/>
    <n v="11273.236794407108"/>
    <s v="36923IF-TRANSCO/Z6"/>
    <x v="3"/>
  </r>
  <r>
    <x v="11"/>
    <x v="0"/>
    <s v="NE8644"/>
    <x v="0"/>
    <x v="0"/>
    <x v="1"/>
    <x v="10"/>
    <x v="3"/>
    <x v="12"/>
    <x v="10"/>
    <x v="25"/>
    <n v="3.8769999999999998"/>
    <x v="10"/>
    <x v="9"/>
    <x v="21"/>
    <x v="5"/>
    <x v="10"/>
    <x v="1"/>
    <n v="0.16466798050310161"/>
    <n v="-181754.90297735436"/>
    <n v="82333.9902515508"/>
    <n v="201308.73229380304"/>
    <n v="19553.829316448682"/>
    <s v="36951IF-TRANSCO/Z6"/>
    <x v="3"/>
  </r>
  <r>
    <x v="0"/>
    <x v="0"/>
    <s v="NE9017"/>
    <x v="0"/>
    <x v="0"/>
    <x v="0"/>
    <x v="6"/>
    <x v="10"/>
    <x v="13"/>
    <x v="6"/>
    <x v="24"/>
    <n v="3.9725000000000001"/>
    <x v="6"/>
    <x v="6"/>
    <x v="7"/>
    <x v="5"/>
    <x v="6"/>
    <x v="0"/>
    <n v="4.6131080179801491E-2"/>
    <n v="-97741.511251206393"/>
    <n v="-23065.540089900747"/>
    <n v="87573.308518455917"/>
    <n v="-10168.202732750477"/>
    <s v="36831IF-TRANSCO/Z6"/>
    <x v="10"/>
  </r>
  <r>
    <x v="0"/>
    <x v="0"/>
    <s v="NE9017"/>
    <x v="0"/>
    <x v="0"/>
    <x v="0"/>
    <x v="7"/>
    <x v="10"/>
    <x v="13"/>
    <x v="7"/>
    <x v="26"/>
    <n v="4.6219999999999999"/>
    <x v="7"/>
    <x v="7"/>
    <x v="22"/>
    <x v="5"/>
    <x v="7"/>
    <x v="0"/>
    <n v="0.33176622731616323"/>
    <n v="-292451.94516981742"/>
    <n v="-165883.11365808162"/>
    <n v="274276.60291236831"/>
    <n v="-18175.342257449112"/>
    <s v="36861IF-TRANSCO/Z6"/>
    <x v="10"/>
  </r>
  <r>
    <x v="0"/>
    <x v="0"/>
    <s v="NE9017"/>
    <x v="0"/>
    <x v="0"/>
    <x v="0"/>
    <x v="8"/>
    <x v="10"/>
    <x v="13"/>
    <x v="8"/>
    <x v="27"/>
    <n v="4.8949999999999996"/>
    <x v="8"/>
    <x v="8"/>
    <x v="9"/>
    <x v="5"/>
    <x v="8"/>
    <x v="0"/>
    <n v="0.46911881140098188"/>
    <n v="-359711.41942015674"/>
    <n v="-234559.40570049096"/>
    <n v="347024.5441452153"/>
    <n v="-12686.875274941442"/>
    <s v="36892IF-TRANSCO/Z6"/>
    <x v="10"/>
  </r>
  <r>
    <x v="0"/>
    <x v="0"/>
    <s v="NE9017"/>
    <x v="0"/>
    <x v="0"/>
    <x v="0"/>
    <x v="9"/>
    <x v="10"/>
    <x v="13"/>
    <x v="9"/>
    <x v="28"/>
    <n v="4.681"/>
    <x v="9"/>
    <x v="5"/>
    <x v="23"/>
    <x v="5"/>
    <x v="9"/>
    <x v="0"/>
    <n v="0.48838503117584009"/>
    <n v="-336688.76929166552"/>
    <n v="-244192.51558792003"/>
    <n v="319046.07271229045"/>
    <n v="-17642.696579375071"/>
    <s v="36923IF-TRANSCO/Z6"/>
    <x v="10"/>
  </r>
  <r>
    <x v="0"/>
    <x v="0"/>
    <s v="NE9017"/>
    <x v="0"/>
    <x v="0"/>
    <x v="0"/>
    <x v="10"/>
    <x v="10"/>
    <x v="13"/>
    <x v="10"/>
    <x v="25"/>
    <n v="3.8769999999999998"/>
    <x v="10"/>
    <x v="9"/>
    <x v="21"/>
    <x v="5"/>
    <x v="10"/>
    <x v="0"/>
    <n v="0.13157179147692905"/>
    <n v="-174106.80230964388"/>
    <n v="-65785.895738464518"/>
    <n v="156363.54982437074"/>
    <n v="-17743.252485273144"/>
    <s v="36951IF-TRANSCO/Z6"/>
    <x v="10"/>
  </r>
  <r>
    <x v="11"/>
    <x v="0"/>
    <s v="NF0077.1"/>
    <x v="0"/>
    <x v="0"/>
    <x v="0"/>
    <x v="0"/>
    <x v="11"/>
    <x v="3"/>
    <x v="0"/>
    <x v="0"/>
    <n v="3.4529999999999998"/>
    <x v="0"/>
    <x v="0"/>
    <x v="0"/>
    <x v="0"/>
    <x v="0"/>
    <x v="0"/>
    <n v="1.1625788599782439E-2"/>
    <n v="-111410.70418128773"/>
    <n v="-2906.4471499456099"/>
    <n v="110630.25380335801"/>
    <n v="-780.45037792972289"/>
    <s v="36647IF-TRANSCO/Z6"/>
    <x v="11"/>
  </r>
  <r>
    <x v="11"/>
    <x v="0"/>
    <s v="NF0077.1"/>
    <x v="0"/>
    <x v="0"/>
    <x v="0"/>
    <x v="1"/>
    <x v="11"/>
    <x v="3"/>
    <x v="1"/>
    <x v="3"/>
    <n v="3.4795000000000003"/>
    <x v="1"/>
    <x v="1"/>
    <x v="2"/>
    <x v="0"/>
    <x v="1"/>
    <x v="0"/>
    <n v="3.0940961472274917E-2"/>
    <n v="-136393.10357873779"/>
    <n v="-7735.2403680687294"/>
    <n v="134889.34195625104"/>
    <n v="-1503.7616224867525"/>
    <s v="36678IF-TRANSCO/Z6"/>
    <x v="11"/>
  </r>
  <r>
    <x v="11"/>
    <x v="0"/>
    <s v="NF0077.1"/>
    <x v="0"/>
    <x v="0"/>
    <x v="0"/>
    <x v="2"/>
    <x v="11"/>
    <x v="3"/>
    <x v="2"/>
    <x v="6"/>
    <n v="3.5259999999999998"/>
    <x v="2"/>
    <x v="2"/>
    <x v="3"/>
    <x v="0"/>
    <x v="2"/>
    <x v="0"/>
    <n v="6.2960064075801014E-2"/>
    <n v="-171185.450844698"/>
    <n v="-15740.016018950253"/>
    <n v="169407.75760456859"/>
    <n v="-1777.693240129418"/>
    <s v="36708IF-TRANSCO/Z6"/>
    <x v="11"/>
  </r>
  <r>
    <x v="11"/>
    <x v="0"/>
    <s v="NF0077.1"/>
    <x v="0"/>
    <x v="0"/>
    <x v="0"/>
    <x v="3"/>
    <x v="11"/>
    <x v="3"/>
    <x v="3"/>
    <x v="6"/>
    <n v="3.5279999999999996"/>
    <x v="3"/>
    <x v="3"/>
    <x v="4"/>
    <x v="0"/>
    <x v="3"/>
    <x v="0"/>
    <n v="7.0370105649823031E-2"/>
    <n v="-162594.61382687406"/>
    <n v="-17592.526412455758"/>
    <n v="160319.51057257233"/>
    <n v="-2275.1032543017354"/>
    <s v="36739IF-TRANSCO/Z6"/>
    <x v="11"/>
  </r>
  <r>
    <x v="11"/>
    <x v="0"/>
    <s v="NF0077.1"/>
    <x v="0"/>
    <x v="0"/>
    <x v="0"/>
    <x v="4"/>
    <x v="11"/>
    <x v="3"/>
    <x v="4"/>
    <x v="9"/>
    <n v="3.488"/>
    <x v="4"/>
    <x v="4"/>
    <x v="5"/>
    <x v="0"/>
    <x v="4"/>
    <x v="0"/>
    <n v="5.9717690015039612E-2"/>
    <n v="-135789.30794730608"/>
    <n v="-14929.422503759903"/>
    <n v="132913.50437728883"/>
    <n v="-2875.8035700172477"/>
    <s v="36770IF-TRANSCO/Z6"/>
    <x v="11"/>
  </r>
  <r>
    <x v="11"/>
    <x v="0"/>
    <s v="NF0077.1"/>
    <x v="0"/>
    <x v="0"/>
    <x v="0"/>
    <x v="5"/>
    <x v="11"/>
    <x v="3"/>
    <x v="5"/>
    <x v="6"/>
    <n v="3.5249999999999999"/>
    <x v="5"/>
    <x v="5"/>
    <x v="6"/>
    <x v="0"/>
    <x v="5"/>
    <x v="0"/>
    <n v="8.2175162078058181E-2"/>
    <n v="-153225.97842687802"/>
    <n v="-20543.790519514547"/>
    <n v="150207.13947455742"/>
    <n v="-3018.8389523205988"/>
    <s v="36800IF-TRANSCO/Z6"/>
    <x v="11"/>
  </r>
  <r>
    <x v="11"/>
    <x v="0"/>
    <s v="NF0077.2"/>
    <x v="0"/>
    <x v="0"/>
    <x v="1"/>
    <x v="0"/>
    <x v="11"/>
    <x v="3"/>
    <x v="0"/>
    <x v="0"/>
    <n v="3.4529999999999998"/>
    <x v="0"/>
    <x v="0"/>
    <x v="0"/>
    <x v="0"/>
    <x v="0"/>
    <x v="1"/>
    <n v="1.6617215052741219E-2"/>
    <n v="138160.61846664996"/>
    <n v="-4154.3037631853049"/>
    <n v="-138941.06884457968"/>
    <n v="-780.45037792972289"/>
    <s v="36647IF-TRANSCO/Z6"/>
    <x v="11"/>
  </r>
  <r>
    <x v="11"/>
    <x v="0"/>
    <s v="NF0077.2"/>
    <x v="0"/>
    <x v="0"/>
    <x v="1"/>
    <x v="1"/>
    <x v="11"/>
    <x v="3"/>
    <x v="1"/>
    <x v="3"/>
    <n v="3.4795000000000003"/>
    <x v="1"/>
    <x v="1"/>
    <x v="2"/>
    <x v="0"/>
    <x v="1"/>
    <x v="1"/>
    <n v="2.3496417036198869E-2"/>
    <n v="111758.37762379037"/>
    <n v="-5874.1042590497173"/>
    <n v="-113262.13924627712"/>
    <n v="-1503.7616224867525"/>
    <s v="36678IF-TRANSCO/Z6"/>
    <x v="11"/>
  </r>
  <r>
    <x v="11"/>
    <x v="0"/>
    <s v="NF0077.2"/>
    <x v="0"/>
    <x v="0"/>
    <x v="1"/>
    <x v="2"/>
    <x v="11"/>
    <x v="3"/>
    <x v="2"/>
    <x v="6"/>
    <n v="3.5259999999999998"/>
    <x v="2"/>
    <x v="2"/>
    <x v="3"/>
    <x v="0"/>
    <x v="2"/>
    <x v="1"/>
    <n v="1.8529301543263099E-2"/>
    <n v="75652.118780515666"/>
    <n v="-4632.325385815775"/>
    <n v="-77429.812020645084"/>
    <n v="-1777.693240129418"/>
    <s v="36708IF-TRANSCO/Z6"/>
    <x v="11"/>
  </r>
  <r>
    <x v="11"/>
    <x v="0"/>
    <s v="NF0077.2"/>
    <x v="0"/>
    <x v="0"/>
    <x v="1"/>
    <x v="3"/>
    <x v="11"/>
    <x v="3"/>
    <x v="3"/>
    <x v="6"/>
    <n v="3.5279999999999996"/>
    <x v="3"/>
    <x v="3"/>
    <x v="4"/>
    <x v="0"/>
    <x v="3"/>
    <x v="1"/>
    <n v="2.6173408651577523E-2"/>
    <n v="82942.591718934971"/>
    <n v="-6543.3521628943809"/>
    <n v="-85217.694973236721"/>
    <n v="-2275.10325430175"/>
    <s v="36739IF-TRANSCO/Z6"/>
    <x v="11"/>
  </r>
  <r>
    <x v="11"/>
    <x v="0"/>
    <s v="NF0077.2"/>
    <x v="0"/>
    <x v="0"/>
    <x v="1"/>
    <x v="4"/>
    <x v="11"/>
    <x v="3"/>
    <x v="4"/>
    <x v="9"/>
    <n v="3.488"/>
    <x v="4"/>
    <x v="4"/>
    <x v="5"/>
    <x v="0"/>
    <x v="4"/>
    <x v="1"/>
    <n v="4.507496139633016E-2"/>
    <n v="108256.16903119333"/>
    <n v="-11268.74034908254"/>
    <n v="-111131.97260121061"/>
    <n v="-2875.8035700172768"/>
    <s v="36770IF-TRANSCO/Z6"/>
    <x v="11"/>
  </r>
  <r>
    <x v="11"/>
    <x v="0"/>
    <s v="NF0077.2"/>
    <x v="0"/>
    <x v="0"/>
    <x v="1"/>
    <x v="5"/>
    <x v="11"/>
    <x v="3"/>
    <x v="5"/>
    <x v="6"/>
    <n v="3.5249999999999999"/>
    <x v="5"/>
    <x v="5"/>
    <x v="6"/>
    <x v="0"/>
    <x v="5"/>
    <x v="1"/>
    <n v="3.848557827207022E-2"/>
    <n v="89493.931606385944"/>
    <n v="-9621.3945680175548"/>
    <n v="-92512.770558706543"/>
    <n v="-3018.8389523205988"/>
    <s v="36800IF-TRANSCO/Z6"/>
    <x v="11"/>
  </r>
  <r>
    <x v="0"/>
    <x v="0"/>
    <s v="NF0106.1"/>
    <x v="0"/>
    <x v="0"/>
    <x v="0"/>
    <x v="0"/>
    <x v="11"/>
    <x v="3"/>
    <x v="0"/>
    <x v="0"/>
    <n v="3.4529999999999998"/>
    <x v="0"/>
    <x v="0"/>
    <x v="0"/>
    <x v="0"/>
    <x v="0"/>
    <x v="0"/>
    <n v="1.1625788599782439E-2"/>
    <n v="-111410.70418128773"/>
    <n v="-2906.4471499456099"/>
    <n v="110630.25380335801"/>
    <n v="-780.45037792972289"/>
    <s v="36647IF-TRANSCO/Z6"/>
    <x v="11"/>
  </r>
  <r>
    <x v="0"/>
    <x v="0"/>
    <s v="NF0106.1"/>
    <x v="0"/>
    <x v="0"/>
    <x v="0"/>
    <x v="1"/>
    <x v="11"/>
    <x v="3"/>
    <x v="1"/>
    <x v="3"/>
    <n v="3.4795000000000003"/>
    <x v="1"/>
    <x v="1"/>
    <x v="2"/>
    <x v="0"/>
    <x v="1"/>
    <x v="0"/>
    <n v="3.0940961472274917E-2"/>
    <n v="-136393.10357873779"/>
    <n v="-7735.2403680687294"/>
    <n v="134889.34195625104"/>
    <n v="-1503.7616224867525"/>
    <s v="36678IF-TRANSCO/Z6"/>
    <x v="11"/>
  </r>
  <r>
    <x v="0"/>
    <x v="0"/>
    <s v="NF0106.1"/>
    <x v="0"/>
    <x v="0"/>
    <x v="0"/>
    <x v="2"/>
    <x v="11"/>
    <x v="3"/>
    <x v="2"/>
    <x v="6"/>
    <n v="3.5259999999999998"/>
    <x v="2"/>
    <x v="2"/>
    <x v="3"/>
    <x v="0"/>
    <x v="2"/>
    <x v="0"/>
    <n v="6.2960064075801014E-2"/>
    <n v="-171185.450844698"/>
    <n v="-15740.016018950253"/>
    <n v="169407.75760456859"/>
    <n v="-1777.693240129418"/>
    <s v="36708IF-TRANSCO/Z6"/>
    <x v="11"/>
  </r>
  <r>
    <x v="0"/>
    <x v="0"/>
    <s v="NF0106.1"/>
    <x v="0"/>
    <x v="0"/>
    <x v="0"/>
    <x v="3"/>
    <x v="11"/>
    <x v="3"/>
    <x v="3"/>
    <x v="6"/>
    <n v="3.5279999999999996"/>
    <x v="3"/>
    <x v="3"/>
    <x v="4"/>
    <x v="0"/>
    <x v="3"/>
    <x v="0"/>
    <n v="7.0370105649823031E-2"/>
    <n v="-162594.61382687406"/>
    <n v="-17592.526412455758"/>
    <n v="160319.51057257233"/>
    <n v="-2275.1032543017354"/>
    <s v="36739IF-TRANSCO/Z6"/>
    <x v="11"/>
  </r>
  <r>
    <x v="0"/>
    <x v="0"/>
    <s v="NF0106.1"/>
    <x v="0"/>
    <x v="0"/>
    <x v="0"/>
    <x v="4"/>
    <x v="11"/>
    <x v="3"/>
    <x v="4"/>
    <x v="9"/>
    <n v="3.488"/>
    <x v="4"/>
    <x v="4"/>
    <x v="5"/>
    <x v="0"/>
    <x v="4"/>
    <x v="0"/>
    <n v="5.9717690015039612E-2"/>
    <n v="-135789.30794730608"/>
    <n v="-14929.422503759903"/>
    <n v="132913.50437728883"/>
    <n v="-2875.8035700172477"/>
    <s v="36770IF-TRANSCO/Z6"/>
    <x v="11"/>
  </r>
  <r>
    <x v="0"/>
    <x v="0"/>
    <s v="NF0106.1"/>
    <x v="0"/>
    <x v="0"/>
    <x v="0"/>
    <x v="5"/>
    <x v="11"/>
    <x v="3"/>
    <x v="5"/>
    <x v="6"/>
    <n v="3.5249999999999999"/>
    <x v="5"/>
    <x v="5"/>
    <x v="6"/>
    <x v="0"/>
    <x v="5"/>
    <x v="0"/>
    <n v="8.2175162078058181E-2"/>
    <n v="-153225.97842687802"/>
    <n v="-20543.790519514547"/>
    <n v="150207.13947455742"/>
    <n v="-3018.8389523205988"/>
    <s v="36800IF-TRANSCO/Z6"/>
    <x v="11"/>
  </r>
  <r>
    <x v="0"/>
    <x v="0"/>
    <s v="NF0106.2"/>
    <x v="0"/>
    <x v="0"/>
    <x v="1"/>
    <x v="0"/>
    <x v="11"/>
    <x v="3"/>
    <x v="0"/>
    <x v="0"/>
    <n v="3.4529999999999998"/>
    <x v="0"/>
    <x v="0"/>
    <x v="0"/>
    <x v="0"/>
    <x v="0"/>
    <x v="1"/>
    <n v="1.6617215052741219E-2"/>
    <n v="138160.61846664996"/>
    <n v="-4154.3037631853049"/>
    <n v="-138941.06884457968"/>
    <n v="-780.45037792972289"/>
    <s v="36647IF-TRANSCO/Z6"/>
    <x v="11"/>
  </r>
  <r>
    <x v="0"/>
    <x v="0"/>
    <s v="NF0106.2"/>
    <x v="0"/>
    <x v="0"/>
    <x v="1"/>
    <x v="1"/>
    <x v="11"/>
    <x v="3"/>
    <x v="1"/>
    <x v="3"/>
    <n v="3.4795000000000003"/>
    <x v="1"/>
    <x v="1"/>
    <x v="2"/>
    <x v="0"/>
    <x v="1"/>
    <x v="1"/>
    <n v="2.3496417036198869E-2"/>
    <n v="111758.37762379037"/>
    <n v="-5874.1042590497173"/>
    <n v="-113262.13924627712"/>
    <n v="-1503.7616224867525"/>
    <s v="36678IF-TRANSCO/Z6"/>
    <x v="11"/>
  </r>
  <r>
    <x v="0"/>
    <x v="0"/>
    <s v="NF0106.2"/>
    <x v="0"/>
    <x v="0"/>
    <x v="1"/>
    <x v="2"/>
    <x v="11"/>
    <x v="3"/>
    <x v="2"/>
    <x v="6"/>
    <n v="3.5259999999999998"/>
    <x v="2"/>
    <x v="2"/>
    <x v="3"/>
    <x v="0"/>
    <x v="2"/>
    <x v="1"/>
    <n v="1.8529301543263099E-2"/>
    <n v="75652.118780515666"/>
    <n v="-4632.325385815775"/>
    <n v="-77429.812020645084"/>
    <n v="-1777.693240129418"/>
    <s v="36708IF-TRANSCO/Z6"/>
    <x v="11"/>
  </r>
  <r>
    <x v="0"/>
    <x v="0"/>
    <s v="NF0106.2"/>
    <x v="0"/>
    <x v="0"/>
    <x v="1"/>
    <x v="3"/>
    <x v="11"/>
    <x v="3"/>
    <x v="3"/>
    <x v="6"/>
    <n v="3.5279999999999996"/>
    <x v="3"/>
    <x v="3"/>
    <x v="4"/>
    <x v="0"/>
    <x v="3"/>
    <x v="1"/>
    <n v="2.6173408651577523E-2"/>
    <n v="82942.591718934971"/>
    <n v="-6543.3521628943809"/>
    <n v="-85217.694973236721"/>
    <n v="-2275.10325430175"/>
    <s v="36739IF-TRANSCO/Z6"/>
    <x v="11"/>
  </r>
  <r>
    <x v="0"/>
    <x v="0"/>
    <s v="NF0106.2"/>
    <x v="0"/>
    <x v="0"/>
    <x v="1"/>
    <x v="4"/>
    <x v="11"/>
    <x v="3"/>
    <x v="4"/>
    <x v="9"/>
    <n v="3.488"/>
    <x v="4"/>
    <x v="4"/>
    <x v="5"/>
    <x v="0"/>
    <x v="4"/>
    <x v="1"/>
    <n v="4.507496139633016E-2"/>
    <n v="108256.16903119333"/>
    <n v="-11268.74034908254"/>
    <n v="-111131.97260121061"/>
    <n v="-2875.8035700172768"/>
    <s v="36770IF-TRANSCO/Z6"/>
    <x v="11"/>
  </r>
  <r>
    <x v="0"/>
    <x v="0"/>
    <s v="NF0106.2"/>
    <x v="0"/>
    <x v="0"/>
    <x v="1"/>
    <x v="5"/>
    <x v="11"/>
    <x v="3"/>
    <x v="5"/>
    <x v="6"/>
    <n v="3.5249999999999999"/>
    <x v="5"/>
    <x v="5"/>
    <x v="6"/>
    <x v="0"/>
    <x v="5"/>
    <x v="1"/>
    <n v="3.848557827207022E-2"/>
    <n v="89493.931606385944"/>
    <n v="-9621.3945680175548"/>
    <n v="-92512.770558706543"/>
    <n v="-3018.8389523205988"/>
    <s v="36800IF-TRANSCO/Z6"/>
    <x v="11"/>
  </r>
  <r>
    <x v="0"/>
    <x v="0"/>
    <s v="NF0106.1"/>
    <x v="0"/>
    <x v="0"/>
    <x v="0"/>
    <x v="0"/>
    <x v="10"/>
    <x v="3"/>
    <x v="0"/>
    <x v="0"/>
    <n v="3.4529999999999998"/>
    <x v="0"/>
    <x v="0"/>
    <x v="0"/>
    <x v="0"/>
    <x v="0"/>
    <x v="0"/>
    <n v="1.1625788599782439E-2"/>
    <n v="-222821.40836257546"/>
    <n v="-5812.8942998912198"/>
    <n v="221260.50760671601"/>
    <n v="-1560.9007558594458"/>
    <s v="36647IF-TRANSCO/Z6"/>
    <x v="10"/>
  </r>
  <r>
    <x v="0"/>
    <x v="0"/>
    <s v="NF0106.1"/>
    <x v="0"/>
    <x v="0"/>
    <x v="0"/>
    <x v="1"/>
    <x v="10"/>
    <x v="3"/>
    <x v="1"/>
    <x v="3"/>
    <n v="3.4795000000000003"/>
    <x v="1"/>
    <x v="1"/>
    <x v="2"/>
    <x v="0"/>
    <x v="1"/>
    <x v="0"/>
    <n v="3.0940961472274917E-2"/>
    <n v="-272786.20715747558"/>
    <n v="-15470.480736137459"/>
    <n v="269778.68391250208"/>
    <n v="-3007.5232449735049"/>
    <s v="36678IF-TRANSCO/Z6"/>
    <x v="10"/>
  </r>
  <r>
    <x v="0"/>
    <x v="0"/>
    <s v="NF0106.1"/>
    <x v="0"/>
    <x v="0"/>
    <x v="0"/>
    <x v="2"/>
    <x v="10"/>
    <x v="3"/>
    <x v="2"/>
    <x v="6"/>
    <n v="3.5259999999999998"/>
    <x v="2"/>
    <x v="2"/>
    <x v="3"/>
    <x v="0"/>
    <x v="2"/>
    <x v="0"/>
    <n v="6.2960064075801014E-2"/>
    <n v="-342370.90168939601"/>
    <n v="-31480.032037900506"/>
    <n v="338815.51520913717"/>
    <n v="-3555.3864802588359"/>
    <s v="36708IF-TRANSCO/Z6"/>
    <x v="10"/>
  </r>
  <r>
    <x v="0"/>
    <x v="0"/>
    <s v="NF0106.1"/>
    <x v="0"/>
    <x v="0"/>
    <x v="0"/>
    <x v="3"/>
    <x v="10"/>
    <x v="3"/>
    <x v="3"/>
    <x v="6"/>
    <n v="3.5279999999999996"/>
    <x v="3"/>
    <x v="3"/>
    <x v="4"/>
    <x v="0"/>
    <x v="3"/>
    <x v="0"/>
    <n v="7.0370105649823031E-2"/>
    <n v="-325189.22765374812"/>
    <n v="-35185.052824911516"/>
    <n v="320639.02114514465"/>
    <n v="-4550.2065086034709"/>
    <s v="36739IF-TRANSCO/Z6"/>
    <x v="10"/>
  </r>
  <r>
    <x v="0"/>
    <x v="0"/>
    <s v="NF0106.1"/>
    <x v="0"/>
    <x v="0"/>
    <x v="0"/>
    <x v="4"/>
    <x v="10"/>
    <x v="3"/>
    <x v="4"/>
    <x v="9"/>
    <n v="3.488"/>
    <x v="4"/>
    <x v="4"/>
    <x v="5"/>
    <x v="0"/>
    <x v="4"/>
    <x v="0"/>
    <n v="5.9717690015039612E-2"/>
    <n v="-271578.61589461216"/>
    <n v="-29858.845007519805"/>
    <n v="265827.00875457766"/>
    <n v="-5751.6071400344954"/>
    <s v="36770IF-TRANSCO/Z6"/>
    <x v="10"/>
  </r>
  <r>
    <x v="0"/>
    <x v="0"/>
    <s v="NF0106.1"/>
    <x v="0"/>
    <x v="0"/>
    <x v="0"/>
    <x v="5"/>
    <x v="10"/>
    <x v="3"/>
    <x v="5"/>
    <x v="6"/>
    <n v="3.5249999999999999"/>
    <x v="5"/>
    <x v="5"/>
    <x v="6"/>
    <x v="0"/>
    <x v="5"/>
    <x v="0"/>
    <n v="8.2175162078058181E-2"/>
    <n v="-306451.95685375604"/>
    <n v="-41087.581039029094"/>
    <n v="300414.27894911484"/>
    <n v="-6037.6779046411975"/>
    <s v="36800IF-TRANSCO/Z6"/>
    <x v="10"/>
  </r>
  <r>
    <x v="0"/>
    <x v="0"/>
    <s v="NF0106.2"/>
    <x v="0"/>
    <x v="0"/>
    <x v="1"/>
    <x v="0"/>
    <x v="10"/>
    <x v="3"/>
    <x v="0"/>
    <x v="0"/>
    <n v="3.4529999999999998"/>
    <x v="0"/>
    <x v="0"/>
    <x v="0"/>
    <x v="0"/>
    <x v="0"/>
    <x v="1"/>
    <n v="1.6617215052741219E-2"/>
    <n v="276321.23693329992"/>
    <n v="-8308.6075263706098"/>
    <n v="-277882.13768915937"/>
    <n v="-1560.9007558594458"/>
    <s v="36647IF-TRANSCO/Z6"/>
    <x v="10"/>
  </r>
  <r>
    <x v="0"/>
    <x v="0"/>
    <s v="NF0106.2"/>
    <x v="0"/>
    <x v="0"/>
    <x v="1"/>
    <x v="1"/>
    <x v="10"/>
    <x v="3"/>
    <x v="1"/>
    <x v="3"/>
    <n v="3.4795000000000003"/>
    <x v="1"/>
    <x v="1"/>
    <x v="2"/>
    <x v="0"/>
    <x v="1"/>
    <x v="1"/>
    <n v="2.3496417036198869E-2"/>
    <n v="223516.75524758073"/>
    <n v="-11748.208518099435"/>
    <n v="-226524.27849255424"/>
    <n v="-3007.5232449735049"/>
    <s v="36678IF-TRANSCO/Z6"/>
    <x v="10"/>
  </r>
  <r>
    <x v="0"/>
    <x v="0"/>
    <s v="NF0106.2"/>
    <x v="0"/>
    <x v="0"/>
    <x v="1"/>
    <x v="2"/>
    <x v="10"/>
    <x v="3"/>
    <x v="2"/>
    <x v="6"/>
    <n v="3.5259999999999998"/>
    <x v="2"/>
    <x v="2"/>
    <x v="3"/>
    <x v="0"/>
    <x v="2"/>
    <x v="1"/>
    <n v="1.8529301543263099E-2"/>
    <n v="151304.23756103133"/>
    <n v="-9264.65077163155"/>
    <n v="-154859.62404129017"/>
    <n v="-3555.3864802588359"/>
    <s v="36708IF-TRANSCO/Z6"/>
    <x v="10"/>
  </r>
  <r>
    <x v="0"/>
    <x v="0"/>
    <s v="NF0106.2"/>
    <x v="0"/>
    <x v="0"/>
    <x v="1"/>
    <x v="3"/>
    <x v="10"/>
    <x v="3"/>
    <x v="3"/>
    <x v="6"/>
    <n v="3.5279999999999996"/>
    <x v="3"/>
    <x v="3"/>
    <x v="4"/>
    <x v="0"/>
    <x v="3"/>
    <x v="1"/>
    <n v="2.6173408651577523E-2"/>
    <n v="165885.18343786994"/>
    <n v="-13086.704325788762"/>
    <n v="-170435.38994647344"/>
    <n v="-4550.2065086035"/>
    <s v="36739IF-TRANSCO/Z6"/>
    <x v="10"/>
  </r>
  <r>
    <x v="0"/>
    <x v="0"/>
    <s v="NF0106.2"/>
    <x v="0"/>
    <x v="0"/>
    <x v="1"/>
    <x v="4"/>
    <x v="10"/>
    <x v="3"/>
    <x v="4"/>
    <x v="9"/>
    <n v="3.488"/>
    <x v="4"/>
    <x v="4"/>
    <x v="5"/>
    <x v="0"/>
    <x v="4"/>
    <x v="1"/>
    <n v="4.507496139633016E-2"/>
    <n v="216512.33806238667"/>
    <n v="-22537.48069816508"/>
    <n v="-222263.94520242122"/>
    <n v="-5751.6071400345536"/>
    <s v="36770IF-TRANSCO/Z6"/>
    <x v="10"/>
  </r>
  <r>
    <x v="0"/>
    <x v="0"/>
    <s v="NF0106.2"/>
    <x v="0"/>
    <x v="0"/>
    <x v="1"/>
    <x v="5"/>
    <x v="10"/>
    <x v="3"/>
    <x v="5"/>
    <x v="6"/>
    <n v="3.5249999999999999"/>
    <x v="5"/>
    <x v="5"/>
    <x v="6"/>
    <x v="0"/>
    <x v="5"/>
    <x v="1"/>
    <n v="3.848557827207022E-2"/>
    <n v="178987.86321277189"/>
    <n v="-19242.78913603511"/>
    <n v="-185025.54111741309"/>
    <n v="-6037.6779046411975"/>
    <s v="36800IF-TRANSCO/Z6"/>
    <x v="10"/>
  </r>
  <r>
    <x v="0"/>
    <x v="0"/>
    <s v="NF1092.1"/>
    <x v="2"/>
    <x v="0"/>
    <x v="0"/>
    <x v="0"/>
    <x v="5"/>
    <x v="10"/>
    <x v="0"/>
    <x v="2"/>
    <n v="2.8129999999999997"/>
    <x v="0"/>
    <x v="0"/>
    <x v="1"/>
    <x v="2"/>
    <x v="0"/>
    <x v="0"/>
    <n v="1.941927982033409E-3"/>
    <n v="-69738.246002184256"/>
    <n v="-1941.9279820334091"/>
    <n v="67286.903937562645"/>
    <n v="-2451.3420646216109"/>
    <s v="36647IF-NWPL_ROCKY_M"/>
    <x v="5"/>
  </r>
  <r>
    <x v="0"/>
    <x v="0"/>
    <s v="NF1092.1"/>
    <x v="2"/>
    <x v="0"/>
    <x v="0"/>
    <x v="1"/>
    <x v="5"/>
    <x v="10"/>
    <x v="1"/>
    <x v="5"/>
    <n v="2.8320000000000003"/>
    <x v="1"/>
    <x v="1"/>
    <x v="2"/>
    <x v="2"/>
    <x v="1"/>
    <x v="0"/>
    <n v="1.4887424452426523E-2"/>
    <n v="-224958.84103873375"/>
    <n v="-14887.424452426523"/>
    <n v="214534.9615139277"/>
    <n v="-10423.879524806049"/>
    <s v="36678IF-NWPL_ROCKY_M"/>
    <x v="5"/>
  </r>
  <r>
    <x v="0"/>
    <x v="0"/>
    <s v="NF1092.1"/>
    <x v="2"/>
    <x v="0"/>
    <x v="0"/>
    <x v="2"/>
    <x v="5"/>
    <x v="10"/>
    <x v="2"/>
    <x v="8"/>
    <n v="2.8585000000000003"/>
    <x v="2"/>
    <x v="2"/>
    <x v="3"/>
    <x v="2"/>
    <x v="2"/>
    <x v="0"/>
    <n v="3.3246753108390231E-2"/>
    <n v="-327742.27349824162"/>
    <n v="-33246.753108390229"/>
    <n v="310864.81341119332"/>
    <n v="-16877.460087048297"/>
    <s v="36708IF-NWPL_ROCKY_M"/>
    <x v="5"/>
  </r>
  <r>
    <x v="0"/>
    <x v="0"/>
    <s v="NF1092.1"/>
    <x v="2"/>
    <x v="0"/>
    <x v="0"/>
    <x v="3"/>
    <x v="5"/>
    <x v="10"/>
    <x v="3"/>
    <x v="8"/>
    <n v="2.8605"/>
    <x v="3"/>
    <x v="3"/>
    <x v="4"/>
    <x v="2"/>
    <x v="3"/>
    <x v="0"/>
    <n v="4.6571436107695097E-2"/>
    <n v="-359397.45047902252"/>
    <n v="-46571.436107695095"/>
    <n v="337919.48058581934"/>
    <n v="-21477.969893203175"/>
    <s v="36739IF-NWPL_ROCKY_M"/>
    <x v="5"/>
  </r>
  <r>
    <x v="0"/>
    <x v="0"/>
    <s v="NF1092.1"/>
    <x v="2"/>
    <x v="0"/>
    <x v="0"/>
    <x v="4"/>
    <x v="5"/>
    <x v="10"/>
    <x v="4"/>
    <x v="8"/>
    <n v="2.8505000000000003"/>
    <x v="4"/>
    <x v="4"/>
    <x v="5"/>
    <x v="2"/>
    <x v="4"/>
    <x v="0"/>
    <n v="5.8334520561907466E-2"/>
    <n v="-378453.05814135721"/>
    <n v="-58334.520561907462"/>
    <n v="352995.59261505376"/>
    <n v="-25457.465526303451"/>
    <s v="36770IF-NWPL_ROCKY_M"/>
    <x v="5"/>
  </r>
  <r>
    <x v="0"/>
    <x v="0"/>
    <s v="NF1092.1"/>
    <x v="2"/>
    <x v="0"/>
    <x v="0"/>
    <x v="5"/>
    <x v="5"/>
    <x v="10"/>
    <x v="5"/>
    <x v="10"/>
    <n v="2.8824999999999998"/>
    <x v="5"/>
    <x v="5"/>
    <x v="6"/>
    <x v="2"/>
    <x v="5"/>
    <x v="0"/>
    <n v="7.773453399050953E-2"/>
    <n v="-427018.42329301534"/>
    <n v="-77734.533990509532"/>
    <n v="397971.53568552743"/>
    <n v="-29046.887607487908"/>
    <s v="36800IF-NWPL_ROCKY_M"/>
    <x v="5"/>
  </r>
  <r>
    <x v="0"/>
    <x v="0"/>
    <s v="NF1092.2"/>
    <x v="2"/>
    <x v="0"/>
    <x v="1"/>
    <x v="0"/>
    <x v="12"/>
    <x v="2"/>
    <x v="0"/>
    <x v="2"/>
    <n v="2.8129999999999997"/>
    <x v="0"/>
    <x v="0"/>
    <x v="1"/>
    <x v="2"/>
    <x v="0"/>
    <x v="1"/>
    <n v="8.3318467433163654E-3"/>
    <n v="-211013.97221632279"/>
    <n v="8331.846743316366"/>
    <n v="216248.43931471021"/>
    <n v="5234.4670983874239"/>
    <s v="36647IF-NWPL_ROCKY_M"/>
    <x v="12"/>
  </r>
  <r>
    <x v="0"/>
    <x v="0"/>
    <s v="NF1092.2"/>
    <x v="2"/>
    <x v="0"/>
    <x v="1"/>
    <x v="1"/>
    <x v="12"/>
    <x v="2"/>
    <x v="1"/>
    <x v="5"/>
    <n v="2.8320000000000003"/>
    <x v="1"/>
    <x v="1"/>
    <x v="2"/>
    <x v="2"/>
    <x v="1"/>
    <x v="1"/>
    <n v="2.529955571926893E-2"/>
    <n v="-309103.59322411212"/>
    <n v="25299.55571926893"/>
    <n v="321049.49565131031"/>
    <n v="11945.902427198191"/>
    <s v="36678IF-NWPL_ROCKY_M"/>
    <x v="12"/>
  </r>
  <r>
    <x v="0"/>
    <x v="0"/>
    <s v="NF1092.2"/>
    <x v="2"/>
    <x v="0"/>
    <x v="1"/>
    <x v="2"/>
    <x v="12"/>
    <x v="2"/>
    <x v="2"/>
    <x v="8"/>
    <n v="2.8585000000000003"/>
    <x v="2"/>
    <x v="2"/>
    <x v="3"/>
    <x v="2"/>
    <x v="2"/>
    <x v="1"/>
    <n v="3.5172063358679881E-2"/>
    <n v="-313514.80686295684"/>
    <n v="35172.063358679879"/>
    <n v="329712.71905543952"/>
    <n v="16197.912192482676"/>
    <s v="36708IF-NWPL_ROCKY_M"/>
    <x v="12"/>
  </r>
  <r>
    <x v="0"/>
    <x v="0"/>
    <s v="NF1092.2"/>
    <x v="2"/>
    <x v="0"/>
    <x v="1"/>
    <x v="3"/>
    <x v="12"/>
    <x v="2"/>
    <x v="3"/>
    <x v="8"/>
    <n v="2.8605"/>
    <x v="3"/>
    <x v="3"/>
    <x v="4"/>
    <x v="2"/>
    <x v="3"/>
    <x v="1"/>
    <n v="4.9324185810084888E-2"/>
    <n v="-341768.13871674408"/>
    <n v="49324.185810084884"/>
    <n v="362398.92398286605"/>
    <n v="20630.785266121966"/>
    <s v="36739IF-NWPL_ROCKY_M"/>
    <x v="12"/>
  </r>
  <r>
    <x v="0"/>
    <x v="0"/>
    <s v="NF1092.2"/>
    <x v="2"/>
    <x v="0"/>
    <x v="1"/>
    <x v="4"/>
    <x v="12"/>
    <x v="2"/>
    <x v="4"/>
    <x v="8"/>
    <n v="2.8505000000000003"/>
    <x v="4"/>
    <x v="4"/>
    <x v="5"/>
    <x v="2"/>
    <x v="4"/>
    <x v="1"/>
    <n v="6.1806484886073036E-2"/>
    <n v="-357780.00659050222"/>
    <n v="61806.484886073034"/>
    <n v="382230.72620250122"/>
    <n v="24450.719611998997"/>
    <s v="36770IF-NWPL_ROCKY_M"/>
    <x v="12"/>
  </r>
  <r>
    <x v="0"/>
    <x v="0"/>
    <s v="NF1092.2"/>
    <x v="2"/>
    <x v="0"/>
    <x v="1"/>
    <x v="5"/>
    <x v="12"/>
    <x v="2"/>
    <x v="5"/>
    <x v="10"/>
    <n v="2.8824999999999998"/>
    <x v="5"/>
    <x v="5"/>
    <x v="6"/>
    <x v="2"/>
    <x v="5"/>
    <x v="1"/>
    <n v="6.2840081894201927E-2"/>
    <n v="-333387.4438452358"/>
    <n v="62840.081894201925"/>
    <n v="359897.91067279788"/>
    <n v="26510.466827562079"/>
    <s v="36800IF-NWPL_ROCKY_M"/>
    <x v="12"/>
  </r>
  <r>
    <x v="0"/>
    <x v="0"/>
    <s v="NF1105.1"/>
    <x v="0"/>
    <x v="0"/>
    <x v="0"/>
    <x v="6"/>
    <x v="11"/>
    <x v="13"/>
    <x v="6"/>
    <x v="24"/>
    <n v="3.9725000000000001"/>
    <x v="6"/>
    <x v="6"/>
    <x v="7"/>
    <x v="5"/>
    <x v="6"/>
    <x v="0"/>
    <n v="4.6131080179801491E-2"/>
    <n v="-48870.755625603197"/>
    <n v="-11532.770044950374"/>
    <n v="43786.654259227958"/>
    <n v="-5084.1013663752383"/>
    <s v="36831IF-TRANSCO/Z6"/>
    <x v="11"/>
  </r>
  <r>
    <x v="0"/>
    <x v="0"/>
    <s v="NF1105.1"/>
    <x v="0"/>
    <x v="0"/>
    <x v="0"/>
    <x v="7"/>
    <x v="11"/>
    <x v="13"/>
    <x v="7"/>
    <x v="26"/>
    <n v="4.6219999999999999"/>
    <x v="7"/>
    <x v="7"/>
    <x v="22"/>
    <x v="5"/>
    <x v="7"/>
    <x v="0"/>
    <n v="0.33176622731616323"/>
    <n v="-146225.97258490871"/>
    <n v="-82941.556829040812"/>
    <n v="137138.30145618416"/>
    <n v="-9087.6711287245562"/>
    <s v="36861IF-TRANSCO/Z6"/>
    <x v="11"/>
  </r>
  <r>
    <x v="0"/>
    <x v="0"/>
    <s v="NF1105.1"/>
    <x v="0"/>
    <x v="0"/>
    <x v="0"/>
    <x v="8"/>
    <x v="11"/>
    <x v="13"/>
    <x v="8"/>
    <x v="27"/>
    <n v="4.8949999999999996"/>
    <x v="8"/>
    <x v="8"/>
    <x v="9"/>
    <x v="5"/>
    <x v="8"/>
    <x v="0"/>
    <n v="0.46911881140098188"/>
    <n v="-179855.70971007837"/>
    <n v="-117279.70285024548"/>
    <n v="173512.27207260765"/>
    <n v="-6343.4376374707208"/>
    <s v="36892IF-TRANSCO/Z6"/>
    <x v="11"/>
  </r>
  <r>
    <x v="0"/>
    <x v="0"/>
    <s v="NF1105.1"/>
    <x v="0"/>
    <x v="0"/>
    <x v="0"/>
    <x v="9"/>
    <x v="11"/>
    <x v="13"/>
    <x v="9"/>
    <x v="28"/>
    <n v="4.681"/>
    <x v="9"/>
    <x v="5"/>
    <x v="23"/>
    <x v="5"/>
    <x v="9"/>
    <x v="0"/>
    <n v="0.48838503117584009"/>
    <n v="-168344.38464583276"/>
    <n v="-122096.25779396002"/>
    <n v="159523.03635614522"/>
    <n v="-8821.3482896875357"/>
    <s v="36923IF-TRANSCO/Z6"/>
    <x v="11"/>
  </r>
  <r>
    <x v="0"/>
    <x v="0"/>
    <s v="NF1105.1"/>
    <x v="0"/>
    <x v="0"/>
    <x v="0"/>
    <x v="10"/>
    <x v="11"/>
    <x v="13"/>
    <x v="10"/>
    <x v="25"/>
    <n v="3.8769999999999998"/>
    <x v="10"/>
    <x v="9"/>
    <x v="21"/>
    <x v="5"/>
    <x v="10"/>
    <x v="0"/>
    <n v="0.13157179147692905"/>
    <n v="-87053.401154821942"/>
    <n v="-32892.947869232259"/>
    <n v="78181.77491218537"/>
    <n v="-8871.626242636572"/>
    <s v="36951IF-TRANSCO/Z6"/>
    <x v="11"/>
  </r>
  <r>
    <x v="0"/>
    <x v="0"/>
    <s v="NF1105.2"/>
    <x v="0"/>
    <x v="0"/>
    <x v="1"/>
    <x v="6"/>
    <x v="11"/>
    <x v="13"/>
    <x v="6"/>
    <x v="24"/>
    <n v="3.9725000000000001"/>
    <x v="6"/>
    <x v="6"/>
    <x v="7"/>
    <x v="5"/>
    <x v="6"/>
    <x v="1"/>
    <n v="0.47317740278160647"/>
    <n v="192398.35318897609"/>
    <n v="-118294.35069540162"/>
    <n v="-197482.45455535135"/>
    <n v="-5084.1013663752528"/>
    <s v="36831IF-TRANSCO/Z6"/>
    <x v="11"/>
  </r>
  <r>
    <x v="0"/>
    <x v="0"/>
    <s v="NF1105.2"/>
    <x v="0"/>
    <x v="0"/>
    <x v="1"/>
    <x v="7"/>
    <x v="11"/>
    <x v="13"/>
    <x v="7"/>
    <x v="26"/>
    <n v="4.6219999999999999"/>
    <x v="7"/>
    <x v="7"/>
    <x v="22"/>
    <x v="5"/>
    <x v="7"/>
    <x v="1"/>
    <n v="0.21661486732168944"/>
    <n v="93672.694070244615"/>
    <n v="-54153.71683042236"/>
    <n v="-102760.36519896917"/>
    <n v="-9087.6711287245562"/>
    <s v="36861IF-TRANSCO/Z6"/>
    <x v="11"/>
  </r>
  <r>
    <x v="0"/>
    <x v="0"/>
    <s v="NF1105.2"/>
    <x v="0"/>
    <x v="0"/>
    <x v="1"/>
    <x v="8"/>
    <x v="11"/>
    <x v="13"/>
    <x v="8"/>
    <x v="27"/>
    <n v="4.8949999999999996"/>
    <x v="8"/>
    <x v="8"/>
    <x v="9"/>
    <x v="5"/>
    <x v="8"/>
    <x v="1"/>
    <n v="0.1064958866781831"/>
    <n v="58712.003923341334"/>
    <n v="-26623.971669545776"/>
    <n v="-65055.441560812054"/>
    <n v="-6343.4376374707208"/>
    <s v="36892IF-TRANSCO/Z6"/>
    <x v="11"/>
  </r>
  <r>
    <x v="0"/>
    <x v="0"/>
    <s v="NF1105.2"/>
    <x v="0"/>
    <x v="0"/>
    <x v="1"/>
    <x v="9"/>
    <x v="11"/>
    <x v="13"/>
    <x v="9"/>
    <x v="28"/>
    <n v="4.681"/>
    <x v="9"/>
    <x v="5"/>
    <x v="23"/>
    <x v="5"/>
    <x v="9"/>
    <x v="1"/>
    <n v="0.16597568280065866"/>
    <n v="68721.312688859136"/>
    <n v="-41493.920700164665"/>
    <n v="-77542.660978546672"/>
    <n v="-8821.3482896875357"/>
    <s v="36923IF-TRANSCO/Z6"/>
    <x v="11"/>
  </r>
  <r>
    <x v="0"/>
    <x v="0"/>
    <s v="NF1105.2"/>
    <x v="0"/>
    <x v="0"/>
    <x v="1"/>
    <x v="10"/>
    <x v="11"/>
    <x v="13"/>
    <x v="10"/>
    <x v="25"/>
    <n v="3.8769999999999998"/>
    <x v="10"/>
    <x v="9"/>
    <x v="21"/>
    <x v="5"/>
    <x v="10"/>
    <x v="1"/>
    <n v="0.40508131032296024"/>
    <n v="148730.66681589463"/>
    <n v="-101270.32758074006"/>
    <n v="-157602.29305853121"/>
    <n v="-8871.6262426365865"/>
    <s v="36951IF-TRANSCO/Z6"/>
    <x v="11"/>
  </r>
  <r>
    <x v="0"/>
    <x v="0"/>
    <s v="NF1114.1"/>
    <x v="2"/>
    <x v="0"/>
    <x v="0"/>
    <x v="0"/>
    <x v="10"/>
    <x v="9"/>
    <x v="0"/>
    <x v="2"/>
    <n v="2.8129999999999997"/>
    <x v="0"/>
    <x v="0"/>
    <x v="1"/>
    <x v="2"/>
    <x v="0"/>
    <x v="0"/>
    <n v="1.578739605507451E-2"/>
    <n v="-177387.36053493409"/>
    <n v="-7893.6980275372553"/>
    <n v="173997.25637310659"/>
    <n v="-3390.1041618275049"/>
    <s v="36647IF-NWPL_ROCKY_M"/>
    <x v="10"/>
  </r>
  <r>
    <x v="0"/>
    <x v="0"/>
    <s v="NF1114.1"/>
    <x v="2"/>
    <x v="0"/>
    <x v="0"/>
    <x v="1"/>
    <x v="10"/>
    <x v="9"/>
    <x v="1"/>
    <x v="5"/>
    <n v="2.8320000000000003"/>
    <x v="1"/>
    <x v="1"/>
    <x v="2"/>
    <x v="2"/>
    <x v="1"/>
    <x v="0"/>
    <n v="3.8566083010680985E-2"/>
    <n v="-218261.79777635442"/>
    <n v="-19283.041505340494"/>
    <n v="211505.90500456502"/>
    <n v="-6755.8927717893966"/>
    <s v="36678IF-NWPL_ROCKY_M"/>
    <x v="10"/>
  </r>
  <r>
    <x v="0"/>
    <x v="0"/>
    <s v="NF1114.1"/>
    <x v="2"/>
    <x v="0"/>
    <x v="0"/>
    <x v="2"/>
    <x v="10"/>
    <x v="9"/>
    <x v="2"/>
    <x v="8"/>
    <n v="2.8585000000000003"/>
    <x v="2"/>
    <x v="2"/>
    <x v="3"/>
    <x v="2"/>
    <x v="2"/>
    <x v="0"/>
    <n v="6.3142152782796557E-2"/>
    <n v="-247558.90264526103"/>
    <n v="-31571.076391398277"/>
    <n v="238375.20804454709"/>
    <n v="-9183.6946007139341"/>
    <s v="36708IF-NWPL_ROCKY_M"/>
    <x v="10"/>
  </r>
  <r>
    <x v="0"/>
    <x v="0"/>
    <s v="NF1114.1"/>
    <x v="2"/>
    <x v="0"/>
    <x v="0"/>
    <x v="3"/>
    <x v="10"/>
    <x v="9"/>
    <x v="3"/>
    <x v="8"/>
    <n v="2.8605"/>
    <x v="3"/>
    <x v="3"/>
    <x v="4"/>
    <x v="2"/>
    <x v="3"/>
    <x v="0"/>
    <n v="7.7903439049721079E-2"/>
    <n v="-247687.95080129532"/>
    <n v="-38951.719524860542"/>
    <n v="236410.35016827629"/>
    <n v="-11277.600633019028"/>
    <s v="36739IF-NWPL_ROCKY_M"/>
    <x v="10"/>
  </r>
  <r>
    <x v="0"/>
    <x v="0"/>
    <s v="NF1114.1"/>
    <x v="2"/>
    <x v="0"/>
    <x v="0"/>
    <x v="4"/>
    <x v="10"/>
    <x v="9"/>
    <x v="4"/>
    <x v="8"/>
    <n v="2.8505000000000003"/>
    <x v="4"/>
    <x v="4"/>
    <x v="5"/>
    <x v="2"/>
    <x v="4"/>
    <x v="0"/>
    <n v="9.0546705422620555E-2"/>
    <n v="-247311.82346232116"/>
    <n v="-45273.352711310275"/>
    <n v="234186.09359304004"/>
    <n v="-13125.729869281116"/>
    <s v="36770IF-NWPL_ROCKY_M"/>
    <x v="10"/>
  </r>
  <r>
    <x v="0"/>
    <x v="0"/>
    <s v="NF1114.1"/>
    <x v="2"/>
    <x v="0"/>
    <x v="0"/>
    <x v="5"/>
    <x v="10"/>
    <x v="9"/>
    <x v="5"/>
    <x v="10"/>
    <n v="2.8824999999999998"/>
    <x v="5"/>
    <x v="5"/>
    <x v="6"/>
    <x v="2"/>
    <x v="5"/>
    <x v="0"/>
    <n v="0.11308842639577898"/>
    <n v="-265165.2896801696"/>
    <n v="-56544.21319788949"/>
    <n v="250707.70573928836"/>
    <n v="-14457.583940881246"/>
    <s v="36800IF-NWPL_ROCKY_M"/>
    <x v="10"/>
  </r>
  <r>
    <x v="0"/>
    <x v="0"/>
    <s v="NF1114.2"/>
    <x v="2"/>
    <x v="0"/>
    <x v="1"/>
    <x v="0"/>
    <x v="10"/>
    <x v="9"/>
    <x v="0"/>
    <x v="2"/>
    <n v="2.8129999999999997"/>
    <x v="0"/>
    <x v="0"/>
    <x v="1"/>
    <x v="2"/>
    <x v="0"/>
    <x v="1"/>
    <n v="4.0744528319868197E-2"/>
    <n v="321755.28476094129"/>
    <n v="-20372.264159934097"/>
    <n v="-325145.38892276876"/>
    <n v="-3390.1041618274758"/>
    <s v="36647IF-NWPL_ROCKY_M"/>
    <x v="10"/>
  </r>
  <r>
    <x v="0"/>
    <x v="0"/>
    <s v="NF1114.2"/>
    <x v="2"/>
    <x v="0"/>
    <x v="1"/>
    <x v="1"/>
    <x v="10"/>
    <x v="9"/>
    <x v="1"/>
    <x v="5"/>
    <n v="2.8320000000000003"/>
    <x v="1"/>
    <x v="1"/>
    <x v="2"/>
    <x v="2"/>
    <x v="1"/>
    <x v="1"/>
    <n v="5.8418201506883018E-2"/>
    <n v="278041.16462870192"/>
    <n v="-29209.100753441508"/>
    <n v="-284797.05740049132"/>
    <n v="-6755.8927717893966"/>
    <s v="36678IF-NWPL_ROCKY_M"/>
    <x v="10"/>
  </r>
  <r>
    <x v="0"/>
    <x v="0"/>
    <s v="NF1114.2"/>
    <x v="2"/>
    <x v="0"/>
    <x v="1"/>
    <x v="2"/>
    <x v="10"/>
    <x v="9"/>
    <x v="2"/>
    <x v="8"/>
    <n v="2.8585000000000003"/>
    <x v="2"/>
    <x v="2"/>
    <x v="3"/>
    <x v="2"/>
    <x v="2"/>
    <x v="1"/>
    <n v="6.5610528479048608E-2"/>
    <n v="246116.23660516628"/>
    <n v="-32805.264239524302"/>
    <n v="-255299.93120588025"/>
    <n v="-9183.6946007139632"/>
    <s v="36708IF-NWPL_ROCKY_M"/>
    <x v="10"/>
  </r>
  <r>
    <x v="0"/>
    <x v="0"/>
    <s v="NF1114.2"/>
    <x v="2"/>
    <x v="0"/>
    <x v="1"/>
    <x v="3"/>
    <x v="10"/>
    <x v="9"/>
    <x v="3"/>
    <x v="8"/>
    <n v="2.8605"/>
    <x v="3"/>
    <x v="3"/>
    <x v="4"/>
    <x v="2"/>
    <x v="3"/>
    <x v="1"/>
    <n v="8.0358811105179145E-2"/>
    <n v="243386.46029032278"/>
    <n v="-40179.405552589575"/>
    <n v="-254664.06092334181"/>
    <n v="-11277.600633019028"/>
    <s v="36739IF-NWPL_ROCKY_M"/>
    <x v="10"/>
  </r>
  <r>
    <x v="0"/>
    <x v="0"/>
    <s v="NF1114.2"/>
    <x v="2"/>
    <x v="0"/>
    <x v="1"/>
    <x v="4"/>
    <x v="10"/>
    <x v="9"/>
    <x v="4"/>
    <x v="8"/>
    <n v="2.8505000000000003"/>
    <x v="4"/>
    <x v="4"/>
    <x v="5"/>
    <x v="2"/>
    <x v="4"/>
    <x v="1"/>
    <n v="9.2987160192405424E-2"/>
    <n v="240779.13049467769"/>
    <n v="-46493.580096202713"/>
    <n v="-253904.86036395881"/>
    <n v="-13125.729869281116"/>
    <s v="36770IF-NWPL_ROCKY_M"/>
    <x v="10"/>
  </r>
  <r>
    <x v="0"/>
    <x v="0"/>
    <s v="NF1114.2"/>
    <x v="2"/>
    <x v="0"/>
    <x v="1"/>
    <x v="5"/>
    <x v="10"/>
    <x v="9"/>
    <x v="5"/>
    <x v="10"/>
    <n v="2.8824999999999998"/>
    <x v="5"/>
    <x v="5"/>
    <x v="6"/>
    <x v="2"/>
    <x v="5"/>
    <x v="1"/>
    <n v="9.1243634492784956E-2"/>
    <n v="220274.53038635832"/>
    <n v="-45621.817246392478"/>
    <n v="-234732.11432723954"/>
    <n v="-14457.583940881217"/>
    <s v="36800IF-NWPL_ROCKY_M"/>
    <x v="10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e v="#REF!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47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47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47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47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47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78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78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78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78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78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08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08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08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08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08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39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39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39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39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39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70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70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70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70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70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00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00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00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00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00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31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61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92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923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951IF-CGT/APPALAC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982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7012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7043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7073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7104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7135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7165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7196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7226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7257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7288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7316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31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31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31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31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951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951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47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78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08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39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70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00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47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78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08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39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70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00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78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08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39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70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00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47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78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08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39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70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00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47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78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08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39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70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00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47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678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08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39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770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00IF-NWPL_ROCKY_M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s v="36861IF-TRANSCO/Z6"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  <r>
    <x v="12"/>
    <x v="2"/>
    <m/>
    <x v="3"/>
    <x v="1"/>
    <x v="2"/>
    <x v="23"/>
    <x v="13"/>
    <x v="14"/>
    <x v="21"/>
    <x v="29"/>
    <m/>
    <x v="23"/>
    <x v="20"/>
    <x v="24"/>
    <x v="6"/>
    <x v="23"/>
    <x v="2"/>
    <m/>
    <m/>
    <m/>
    <m/>
    <m/>
    <m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BH6:BL22" firstHeaderRow="1" firstDataRow="2" firstDataCol="2"/>
  <pivotFields count="8">
    <pivotField axis="axisRow" compact="0" outline="0" subtotalTop="0" showAll="0" includeNewItemsInFilter="1">
      <items count="3">
        <item x="0"/>
        <item x="1"/>
        <item t="default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2">
    <field x="0"/>
    <field x="-2"/>
  </rowFields>
  <rowItems count="15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rowItems>
  <colFields count="1">
    <field x="1"/>
  </colFields>
  <colItems count="3">
    <i>
      <x/>
    </i>
    <i>
      <x v="1"/>
    </i>
    <i t="grand">
      <x/>
    </i>
  </colItems>
  <dataFields count="5">
    <dataField name="Sum of Gamma" fld="2" baseField="0" baseItem="0" numFmtId="6"/>
    <dataField name="Sum of Rho" fld="3" baseField="0" baseItem="0" numFmtId="6"/>
    <dataField name="Sum of Drift" fld="4" baseField="0" baseItem="0" numFmtId="6"/>
    <dataField name="Sum of Vega" fld="5" baseField="0" baseItem="0" numFmtId="6"/>
    <dataField name="Sum of Theta" fld="6" baseField="0" baseItem="0" numFmtId="6"/>
  </dataFields>
  <formats count="2">
    <format dxfId="1">
      <pivotArea field="0" grandRow="1" outline="0" axis="axisRow" fieldPosition="0">
        <references count="1">
          <reference field="0" count="0" selected="0"/>
        </references>
      </pivotArea>
    </format>
    <format dxfId="0">
      <pivotArea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Z21" firstHeaderRow="1" firstDataRow="2" firstDataCol="1" rowPageCount="2" colPageCount="1"/>
  <pivotFields count="25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5">
        <item x="1"/>
        <item x="2"/>
        <item x="0"/>
        <item x="3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4">
        <item x="0"/>
        <item x="1"/>
        <item x="2"/>
        <item t="default"/>
      </items>
    </pivotField>
    <pivotField axis="axisCol" compact="0" outline="0" subtotalTop="0" showAll="0" includeNewItemsInFilter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16">
        <item x="2"/>
        <item x="9"/>
        <item x="11"/>
        <item x="10"/>
        <item x="1"/>
        <item x="0"/>
        <item x="3"/>
        <item x="4"/>
        <item x="7"/>
        <item x="12"/>
        <item x="5"/>
        <item x="6"/>
        <item x="13"/>
        <item x="8"/>
        <item x="1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8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6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2">
    <pageField fld="5" hier="0"/>
    <pageField fld="3" hier="0"/>
  </pageFields>
  <dataFields count="1">
    <dataField name="Sum of Contracts" fld="24" baseField="0" baseItem="0" numFmtId="22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2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V995"/>
  <sheetViews>
    <sheetView showGridLines="0" topLeftCell="J1" workbookViewId="0">
      <selection activeCell="K1" sqref="K1:N10"/>
    </sheetView>
  </sheetViews>
  <sheetFormatPr defaultRowHeight="13.2" x14ac:dyDescent="0.25"/>
  <cols>
    <col min="1" max="1" width="19" customWidth="1"/>
    <col min="2" max="2" width="15.33203125" customWidth="1"/>
    <col min="3" max="3" width="19.5546875" customWidth="1"/>
    <col min="4" max="4" width="18.44140625" bestFit="1" customWidth="1"/>
    <col min="5" max="6" width="18.44140625" customWidth="1"/>
    <col min="7" max="7" width="22.6640625" bestFit="1" customWidth="1"/>
    <col min="8" max="9" width="19" bestFit="1" customWidth="1"/>
    <col min="10" max="10" width="12.5546875" bestFit="1" customWidth="1"/>
    <col min="11" max="11" width="23.33203125" customWidth="1"/>
    <col min="12" max="12" width="15.88671875" customWidth="1"/>
    <col min="13" max="13" width="19.5546875" customWidth="1"/>
    <col min="14" max="14" width="21" customWidth="1"/>
    <col min="16" max="16" width="11.33203125" bestFit="1" customWidth="1"/>
    <col min="19" max="19" width="12" customWidth="1"/>
  </cols>
  <sheetData>
    <row r="1" spans="1:48" ht="20.399999999999999" x14ac:dyDescent="0.35">
      <c r="A1" s="90" t="s">
        <v>66</v>
      </c>
      <c r="B1" s="51"/>
      <c r="C1" s="51"/>
      <c r="D1" s="51"/>
      <c r="E1" s="51"/>
      <c r="F1" s="51"/>
      <c r="G1" s="51"/>
      <c r="H1" s="51"/>
      <c r="I1" s="51"/>
      <c r="J1" s="51"/>
      <c r="K1" s="255" t="s">
        <v>70</v>
      </c>
      <c r="L1" s="256"/>
      <c r="M1" s="256"/>
      <c r="N1" s="257"/>
      <c r="O1" s="51"/>
      <c r="P1" s="378">
        <v>36633</v>
      </c>
      <c r="Q1" s="4"/>
      <c r="R1" s="4"/>
      <c r="S1" s="4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</row>
    <row r="2" spans="1:48" ht="18" thickBot="1" x14ac:dyDescent="0.35">
      <c r="A2" s="51"/>
      <c r="B2" s="4"/>
      <c r="C2" s="4"/>
      <c r="D2" s="429"/>
      <c r="E2" s="430"/>
      <c r="F2" s="429"/>
      <c r="G2" s="429"/>
      <c r="I2" s="51"/>
      <c r="J2" s="51"/>
      <c r="K2" s="258" t="s">
        <v>67</v>
      </c>
      <c r="L2" s="368" t="s">
        <v>152</v>
      </c>
      <c r="M2" s="368" t="s">
        <v>153</v>
      </c>
      <c r="N2" s="369" t="s">
        <v>154</v>
      </c>
      <c r="O2" s="51"/>
      <c r="P2" s="4"/>
      <c r="Q2" s="4"/>
      <c r="R2" s="4"/>
      <c r="S2" s="4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</row>
    <row r="3" spans="1:48" ht="18.600000000000001" thickBot="1" x14ac:dyDescent="0.4">
      <c r="A3" s="94" t="s">
        <v>70</v>
      </c>
      <c r="B3" s="4"/>
      <c r="C3" s="4"/>
      <c r="D3" s="4"/>
      <c r="E3" s="4"/>
      <c r="F3" s="4"/>
      <c r="G3" s="51"/>
      <c r="H3" s="51"/>
      <c r="I3" s="51"/>
      <c r="J3" s="51"/>
      <c r="K3" s="255" t="s">
        <v>68</v>
      </c>
      <c r="L3" s="370">
        <f>M3-N3</f>
        <v>-1143864.5293324732</v>
      </c>
      <c r="M3" s="444">
        <f>C5</f>
        <v>-1696942.5068361142</v>
      </c>
      <c r="N3" s="371">
        <v>-553077.97750364104</v>
      </c>
      <c r="O3" s="51"/>
      <c r="P3" s="141"/>
      <c r="Q3" s="141"/>
      <c r="R3" s="297"/>
      <c r="S3" s="4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</row>
    <row r="4" spans="1:48" ht="18" x14ac:dyDescent="0.35">
      <c r="A4" s="107" t="s">
        <v>67</v>
      </c>
      <c r="B4" s="93" t="s">
        <v>42</v>
      </c>
      <c r="C4" s="91" t="s">
        <v>24</v>
      </c>
      <c r="D4" s="51"/>
      <c r="E4" s="51"/>
      <c r="F4" s="51"/>
      <c r="G4" s="132" t="s">
        <v>24</v>
      </c>
      <c r="H4" s="133">
        <f>+C8</f>
        <v>-1696942.5068361142</v>
      </c>
      <c r="I4" s="51"/>
      <c r="J4" s="51"/>
      <c r="K4" s="367" t="s">
        <v>69</v>
      </c>
      <c r="L4" s="372">
        <f>M4-N4</f>
        <v>0</v>
      </c>
      <c r="M4" s="259">
        <f>C6</f>
        <v>0</v>
      </c>
      <c r="N4" s="260">
        <v>0</v>
      </c>
      <c r="O4" s="51"/>
      <c r="P4" s="297"/>
      <c r="Q4" s="297"/>
      <c r="R4" s="141"/>
      <c r="S4" s="14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</row>
    <row r="5" spans="1:48" ht="18" x14ac:dyDescent="0.35">
      <c r="A5" s="92" t="s">
        <v>68</v>
      </c>
      <c r="B5" s="100">
        <f>'Basis Options'!T3</f>
        <v>-2483047.4612487657</v>
      </c>
      <c r="C5" s="101">
        <f>'Basis Options'!U3</f>
        <v>-1696942.5068361142</v>
      </c>
      <c r="D5" s="51"/>
      <c r="E5" s="51"/>
      <c r="F5" s="51"/>
      <c r="G5" s="134" t="s">
        <v>91</v>
      </c>
      <c r="H5" s="135">
        <v>0</v>
      </c>
      <c r="I5" s="51"/>
      <c r="J5" s="51"/>
      <c r="K5" s="367" t="s">
        <v>105</v>
      </c>
      <c r="L5" s="372">
        <f>M5-N5</f>
        <v>3.5112890758727997</v>
      </c>
      <c r="M5" s="259">
        <f>C7</f>
        <v>-3.1199975488002081</v>
      </c>
      <c r="N5" s="260">
        <v>-6.6312866246730078</v>
      </c>
      <c r="O5" s="51"/>
      <c r="P5" s="297"/>
      <c r="Q5" s="297"/>
      <c r="R5" s="297"/>
      <c r="S5" s="332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</row>
    <row r="6" spans="1:48" ht="18.600000000000001" thickBot="1" x14ac:dyDescent="0.4">
      <c r="A6" s="92" t="s">
        <v>69</v>
      </c>
      <c r="B6" s="108">
        <f>+'Extendible Collars'!U3</f>
        <v>0</v>
      </c>
      <c r="C6" s="109">
        <f>+'Extendible Collars'!V3</f>
        <v>0</v>
      </c>
      <c r="D6" s="51"/>
      <c r="E6" s="51"/>
      <c r="F6" s="51"/>
      <c r="G6" s="136" t="s">
        <v>92</v>
      </c>
      <c r="H6" s="137">
        <f>+H4-H5</f>
        <v>-1696942.5068361142</v>
      </c>
      <c r="I6" s="51"/>
      <c r="J6" s="138"/>
      <c r="K6" s="367" t="s">
        <v>248</v>
      </c>
      <c r="L6" s="373">
        <f>M6-N6</f>
        <v>11.256068308148389</v>
      </c>
      <c r="M6" s="374">
        <f>Digital!S3</f>
        <v>-4.0533677180971051</v>
      </c>
      <c r="N6" s="375">
        <v>-15.309436026245494</v>
      </c>
      <c r="O6" s="51"/>
      <c r="P6" s="297"/>
      <c r="Q6" s="297"/>
      <c r="R6" s="297"/>
      <c r="S6" s="162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</row>
    <row r="7" spans="1:48" ht="18.600000000000001" thickBot="1" x14ac:dyDescent="0.4">
      <c r="A7" s="92" t="s">
        <v>105</v>
      </c>
      <c r="B7" s="108">
        <f>'Basket Options'!P3</f>
        <v>27.728685567408842</v>
      </c>
      <c r="C7" s="109">
        <f>'Basket Options'!O3</f>
        <v>-3.1199975488002081</v>
      </c>
      <c r="D7" s="51"/>
      <c r="E7" s="51"/>
      <c r="F7" s="51"/>
      <c r="G7" s="261"/>
      <c r="H7" s="262"/>
      <c r="I7" s="51"/>
      <c r="J7" s="138"/>
      <c r="K7" s="258" t="s">
        <v>72</v>
      </c>
      <c r="L7" s="373">
        <f>SUM(L3:L6)</f>
        <v>-1143849.7619750891</v>
      </c>
      <c r="M7" s="374">
        <f>SUM(M3:M6)</f>
        <v>-1696949.6802013812</v>
      </c>
      <c r="N7" s="375">
        <f>SUM(N3:N6)</f>
        <v>-553099.91822629201</v>
      </c>
      <c r="O7" s="51"/>
      <c r="P7" s="297"/>
      <c r="Q7" s="297"/>
      <c r="R7" s="297"/>
      <c r="S7" s="333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</row>
    <row r="8" spans="1:48" ht="13.8" thickBot="1" x14ac:dyDescent="0.3">
      <c r="A8" s="110" t="s">
        <v>72</v>
      </c>
      <c r="B8" s="111">
        <f>SUM(B5:B6)</f>
        <v>-2483047.4612487657</v>
      </c>
      <c r="C8" s="112">
        <f>SUM(C5:C6)</f>
        <v>-1696942.5068361142</v>
      </c>
      <c r="D8" s="51"/>
      <c r="G8" s="51"/>
      <c r="H8" s="51"/>
      <c r="I8" s="51"/>
      <c r="J8" s="138"/>
      <c r="O8" s="51"/>
      <c r="P8" s="4"/>
      <c r="Q8" s="4"/>
      <c r="R8" s="4"/>
      <c r="S8" s="4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</row>
    <row r="9" spans="1:48" x14ac:dyDescent="0.25">
      <c r="A9" s="51"/>
      <c r="B9" s="51"/>
      <c r="C9" s="51"/>
      <c r="D9" s="51"/>
      <c r="E9" s="51"/>
      <c r="F9" s="51"/>
      <c r="G9" s="51"/>
      <c r="H9" s="51"/>
      <c r="I9" s="51"/>
      <c r="J9" s="51"/>
      <c r="O9" s="51"/>
      <c r="P9" s="4"/>
      <c r="Q9" s="4"/>
      <c r="R9" s="4"/>
      <c r="S9" s="4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</row>
    <row r="10" spans="1:48" ht="13.8" thickBot="1" x14ac:dyDescent="0.3">
      <c r="A10" s="6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</row>
    <row r="11" spans="1:48" ht="93" thickBot="1" x14ac:dyDescent="0.3">
      <c r="A11" s="94" t="s">
        <v>71</v>
      </c>
      <c r="B11" s="51"/>
      <c r="C11" s="51"/>
      <c r="D11" s="51"/>
      <c r="E11" s="296" t="s">
        <v>182</v>
      </c>
      <c r="F11" s="296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</row>
    <row r="12" spans="1:48" ht="13.8" x14ac:dyDescent="0.25">
      <c r="A12" s="107" t="s">
        <v>3</v>
      </c>
      <c r="B12" s="93" t="s">
        <v>68</v>
      </c>
      <c r="C12" s="93" t="s">
        <v>105</v>
      </c>
      <c r="D12" s="93" t="s">
        <v>69</v>
      </c>
      <c r="E12" s="199"/>
      <c r="F12" s="199" t="s">
        <v>248</v>
      </c>
      <c r="G12" s="95" t="s">
        <v>72</v>
      </c>
      <c r="H12" s="95" t="s">
        <v>89</v>
      </c>
      <c r="I12" s="95" t="s">
        <v>90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</row>
    <row r="13" spans="1:48" ht="13.8" x14ac:dyDescent="0.25">
      <c r="A13" s="104">
        <v>36434</v>
      </c>
      <c r="B13" s="96">
        <f>VLOOKUP(A13,BasOptPos,2,FALSE)</f>
        <v>0</v>
      </c>
      <c r="C13" s="96">
        <f>VLOOKUP(A13,BsktOptPos,2,FALSE)</f>
        <v>0</v>
      </c>
      <c r="D13" s="96">
        <f>VLOOKUP(A13,ExtColPos,2,FALSE)</f>
        <v>0</v>
      </c>
      <c r="E13" s="336"/>
      <c r="F13" s="336"/>
      <c r="G13" s="131">
        <f t="shared" ref="G13:G19" si="0">SUM(B13:D13)</f>
        <v>0</v>
      </c>
      <c r="H13" s="97">
        <f t="shared" ref="H13:H21" si="1">VLOOKUP(A13,NymEq,2,FALSE)</f>
        <v>0</v>
      </c>
      <c r="I13" s="131">
        <f t="shared" ref="I13:I59" si="2">+H13+D13+C13+F13</f>
        <v>0</v>
      </c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</row>
    <row r="14" spans="1:48" x14ac:dyDescent="0.25">
      <c r="A14" s="105">
        <f t="shared" ref="A14:A59" si="3">EOMONTH(A13,0)+1</f>
        <v>36465</v>
      </c>
      <c r="B14" s="96">
        <f>VLOOKUP(A14,BasOptPos,2,FALSE)</f>
        <v>0</v>
      </c>
      <c r="C14" s="96">
        <f>VLOOKUP(A14,BsktOptPos,2,FALSE)</f>
        <v>0</v>
      </c>
      <c r="D14" s="96">
        <f t="shared" ref="D14:D59" si="4">VLOOKUP(A14,ExtColPos,2,FALSE)</f>
        <v>0</v>
      </c>
      <c r="E14" s="96"/>
      <c r="F14" s="96">
        <v>0</v>
      </c>
      <c r="G14" s="131">
        <f t="shared" si="0"/>
        <v>0</v>
      </c>
      <c r="H14" s="97">
        <f t="shared" si="1"/>
        <v>0</v>
      </c>
      <c r="I14" s="131">
        <f t="shared" si="2"/>
        <v>0</v>
      </c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</row>
    <row r="15" spans="1:48" x14ac:dyDescent="0.25">
      <c r="A15" s="105">
        <f t="shared" si="3"/>
        <v>36495</v>
      </c>
      <c r="B15" s="96">
        <f t="shared" ref="B15:B59" si="5">VLOOKUP(A15,BasOptPos,2,FALSE)</f>
        <v>0</v>
      </c>
      <c r="C15" s="96">
        <f t="shared" ref="C15:C59" si="6">VLOOKUP(A15,BsktOptPos,2,FALSE)</f>
        <v>0</v>
      </c>
      <c r="D15" s="96">
        <f t="shared" si="4"/>
        <v>0</v>
      </c>
      <c r="E15" s="96"/>
      <c r="F15" s="96">
        <v>0</v>
      </c>
      <c r="G15" s="131">
        <f t="shared" si="0"/>
        <v>0</v>
      </c>
      <c r="H15" s="97">
        <f t="shared" si="1"/>
        <v>0</v>
      </c>
      <c r="I15" s="131">
        <f t="shared" si="2"/>
        <v>0</v>
      </c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</row>
    <row r="16" spans="1:48" x14ac:dyDescent="0.25">
      <c r="A16" s="105">
        <f t="shared" si="3"/>
        <v>36526</v>
      </c>
      <c r="B16" s="96">
        <f t="shared" si="5"/>
        <v>0</v>
      </c>
      <c r="C16" s="96">
        <f t="shared" si="6"/>
        <v>0</v>
      </c>
      <c r="D16" s="96">
        <f t="shared" si="4"/>
        <v>0</v>
      </c>
      <c r="E16" s="96"/>
      <c r="F16" s="96">
        <v>0</v>
      </c>
      <c r="G16" s="131">
        <f t="shared" si="0"/>
        <v>0</v>
      </c>
      <c r="H16" s="97">
        <f t="shared" si="1"/>
        <v>0</v>
      </c>
      <c r="I16" s="131">
        <f t="shared" si="2"/>
        <v>0</v>
      </c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</row>
    <row r="17" spans="1:48" x14ac:dyDescent="0.25">
      <c r="A17" s="105">
        <f t="shared" si="3"/>
        <v>36557</v>
      </c>
      <c r="B17" s="96">
        <f t="shared" si="5"/>
        <v>0</v>
      </c>
      <c r="C17" s="96">
        <f t="shared" si="6"/>
        <v>0</v>
      </c>
      <c r="D17" s="96">
        <f t="shared" si="4"/>
        <v>0</v>
      </c>
      <c r="E17" s="96"/>
      <c r="F17" s="96">
        <v>0</v>
      </c>
      <c r="G17" s="131">
        <f t="shared" si="0"/>
        <v>0</v>
      </c>
      <c r="H17" s="97">
        <f t="shared" si="1"/>
        <v>0</v>
      </c>
      <c r="I17" s="131">
        <f t="shared" si="2"/>
        <v>0</v>
      </c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</row>
    <row r="18" spans="1:48" x14ac:dyDescent="0.25">
      <c r="A18" s="105">
        <f t="shared" si="3"/>
        <v>36586</v>
      </c>
      <c r="B18" s="96">
        <f t="shared" si="5"/>
        <v>0</v>
      </c>
      <c r="C18" s="96">
        <f t="shared" si="6"/>
        <v>0</v>
      </c>
      <c r="D18" s="96">
        <f t="shared" si="4"/>
        <v>0</v>
      </c>
      <c r="E18" s="96"/>
      <c r="F18" s="96">
        <v>0</v>
      </c>
      <c r="G18" s="131">
        <f t="shared" si="0"/>
        <v>0</v>
      </c>
      <c r="H18" s="97">
        <f t="shared" si="1"/>
        <v>0</v>
      </c>
      <c r="I18" s="131">
        <v>0</v>
      </c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</row>
    <row r="19" spans="1:48" x14ac:dyDescent="0.25">
      <c r="A19" s="105">
        <f t="shared" si="3"/>
        <v>36617</v>
      </c>
      <c r="B19" s="96">
        <f t="shared" si="5"/>
        <v>0</v>
      </c>
      <c r="C19" s="96">
        <f t="shared" si="6"/>
        <v>0</v>
      </c>
      <c r="D19" s="96">
        <f t="shared" si="4"/>
        <v>0</v>
      </c>
      <c r="E19" s="96"/>
      <c r="F19" s="96">
        <v>0</v>
      </c>
      <c r="G19" s="131">
        <f t="shared" si="0"/>
        <v>0</v>
      </c>
      <c r="H19" s="97">
        <f t="shared" si="1"/>
        <v>0</v>
      </c>
      <c r="I19" s="131">
        <v>0</v>
      </c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</row>
    <row r="20" spans="1:48" x14ac:dyDescent="0.25">
      <c r="A20" s="105">
        <f t="shared" si="3"/>
        <v>36647</v>
      </c>
      <c r="B20" s="96">
        <f t="shared" si="5"/>
        <v>64.627345136864705</v>
      </c>
      <c r="C20" s="96">
        <f t="shared" si="6"/>
        <v>2.2348048355472125E-3</v>
      </c>
      <c r="D20" s="96">
        <f t="shared" si="4"/>
        <v>0</v>
      </c>
      <c r="E20" s="96"/>
      <c r="F20" s="96">
        <f>VLOOKUP(A20,Digital!$W$7:$AB$20,6)</f>
        <v>74.609967541639875</v>
      </c>
      <c r="G20" s="131">
        <f>SUM(B20:D20)</f>
        <v>64.629579941700257</v>
      </c>
      <c r="H20" s="97">
        <f t="shared" si="1"/>
        <v>5660.2342218486629</v>
      </c>
      <c r="I20" s="131">
        <f t="shared" si="2"/>
        <v>5734.8464241951378</v>
      </c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</row>
    <row r="21" spans="1:48" x14ac:dyDescent="0.25">
      <c r="A21" s="105">
        <f t="shared" si="3"/>
        <v>36678</v>
      </c>
      <c r="B21" s="96">
        <f t="shared" si="5"/>
        <v>22.321443092552173</v>
      </c>
      <c r="C21" s="96">
        <f t="shared" si="6"/>
        <v>27.726450762573293</v>
      </c>
      <c r="D21" s="96">
        <f t="shared" si="4"/>
        <v>0</v>
      </c>
      <c r="E21" s="96"/>
      <c r="F21" s="96">
        <f>VLOOKUP(A21,Digital!$W$7:$AB$20,6)</f>
        <v>0</v>
      </c>
      <c r="G21" s="131">
        <f>SUM(B21:D21)</f>
        <v>50.047893855125466</v>
      </c>
      <c r="H21" s="97">
        <f t="shared" si="1"/>
        <v>10619.252078670397</v>
      </c>
      <c r="I21" s="131">
        <f t="shared" si="2"/>
        <v>10646.97852943297</v>
      </c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</row>
    <row r="22" spans="1:48" x14ac:dyDescent="0.25">
      <c r="A22" s="105">
        <f t="shared" si="3"/>
        <v>36708</v>
      </c>
      <c r="B22" s="96">
        <f t="shared" si="5"/>
        <v>-3.5459938615676521</v>
      </c>
      <c r="C22" s="96">
        <f t="shared" si="6"/>
        <v>0</v>
      </c>
      <c r="D22" s="96">
        <f t="shared" si="4"/>
        <v>0</v>
      </c>
      <c r="E22" s="96"/>
      <c r="F22" s="96">
        <f>VLOOKUP(A22,Digital!$W$7:$AB$20,6)</f>
        <v>0</v>
      </c>
      <c r="G22" s="131">
        <f t="shared" ref="G22:G59" si="7">SUM(B22:E22)</f>
        <v>-3.5459938615676521</v>
      </c>
      <c r="H22" s="97">
        <f t="shared" ref="H22:H59" si="8">VLOOKUP(A22,NymEq,2,FALSE)</f>
        <v>15298.038576124745</v>
      </c>
      <c r="I22" s="131">
        <f t="shared" si="2"/>
        <v>15298.038576124745</v>
      </c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</row>
    <row r="23" spans="1:48" x14ac:dyDescent="0.25">
      <c r="A23" s="105">
        <f t="shared" si="3"/>
        <v>36739</v>
      </c>
      <c r="B23" s="96">
        <f t="shared" si="5"/>
        <v>-9.0925574849046455</v>
      </c>
      <c r="C23" s="96">
        <f t="shared" si="6"/>
        <v>0</v>
      </c>
      <c r="D23" s="96">
        <f t="shared" si="4"/>
        <v>0</v>
      </c>
      <c r="E23" s="96"/>
      <c r="F23" s="96">
        <f>VLOOKUP(A23,Digital!$W$7:$AB$20,6)</f>
        <v>0</v>
      </c>
      <c r="G23" s="131">
        <f t="shared" si="7"/>
        <v>-9.0925574849046455</v>
      </c>
      <c r="H23" s="97">
        <f t="shared" si="8"/>
        <v>19402.470494688285</v>
      </c>
      <c r="I23" s="131">
        <f t="shared" si="2"/>
        <v>19402.470494688285</v>
      </c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</row>
    <row r="24" spans="1:48" x14ac:dyDescent="0.25">
      <c r="A24" s="105">
        <f t="shared" si="3"/>
        <v>36770</v>
      </c>
      <c r="B24" s="96">
        <f t="shared" si="5"/>
        <v>-1.3300994149168872</v>
      </c>
      <c r="C24" s="96">
        <f t="shared" si="6"/>
        <v>0</v>
      </c>
      <c r="D24" s="96">
        <f t="shared" si="4"/>
        <v>0</v>
      </c>
      <c r="E24" s="96"/>
      <c r="F24" s="96">
        <f>VLOOKUP(A24,Digital!$W$7:$AB$20,6)</f>
        <v>0</v>
      </c>
      <c r="G24" s="131">
        <f t="shared" si="7"/>
        <v>-1.3300994149168872</v>
      </c>
      <c r="H24" s="97">
        <f t="shared" si="8"/>
        <v>20452.046409520408</v>
      </c>
      <c r="I24" s="131">
        <f t="shared" si="2"/>
        <v>20452.046409520408</v>
      </c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</row>
    <row r="25" spans="1:48" x14ac:dyDescent="0.25">
      <c r="A25" s="105">
        <f t="shared" si="3"/>
        <v>36800</v>
      </c>
      <c r="B25" s="96">
        <f t="shared" si="5"/>
        <v>-10.390932059779189</v>
      </c>
      <c r="C25" s="96">
        <f t="shared" si="6"/>
        <v>0</v>
      </c>
      <c r="D25" s="96">
        <f t="shared" si="4"/>
        <v>0</v>
      </c>
      <c r="E25" s="96"/>
      <c r="F25" s="96">
        <f>VLOOKUP(A25,Digital!$W$7:$AB$20,6)</f>
        <v>0</v>
      </c>
      <c r="G25" s="131">
        <f t="shared" si="7"/>
        <v>-10.390932059779189</v>
      </c>
      <c r="H25" s="97">
        <f t="shared" si="8"/>
        <v>23984.468634248115</v>
      </c>
      <c r="I25" s="131">
        <f t="shared" si="2"/>
        <v>23984.468634248115</v>
      </c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</row>
    <row r="26" spans="1:48" x14ac:dyDescent="0.25">
      <c r="A26" s="105">
        <f t="shared" si="3"/>
        <v>36831</v>
      </c>
      <c r="B26" s="96">
        <f t="shared" si="5"/>
        <v>-46.736482910412171</v>
      </c>
      <c r="C26" s="96">
        <f t="shared" si="6"/>
        <v>0</v>
      </c>
      <c r="D26" s="96">
        <f t="shared" si="4"/>
        <v>0</v>
      </c>
      <c r="E26" s="96"/>
      <c r="F26" s="96">
        <f>VLOOKUP(A26,Digital!$W$7:$AB$20,6)</f>
        <v>0</v>
      </c>
      <c r="G26" s="131">
        <f t="shared" si="7"/>
        <v>-46.736482910412171</v>
      </c>
      <c r="H26" s="97">
        <f t="shared" si="8"/>
        <v>102964.51734218141</v>
      </c>
      <c r="I26" s="131">
        <f t="shared" si="2"/>
        <v>102964.51734218141</v>
      </c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</row>
    <row r="27" spans="1:48" x14ac:dyDescent="0.25">
      <c r="A27" s="105">
        <f t="shared" si="3"/>
        <v>36861</v>
      </c>
      <c r="B27" s="96">
        <f t="shared" si="5"/>
        <v>-44.193703135328562</v>
      </c>
      <c r="C27" s="96">
        <f t="shared" si="6"/>
        <v>0</v>
      </c>
      <c r="D27" s="96">
        <f t="shared" si="4"/>
        <v>0</v>
      </c>
      <c r="E27" s="96"/>
      <c r="F27" s="96">
        <f>VLOOKUP(A27,Digital!$W$7:$AB$20,6)</f>
        <v>0</v>
      </c>
      <c r="G27" s="131">
        <f t="shared" si="7"/>
        <v>-44.193703135328562</v>
      </c>
      <c r="H27" s="97">
        <f t="shared" si="8"/>
        <v>4307.2016207422275</v>
      </c>
      <c r="I27" s="131">
        <f t="shared" si="2"/>
        <v>4307.2016207422275</v>
      </c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</row>
    <row r="28" spans="1:48" x14ac:dyDescent="0.25">
      <c r="A28" s="105">
        <f t="shared" si="3"/>
        <v>36892</v>
      </c>
      <c r="B28" s="96">
        <f t="shared" si="5"/>
        <v>-44.887467411477289</v>
      </c>
      <c r="C28" s="96">
        <f t="shared" si="6"/>
        <v>0</v>
      </c>
      <c r="D28" s="96">
        <f t="shared" si="4"/>
        <v>0</v>
      </c>
      <c r="E28" s="96"/>
      <c r="F28" s="96">
        <f>VLOOKUP(A28,Digital!$W$7:$AB$20,6)</f>
        <v>0</v>
      </c>
      <c r="G28" s="131">
        <f t="shared" si="7"/>
        <v>-44.887467411477289</v>
      </c>
      <c r="H28" s="97">
        <f t="shared" si="8"/>
        <v>2676.1609258337776</v>
      </c>
      <c r="I28" s="131">
        <f t="shared" si="2"/>
        <v>2676.1609258337776</v>
      </c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</row>
    <row r="29" spans="1:48" x14ac:dyDescent="0.25">
      <c r="A29" s="105">
        <f t="shared" si="3"/>
        <v>36923</v>
      </c>
      <c r="B29" s="96">
        <f t="shared" si="5"/>
        <v>-46.489559468933606</v>
      </c>
      <c r="C29" s="96">
        <f t="shared" si="6"/>
        <v>0</v>
      </c>
      <c r="D29" s="96">
        <f t="shared" si="4"/>
        <v>0</v>
      </c>
      <c r="E29" s="96"/>
      <c r="F29" s="96">
        <f>VLOOKUP(A29,Digital!$W$7:$AB$20,6)</f>
        <v>0</v>
      </c>
      <c r="G29" s="131">
        <f t="shared" si="7"/>
        <v>-46.489559468933606</v>
      </c>
      <c r="H29" s="97">
        <f t="shared" si="8"/>
        <v>1918.8556681824339</v>
      </c>
      <c r="I29" s="131">
        <f t="shared" si="2"/>
        <v>1918.8556681824339</v>
      </c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</row>
    <row r="30" spans="1:48" x14ac:dyDescent="0.25">
      <c r="A30" s="105">
        <f t="shared" si="3"/>
        <v>36951</v>
      </c>
      <c r="B30" s="96">
        <f t="shared" si="5"/>
        <v>10.536703056892412</v>
      </c>
      <c r="C30" s="96">
        <f t="shared" si="6"/>
        <v>0</v>
      </c>
      <c r="D30" s="96">
        <f t="shared" si="4"/>
        <v>0</v>
      </c>
      <c r="E30" s="96"/>
      <c r="F30" s="96">
        <f>VLOOKUP(A30,Digital!$W$7:$AB$20,6)</f>
        <v>0</v>
      </c>
      <c r="G30" s="131">
        <f t="shared" si="7"/>
        <v>10.536703056892412</v>
      </c>
      <c r="H30" s="97">
        <f t="shared" si="8"/>
        <v>24777.819739108309</v>
      </c>
      <c r="I30" s="131">
        <f t="shared" si="2"/>
        <v>24777.819739108309</v>
      </c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</row>
    <row r="31" spans="1:48" x14ac:dyDescent="0.25">
      <c r="A31" s="105">
        <f t="shared" si="3"/>
        <v>36982</v>
      </c>
      <c r="B31" s="96">
        <f t="shared" si="5"/>
        <v>31.370265938994883</v>
      </c>
      <c r="C31" s="96">
        <f t="shared" si="6"/>
        <v>0</v>
      </c>
      <c r="D31" s="96">
        <f t="shared" si="4"/>
        <v>0</v>
      </c>
      <c r="E31" s="96"/>
      <c r="F31" s="96">
        <f>VLOOKUP(A31,Digital!$W$7:$AB$20,6)</f>
        <v>0</v>
      </c>
      <c r="G31" s="131">
        <f t="shared" si="7"/>
        <v>31.370265938994883</v>
      </c>
      <c r="H31" s="97">
        <f t="shared" si="8"/>
        <v>7709.770660074777</v>
      </c>
      <c r="I31" s="131">
        <f t="shared" si="2"/>
        <v>7709.770660074777</v>
      </c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</row>
    <row r="32" spans="1:48" x14ac:dyDescent="0.25">
      <c r="A32" s="105">
        <f t="shared" si="3"/>
        <v>37012</v>
      </c>
      <c r="B32" s="96">
        <f t="shared" si="5"/>
        <v>18.249843069092275</v>
      </c>
      <c r="C32" s="96">
        <f t="shared" si="6"/>
        <v>0</v>
      </c>
      <c r="D32" s="96">
        <f t="shared" si="4"/>
        <v>0</v>
      </c>
      <c r="E32" s="96"/>
      <c r="F32" s="96">
        <f>VLOOKUP(A32,Digital!$W$7:$AB$20,6)</f>
        <v>0</v>
      </c>
      <c r="G32" s="131">
        <f t="shared" si="7"/>
        <v>18.249843069092275</v>
      </c>
      <c r="H32" s="97">
        <f t="shared" si="8"/>
        <v>7445.2120027244091</v>
      </c>
      <c r="I32" s="131">
        <f t="shared" si="2"/>
        <v>7445.2120027244091</v>
      </c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</row>
    <row r="33" spans="1:48" x14ac:dyDescent="0.25">
      <c r="A33" s="105">
        <f t="shared" si="3"/>
        <v>37043</v>
      </c>
      <c r="B33" s="96">
        <f t="shared" si="5"/>
        <v>18.173912572114908</v>
      </c>
      <c r="C33" s="96">
        <f t="shared" si="6"/>
        <v>0</v>
      </c>
      <c r="D33" s="96">
        <f t="shared" si="4"/>
        <v>0</v>
      </c>
      <c r="E33" s="96"/>
      <c r="F33" s="96">
        <f>VLOOKUP(A33,Digital!$W$7:$AB$20,6)</f>
        <v>0</v>
      </c>
      <c r="G33" s="131">
        <f t="shared" si="7"/>
        <v>18.173912572114908</v>
      </c>
      <c r="H33" s="97">
        <f t="shared" si="8"/>
        <v>7495.2118483608065</v>
      </c>
      <c r="I33" s="131">
        <f t="shared" si="2"/>
        <v>7495.2118483608065</v>
      </c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</row>
    <row r="34" spans="1:48" x14ac:dyDescent="0.25">
      <c r="A34" s="105">
        <f t="shared" si="3"/>
        <v>37073</v>
      </c>
      <c r="B34" s="96">
        <f t="shared" si="5"/>
        <v>18.810474847317835</v>
      </c>
      <c r="C34" s="96">
        <f t="shared" si="6"/>
        <v>0</v>
      </c>
      <c r="D34" s="96">
        <f t="shared" si="4"/>
        <v>0</v>
      </c>
      <c r="E34" s="96"/>
      <c r="F34" s="96">
        <f>VLOOKUP(A34,Digital!$W$7:$AB$20,6)</f>
        <v>0</v>
      </c>
      <c r="G34" s="131">
        <f t="shared" si="7"/>
        <v>18.810474847317835</v>
      </c>
      <c r="H34" s="97">
        <f t="shared" si="8"/>
        <v>7726.9247668574972</v>
      </c>
      <c r="I34" s="131">
        <f t="shared" si="2"/>
        <v>7726.9247668574972</v>
      </c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</row>
    <row r="35" spans="1:48" x14ac:dyDescent="0.25">
      <c r="A35" s="105">
        <f t="shared" si="3"/>
        <v>37104</v>
      </c>
      <c r="B35" s="96">
        <f t="shared" si="5"/>
        <v>18.879636862810418</v>
      </c>
      <c r="C35" s="96">
        <f t="shared" si="6"/>
        <v>0</v>
      </c>
      <c r="D35" s="96">
        <f t="shared" si="4"/>
        <v>0</v>
      </c>
      <c r="E35" s="96"/>
      <c r="F35" s="96">
        <f>VLOOKUP(A35,Digital!$W$7:$AB$20,6)</f>
        <v>0</v>
      </c>
      <c r="G35" s="131">
        <f t="shared" si="7"/>
        <v>18.879636862810418</v>
      </c>
      <c r="H35" s="97">
        <f t="shared" si="8"/>
        <v>7975.1296652134624</v>
      </c>
      <c r="I35" s="131">
        <f t="shared" si="2"/>
        <v>7975.1296652134624</v>
      </c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</row>
    <row r="36" spans="1:48" x14ac:dyDescent="0.25">
      <c r="A36" s="105">
        <f t="shared" si="3"/>
        <v>37135</v>
      </c>
      <c r="B36" s="96">
        <f t="shared" si="5"/>
        <v>18.433358814922705</v>
      </c>
      <c r="C36" s="96">
        <f t="shared" si="6"/>
        <v>0</v>
      </c>
      <c r="D36" s="96">
        <f t="shared" si="4"/>
        <v>0</v>
      </c>
      <c r="E36" s="96"/>
      <c r="F36" s="96">
        <f>VLOOKUP(A36,Digital!$W$7:$AB$20,6)</f>
        <v>0</v>
      </c>
      <c r="G36" s="131">
        <f t="shared" si="7"/>
        <v>18.433358814922705</v>
      </c>
      <c r="H36" s="97">
        <f t="shared" si="8"/>
        <v>8223.4566574405471</v>
      </c>
      <c r="I36" s="131">
        <f t="shared" si="2"/>
        <v>8223.4566574405471</v>
      </c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</row>
    <row r="37" spans="1:48" x14ac:dyDescent="0.25">
      <c r="A37" s="105">
        <f t="shared" si="3"/>
        <v>37165</v>
      </c>
      <c r="B37" s="96">
        <f t="shared" si="5"/>
        <v>18.856479409615446</v>
      </c>
      <c r="C37" s="96">
        <f t="shared" si="6"/>
        <v>0</v>
      </c>
      <c r="D37" s="96">
        <f t="shared" si="4"/>
        <v>0</v>
      </c>
      <c r="E37" s="96"/>
      <c r="F37" s="96">
        <f>VLOOKUP(A37,Digital!$W$7:$AB$20,6)</f>
        <v>0</v>
      </c>
      <c r="G37" s="131">
        <f t="shared" si="7"/>
        <v>18.856479409615446</v>
      </c>
      <c r="H37" s="97">
        <f t="shared" si="8"/>
        <v>8642.7646549299534</v>
      </c>
      <c r="I37" s="131">
        <f t="shared" si="2"/>
        <v>8642.7646549299534</v>
      </c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</row>
    <row r="38" spans="1:48" x14ac:dyDescent="0.25">
      <c r="A38" s="105">
        <f t="shared" si="3"/>
        <v>37196</v>
      </c>
      <c r="B38" s="96">
        <f t="shared" si="5"/>
        <v>-33.069356640802944</v>
      </c>
      <c r="C38" s="96">
        <f t="shared" si="6"/>
        <v>0</v>
      </c>
      <c r="D38" s="96">
        <f t="shared" si="4"/>
        <v>0</v>
      </c>
      <c r="E38" s="96"/>
      <c r="F38" s="96">
        <f>VLOOKUP(A38,Digital!$W$7:$AB$20,6)</f>
        <v>0</v>
      </c>
      <c r="G38" s="131">
        <f t="shared" si="7"/>
        <v>-33.069356640802944</v>
      </c>
      <c r="H38" s="97">
        <f t="shared" si="8"/>
        <v>-32425.436980491038</v>
      </c>
      <c r="I38" s="131">
        <f t="shared" si="2"/>
        <v>-32425.436980491038</v>
      </c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</row>
    <row r="39" spans="1:48" x14ac:dyDescent="0.25">
      <c r="A39" s="105">
        <f t="shared" si="3"/>
        <v>37226</v>
      </c>
      <c r="B39" s="96">
        <f t="shared" si="5"/>
        <v>-61.847156898804997</v>
      </c>
      <c r="C39" s="96">
        <f t="shared" si="6"/>
        <v>0</v>
      </c>
      <c r="D39" s="96">
        <f t="shared" si="4"/>
        <v>0</v>
      </c>
      <c r="E39" s="96"/>
      <c r="F39" s="96">
        <f>VLOOKUP(A39,Digital!$W$7:$AB$20,6)</f>
        <v>0</v>
      </c>
      <c r="G39" s="131">
        <f t="shared" si="7"/>
        <v>-61.847156898804997</v>
      </c>
      <c r="H39" s="97">
        <f t="shared" si="8"/>
        <v>-32090.453659785679</v>
      </c>
      <c r="I39" s="131">
        <f t="shared" si="2"/>
        <v>-32090.453659785679</v>
      </c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</row>
    <row r="40" spans="1:48" x14ac:dyDescent="0.25">
      <c r="A40" s="105">
        <f t="shared" si="3"/>
        <v>37257</v>
      </c>
      <c r="B40" s="96">
        <f t="shared" si="5"/>
        <v>-74.20039726557259</v>
      </c>
      <c r="C40" s="96">
        <f t="shared" si="6"/>
        <v>0</v>
      </c>
      <c r="D40" s="96">
        <f t="shared" si="4"/>
        <v>0</v>
      </c>
      <c r="E40" s="96"/>
      <c r="F40" s="96">
        <f>VLOOKUP(A40,Digital!$W$7:$AB$20,6)</f>
        <v>0</v>
      </c>
      <c r="G40" s="131">
        <f t="shared" si="7"/>
        <v>-74.20039726557259</v>
      </c>
      <c r="H40" s="97">
        <f t="shared" si="8"/>
        <v>-18788.785577043658</v>
      </c>
      <c r="I40" s="131">
        <f t="shared" si="2"/>
        <v>-18788.785577043658</v>
      </c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</row>
    <row r="41" spans="1:48" x14ac:dyDescent="0.25">
      <c r="A41" s="105">
        <f t="shared" si="3"/>
        <v>37288</v>
      </c>
      <c r="B41" s="96">
        <f t="shared" si="5"/>
        <v>-69.949453860410529</v>
      </c>
      <c r="C41" s="96">
        <f t="shared" si="6"/>
        <v>0</v>
      </c>
      <c r="D41" s="96">
        <f t="shared" si="4"/>
        <v>0</v>
      </c>
      <c r="E41" s="96"/>
      <c r="F41" s="96">
        <f>VLOOKUP(A41,Digital!$W$7:$AB$20,6)</f>
        <v>0</v>
      </c>
      <c r="G41" s="131">
        <f t="shared" si="7"/>
        <v>-69.949453860410529</v>
      </c>
      <c r="H41" s="97">
        <f t="shared" si="8"/>
        <v>-26653.724092039163</v>
      </c>
      <c r="I41" s="131">
        <f t="shared" si="2"/>
        <v>-26653.724092039163</v>
      </c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</row>
    <row r="42" spans="1:48" x14ac:dyDescent="0.25">
      <c r="A42" s="105">
        <f t="shared" si="3"/>
        <v>37316</v>
      </c>
      <c r="B42" s="96">
        <f t="shared" si="5"/>
        <v>-42.831048513143145</v>
      </c>
      <c r="C42" s="96">
        <f t="shared" si="6"/>
        <v>0</v>
      </c>
      <c r="D42" s="96">
        <f t="shared" si="4"/>
        <v>0</v>
      </c>
      <c r="E42" s="96"/>
      <c r="F42" s="96">
        <f>VLOOKUP(A42,Digital!$W$7:$AB$20,6)</f>
        <v>0</v>
      </c>
      <c r="G42" s="131">
        <f t="shared" si="7"/>
        <v>-42.831048513143145</v>
      </c>
      <c r="H42" s="97">
        <f t="shared" si="8"/>
        <v>-33947.75341224781</v>
      </c>
      <c r="I42" s="131">
        <f t="shared" si="2"/>
        <v>-33947.75341224781</v>
      </c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</row>
    <row r="43" spans="1:48" x14ac:dyDescent="0.25">
      <c r="A43" s="105">
        <f t="shared" si="3"/>
        <v>37347</v>
      </c>
      <c r="B43" s="96">
        <f t="shared" si="5"/>
        <v>0</v>
      </c>
      <c r="C43" s="96">
        <f t="shared" si="6"/>
        <v>0</v>
      </c>
      <c r="D43" s="96">
        <f t="shared" si="4"/>
        <v>0</v>
      </c>
      <c r="E43" s="96"/>
      <c r="F43" s="96">
        <f>VLOOKUP(A43,Digital!$W$7:$AB$20,6)</f>
        <v>0</v>
      </c>
      <c r="G43" s="131">
        <f t="shared" si="7"/>
        <v>0</v>
      </c>
      <c r="H43" s="97">
        <f t="shared" si="8"/>
        <v>0</v>
      </c>
      <c r="I43" s="131">
        <f t="shared" si="2"/>
        <v>0</v>
      </c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</row>
    <row r="44" spans="1:48" x14ac:dyDescent="0.25">
      <c r="A44" s="105">
        <f t="shared" si="3"/>
        <v>37377</v>
      </c>
      <c r="B44" s="96">
        <f t="shared" si="5"/>
        <v>0</v>
      </c>
      <c r="C44" s="96">
        <f t="shared" si="6"/>
        <v>0</v>
      </c>
      <c r="D44" s="96">
        <f t="shared" si="4"/>
        <v>0</v>
      </c>
      <c r="E44" s="96"/>
      <c r="F44" s="96">
        <f>VLOOKUP(A44,Digital!$W$7:$AB$20,6)</f>
        <v>0</v>
      </c>
      <c r="G44" s="131">
        <f t="shared" si="7"/>
        <v>0</v>
      </c>
      <c r="H44" s="97">
        <f t="shared" si="8"/>
        <v>0</v>
      </c>
      <c r="I44" s="131">
        <f t="shared" si="2"/>
        <v>0</v>
      </c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</row>
    <row r="45" spans="1:48" x14ac:dyDescent="0.25">
      <c r="A45" s="105">
        <f t="shared" si="3"/>
        <v>37408</v>
      </c>
      <c r="B45" s="96">
        <f t="shared" si="5"/>
        <v>0</v>
      </c>
      <c r="C45" s="96">
        <f t="shared" si="6"/>
        <v>0</v>
      </c>
      <c r="D45" s="96">
        <f t="shared" si="4"/>
        <v>0</v>
      </c>
      <c r="E45" s="96"/>
      <c r="F45" s="96">
        <f>VLOOKUP(A45,Digital!$W$7:$AB$20,6)</f>
        <v>0</v>
      </c>
      <c r="G45" s="131">
        <f t="shared" si="7"/>
        <v>0</v>
      </c>
      <c r="H45" s="97">
        <f t="shared" si="8"/>
        <v>0</v>
      </c>
      <c r="I45" s="131">
        <f t="shared" si="2"/>
        <v>0</v>
      </c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</row>
    <row r="46" spans="1:48" x14ac:dyDescent="0.25">
      <c r="A46" s="105">
        <f t="shared" si="3"/>
        <v>37438</v>
      </c>
      <c r="B46" s="96">
        <f t="shared" si="5"/>
        <v>0</v>
      </c>
      <c r="C46" s="96">
        <f t="shared" si="6"/>
        <v>0</v>
      </c>
      <c r="D46" s="96">
        <f t="shared" si="4"/>
        <v>0</v>
      </c>
      <c r="E46" s="96"/>
      <c r="F46" s="96">
        <f>VLOOKUP(A46,Digital!$W$7:$AB$20,6)</f>
        <v>0</v>
      </c>
      <c r="G46" s="131">
        <f t="shared" si="7"/>
        <v>0</v>
      </c>
      <c r="H46" s="97">
        <f t="shared" si="8"/>
        <v>0</v>
      </c>
      <c r="I46" s="131">
        <f t="shared" si="2"/>
        <v>0</v>
      </c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</row>
    <row r="47" spans="1:48" x14ac:dyDescent="0.25">
      <c r="A47" s="105">
        <f t="shared" si="3"/>
        <v>37469</v>
      </c>
      <c r="B47" s="96">
        <f t="shared" si="5"/>
        <v>0</v>
      </c>
      <c r="C47" s="96">
        <f t="shared" si="6"/>
        <v>0</v>
      </c>
      <c r="D47" s="96">
        <f t="shared" si="4"/>
        <v>0</v>
      </c>
      <c r="E47" s="96"/>
      <c r="F47" s="96">
        <f>VLOOKUP(A47,Digital!$W$7:$AB$20,6)</f>
        <v>0</v>
      </c>
      <c r="G47" s="131">
        <f t="shared" si="7"/>
        <v>0</v>
      </c>
      <c r="H47" s="97">
        <f t="shared" si="8"/>
        <v>0</v>
      </c>
      <c r="I47" s="131">
        <f t="shared" si="2"/>
        <v>0</v>
      </c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</row>
    <row r="48" spans="1:48" x14ac:dyDescent="0.25">
      <c r="A48" s="105">
        <f t="shared" si="3"/>
        <v>37500</v>
      </c>
      <c r="B48" s="96">
        <f t="shared" si="5"/>
        <v>0</v>
      </c>
      <c r="C48" s="96">
        <f t="shared" si="6"/>
        <v>0</v>
      </c>
      <c r="D48" s="96">
        <f t="shared" si="4"/>
        <v>0</v>
      </c>
      <c r="E48" s="96"/>
      <c r="F48" s="96">
        <f>VLOOKUP(A48,Digital!$W$7:$AB$20,6)</f>
        <v>0</v>
      </c>
      <c r="G48" s="131">
        <f t="shared" si="7"/>
        <v>0</v>
      </c>
      <c r="H48" s="97">
        <f t="shared" si="8"/>
        <v>0</v>
      </c>
      <c r="I48" s="131">
        <f t="shared" si="2"/>
        <v>0</v>
      </c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</row>
    <row r="49" spans="1:48" x14ac:dyDescent="0.25">
      <c r="A49" s="105">
        <f t="shared" si="3"/>
        <v>37530</v>
      </c>
      <c r="B49" s="96">
        <f t="shared" si="5"/>
        <v>0</v>
      </c>
      <c r="C49" s="96">
        <f t="shared" si="6"/>
        <v>0</v>
      </c>
      <c r="D49" s="96">
        <f t="shared" si="4"/>
        <v>0</v>
      </c>
      <c r="E49" s="96"/>
      <c r="F49" s="96">
        <f>VLOOKUP(A49,Digital!$W$7:$AB$20,6)</f>
        <v>0</v>
      </c>
      <c r="G49" s="131">
        <f t="shared" si="7"/>
        <v>0</v>
      </c>
      <c r="H49" s="97">
        <f t="shared" si="8"/>
        <v>0</v>
      </c>
      <c r="I49" s="131">
        <f t="shared" si="2"/>
        <v>0</v>
      </c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</row>
    <row r="50" spans="1:48" x14ac:dyDescent="0.25">
      <c r="A50" s="105">
        <f t="shared" si="3"/>
        <v>37561</v>
      </c>
      <c r="B50" s="96">
        <f t="shared" si="5"/>
        <v>0</v>
      </c>
      <c r="C50" s="96">
        <f t="shared" si="6"/>
        <v>0</v>
      </c>
      <c r="D50" s="96">
        <f t="shared" si="4"/>
        <v>0</v>
      </c>
      <c r="E50" s="96"/>
      <c r="F50" s="96">
        <f>VLOOKUP(A50,Digital!$W$7:$AB$20,6)</f>
        <v>0</v>
      </c>
      <c r="G50" s="131">
        <f t="shared" si="7"/>
        <v>0</v>
      </c>
      <c r="H50" s="97">
        <f t="shared" si="8"/>
        <v>0</v>
      </c>
      <c r="I50" s="131">
        <f t="shared" si="2"/>
        <v>0</v>
      </c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</row>
    <row r="51" spans="1:48" x14ac:dyDescent="0.25">
      <c r="A51" s="105">
        <f t="shared" si="3"/>
        <v>37591</v>
      </c>
      <c r="B51" s="96">
        <f t="shared" si="5"/>
        <v>0</v>
      </c>
      <c r="C51" s="96">
        <f t="shared" si="6"/>
        <v>0</v>
      </c>
      <c r="D51" s="96">
        <f t="shared" si="4"/>
        <v>0</v>
      </c>
      <c r="E51" s="96"/>
      <c r="F51" s="96">
        <f>VLOOKUP(A51,Digital!$W$7:$AB$20,6)</f>
        <v>0</v>
      </c>
      <c r="G51" s="131">
        <f t="shared" si="7"/>
        <v>0</v>
      </c>
      <c r="H51" s="97">
        <f t="shared" si="8"/>
        <v>0</v>
      </c>
      <c r="I51" s="131">
        <f t="shared" si="2"/>
        <v>0</v>
      </c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</row>
    <row r="52" spans="1:48" x14ac:dyDescent="0.25">
      <c r="A52" s="105">
        <f t="shared" si="3"/>
        <v>37622</v>
      </c>
      <c r="B52" s="96">
        <f t="shared" si="5"/>
        <v>0</v>
      </c>
      <c r="C52" s="96">
        <f t="shared" si="6"/>
        <v>0</v>
      </c>
      <c r="D52" s="96">
        <f t="shared" si="4"/>
        <v>0</v>
      </c>
      <c r="E52" s="103"/>
      <c r="F52" s="103"/>
      <c r="G52" s="131">
        <f t="shared" si="7"/>
        <v>0</v>
      </c>
      <c r="H52" s="97">
        <f t="shared" si="8"/>
        <v>0</v>
      </c>
      <c r="I52" s="131">
        <f t="shared" si="2"/>
        <v>0</v>
      </c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</row>
    <row r="53" spans="1:48" x14ac:dyDescent="0.25">
      <c r="A53" s="105">
        <f t="shared" si="3"/>
        <v>37653</v>
      </c>
      <c r="B53" s="96">
        <f t="shared" si="5"/>
        <v>0</v>
      </c>
      <c r="C53" s="96">
        <f t="shared" si="6"/>
        <v>0</v>
      </c>
      <c r="D53" s="96">
        <f t="shared" si="4"/>
        <v>0</v>
      </c>
      <c r="E53" s="103"/>
      <c r="F53" s="103"/>
      <c r="G53" s="131">
        <f t="shared" si="7"/>
        <v>0</v>
      </c>
      <c r="H53" s="97">
        <f t="shared" si="8"/>
        <v>0</v>
      </c>
      <c r="I53" s="131">
        <f t="shared" si="2"/>
        <v>0</v>
      </c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</row>
    <row r="54" spans="1:48" x14ac:dyDescent="0.25">
      <c r="A54" s="105">
        <f t="shared" si="3"/>
        <v>37681</v>
      </c>
      <c r="B54" s="96">
        <f t="shared" si="5"/>
        <v>0</v>
      </c>
      <c r="C54" s="96">
        <f t="shared" si="6"/>
        <v>0</v>
      </c>
      <c r="D54" s="96">
        <f t="shared" si="4"/>
        <v>0</v>
      </c>
      <c r="E54" s="103"/>
      <c r="F54" s="103"/>
      <c r="G54" s="131">
        <f t="shared" si="7"/>
        <v>0</v>
      </c>
      <c r="H54" s="97">
        <f t="shared" si="8"/>
        <v>0</v>
      </c>
      <c r="I54" s="131">
        <f t="shared" si="2"/>
        <v>0</v>
      </c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</row>
    <row r="55" spans="1:48" x14ac:dyDescent="0.25">
      <c r="A55" s="105">
        <f t="shared" si="3"/>
        <v>37712</v>
      </c>
      <c r="B55" s="96">
        <f t="shared" si="5"/>
        <v>0</v>
      </c>
      <c r="C55" s="96">
        <f t="shared" si="6"/>
        <v>0</v>
      </c>
      <c r="D55" s="96">
        <f t="shared" si="4"/>
        <v>0</v>
      </c>
      <c r="E55" s="103"/>
      <c r="F55" s="103"/>
      <c r="G55" s="131">
        <f t="shared" si="7"/>
        <v>0</v>
      </c>
      <c r="H55" s="97">
        <f t="shared" si="8"/>
        <v>0</v>
      </c>
      <c r="I55" s="131">
        <f t="shared" si="2"/>
        <v>0</v>
      </c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</row>
    <row r="56" spans="1:48" x14ac:dyDescent="0.25">
      <c r="A56" s="105">
        <f t="shared" si="3"/>
        <v>37742</v>
      </c>
      <c r="B56" s="96">
        <f t="shared" si="5"/>
        <v>0</v>
      </c>
      <c r="C56" s="96">
        <f t="shared" si="6"/>
        <v>0</v>
      </c>
      <c r="D56" s="96">
        <f t="shared" si="4"/>
        <v>0</v>
      </c>
      <c r="E56" s="103"/>
      <c r="F56" s="103"/>
      <c r="G56" s="131">
        <f t="shared" si="7"/>
        <v>0</v>
      </c>
      <c r="H56" s="97">
        <f t="shared" si="8"/>
        <v>0</v>
      </c>
      <c r="I56" s="131">
        <f t="shared" si="2"/>
        <v>0</v>
      </c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</row>
    <row r="57" spans="1:48" x14ac:dyDescent="0.25">
      <c r="A57" s="105">
        <f t="shared" si="3"/>
        <v>37773</v>
      </c>
      <c r="B57" s="96">
        <f t="shared" si="5"/>
        <v>0</v>
      </c>
      <c r="C57" s="96">
        <f t="shared" si="6"/>
        <v>0</v>
      </c>
      <c r="D57" s="96">
        <f t="shared" si="4"/>
        <v>0</v>
      </c>
      <c r="E57" s="103"/>
      <c r="F57" s="103"/>
      <c r="G57" s="131">
        <f t="shared" si="7"/>
        <v>0</v>
      </c>
      <c r="H57" s="97">
        <f t="shared" si="8"/>
        <v>0</v>
      </c>
      <c r="I57" s="131">
        <f t="shared" si="2"/>
        <v>0</v>
      </c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</row>
    <row r="58" spans="1:48" x14ac:dyDescent="0.25">
      <c r="A58" s="105">
        <f t="shared" si="3"/>
        <v>37803</v>
      </c>
      <c r="B58" s="96">
        <f t="shared" si="5"/>
        <v>0</v>
      </c>
      <c r="C58" s="96">
        <f t="shared" si="6"/>
        <v>0</v>
      </c>
      <c r="D58" s="96">
        <f t="shared" si="4"/>
        <v>0</v>
      </c>
      <c r="E58" s="103"/>
      <c r="F58" s="103"/>
      <c r="G58" s="131">
        <f t="shared" si="7"/>
        <v>0</v>
      </c>
      <c r="H58" s="97">
        <f t="shared" si="8"/>
        <v>0</v>
      </c>
      <c r="I58" s="131">
        <f t="shared" si="2"/>
        <v>0</v>
      </c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</row>
    <row r="59" spans="1:48" ht="13.8" thickBot="1" x14ac:dyDescent="0.3">
      <c r="A59" s="106">
        <f t="shared" si="3"/>
        <v>37834</v>
      </c>
      <c r="B59" s="98">
        <f t="shared" si="5"/>
        <v>0</v>
      </c>
      <c r="C59" s="98">
        <f t="shared" si="6"/>
        <v>0</v>
      </c>
      <c r="D59" s="98">
        <f t="shared" si="4"/>
        <v>0</v>
      </c>
      <c r="E59" s="103"/>
      <c r="F59" s="103"/>
      <c r="G59" s="131">
        <f t="shared" si="7"/>
        <v>0</v>
      </c>
      <c r="H59" s="99">
        <f t="shared" si="8"/>
        <v>0</v>
      </c>
      <c r="I59" s="131">
        <f t="shared" si="2"/>
        <v>0</v>
      </c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</row>
    <row r="60" spans="1:48" x14ac:dyDescent="0.25">
      <c r="A60" s="102"/>
      <c r="B60" s="103"/>
      <c r="C60" s="103"/>
      <c r="D60" s="103"/>
      <c r="E60" s="103"/>
      <c r="F60" s="103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</row>
    <row r="61" spans="1:48" x14ac:dyDescent="0.25">
      <c r="A61" s="102"/>
      <c r="B61" s="103"/>
      <c r="C61" s="103"/>
      <c r="D61" s="103"/>
      <c r="E61" s="103"/>
      <c r="F61" s="103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</row>
    <row r="62" spans="1:48" x14ac:dyDescent="0.25">
      <c r="A62" s="102"/>
      <c r="B62" s="103"/>
      <c r="C62" s="103"/>
      <c r="D62" s="103"/>
      <c r="E62" s="103"/>
      <c r="F62" s="103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</row>
    <row r="63" spans="1:48" x14ac:dyDescent="0.25">
      <c r="A63" s="102"/>
      <c r="B63" s="103"/>
      <c r="C63" s="103"/>
      <c r="D63" s="103"/>
      <c r="E63" s="103"/>
      <c r="F63" s="103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</row>
    <row r="64" spans="1:48" x14ac:dyDescent="0.25">
      <c r="A64" s="102"/>
      <c r="B64" s="103"/>
      <c r="C64" s="103"/>
      <c r="D64" s="103"/>
      <c r="E64" s="103"/>
      <c r="F64" s="103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</row>
    <row r="65" spans="1:47" x14ac:dyDescent="0.25">
      <c r="A65" s="102"/>
      <c r="B65" s="103"/>
      <c r="C65" s="103"/>
      <c r="D65" s="103"/>
      <c r="E65" s="103"/>
      <c r="F65" s="103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</row>
    <row r="66" spans="1:47" x14ac:dyDescent="0.25">
      <c r="A66" s="102"/>
      <c r="B66" s="103"/>
      <c r="C66" s="103"/>
      <c r="D66" s="103"/>
      <c r="E66" s="103"/>
      <c r="F66" s="103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</row>
    <row r="67" spans="1:47" x14ac:dyDescent="0.25">
      <c r="A67" s="102"/>
      <c r="B67" s="103"/>
      <c r="C67" s="103"/>
      <c r="D67" s="103"/>
      <c r="E67" s="103"/>
      <c r="F67" s="103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</row>
    <row r="68" spans="1:47" x14ac:dyDescent="0.25">
      <c r="A68" s="102"/>
      <c r="B68" s="103"/>
      <c r="C68" s="103"/>
      <c r="D68" s="103"/>
      <c r="E68" s="103"/>
      <c r="F68" s="103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</row>
    <row r="69" spans="1:47" x14ac:dyDescent="0.25">
      <c r="A69" s="102"/>
      <c r="B69" s="103"/>
      <c r="C69" s="103"/>
      <c r="D69" s="103"/>
      <c r="E69" s="103"/>
      <c r="F69" s="103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</row>
    <row r="70" spans="1:47" x14ac:dyDescent="0.25">
      <c r="A70" s="102"/>
      <c r="B70" s="103"/>
      <c r="C70" s="103"/>
      <c r="D70" s="103"/>
      <c r="E70" s="103"/>
      <c r="F70" s="103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</row>
    <row r="71" spans="1:47" x14ac:dyDescent="0.25">
      <c r="A71" s="102"/>
      <c r="B71" s="103"/>
      <c r="C71" s="103"/>
      <c r="D71" s="103"/>
      <c r="E71" s="103"/>
      <c r="F71" s="103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</row>
    <row r="72" spans="1:47" x14ac:dyDescent="0.25">
      <c r="A72" s="102"/>
      <c r="B72" s="103"/>
      <c r="C72" s="103"/>
      <c r="D72" s="103"/>
      <c r="E72" s="103"/>
      <c r="F72" s="103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</row>
    <row r="73" spans="1:47" x14ac:dyDescent="0.25">
      <c r="A73" s="102"/>
      <c r="B73" s="103"/>
      <c r="C73" s="103"/>
      <c r="D73" s="103"/>
      <c r="E73" s="103"/>
      <c r="F73" s="103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</row>
    <row r="74" spans="1:47" x14ac:dyDescent="0.25">
      <c r="A74" s="102"/>
      <c r="B74" s="103"/>
      <c r="C74" s="103"/>
      <c r="D74" s="103"/>
      <c r="E74" s="103"/>
      <c r="F74" s="103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</row>
    <row r="75" spans="1:47" x14ac:dyDescent="0.25">
      <c r="A75" s="102"/>
      <c r="B75" s="103"/>
      <c r="C75" s="103"/>
      <c r="D75" s="103"/>
      <c r="E75" s="103"/>
      <c r="F75" s="103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</row>
    <row r="76" spans="1:47" x14ac:dyDescent="0.25">
      <c r="A76" s="102"/>
      <c r="B76" s="103"/>
      <c r="C76" s="103"/>
      <c r="D76" s="103"/>
      <c r="E76" s="103"/>
      <c r="F76" s="103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</row>
    <row r="77" spans="1:47" x14ac:dyDescent="0.25">
      <c r="A77" s="102"/>
      <c r="B77" s="103"/>
      <c r="C77" s="103"/>
      <c r="D77" s="103"/>
      <c r="E77" s="103"/>
      <c r="F77" s="103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</row>
    <row r="78" spans="1:47" x14ac:dyDescent="0.25">
      <c r="A78" s="102"/>
      <c r="B78" s="103"/>
      <c r="C78" s="103"/>
      <c r="D78" s="103"/>
      <c r="E78" s="103"/>
      <c r="F78" s="103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</row>
    <row r="79" spans="1:47" x14ac:dyDescent="0.25">
      <c r="A79" s="102"/>
      <c r="B79" s="103"/>
      <c r="C79" s="103"/>
      <c r="D79" s="103"/>
      <c r="E79" s="103"/>
      <c r="F79" s="103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</row>
    <row r="80" spans="1:47" x14ac:dyDescent="0.25">
      <c r="A80" s="102"/>
      <c r="B80" s="103"/>
      <c r="C80" s="103"/>
      <c r="D80" s="103"/>
      <c r="E80" s="103"/>
      <c r="F80" s="103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</row>
    <row r="81" spans="1:47" x14ac:dyDescent="0.25">
      <c r="A81" s="102"/>
      <c r="B81" s="103"/>
      <c r="C81" s="103"/>
      <c r="D81" s="103"/>
      <c r="E81" s="103"/>
      <c r="F81" s="103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</row>
    <row r="82" spans="1:47" x14ac:dyDescent="0.25">
      <c r="A82" s="102"/>
      <c r="B82" s="103"/>
      <c r="C82" s="103"/>
      <c r="D82" s="103"/>
      <c r="E82" s="103"/>
      <c r="F82" s="103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</row>
    <row r="83" spans="1:47" x14ac:dyDescent="0.25">
      <c r="A83" s="102"/>
      <c r="B83" s="103"/>
      <c r="C83" s="103"/>
      <c r="D83" s="103"/>
      <c r="E83" s="103"/>
      <c r="F83" s="103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</row>
    <row r="84" spans="1:47" x14ac:dyDescent="0.25">
      <c r="A84" s="102"/>
      <c r="B84" s="103"/>
      <c r="C84" s="103"/>
      <c r="D84" s="103"/>
      <c r="E84" s="103"/>
      <c r="F84" s="103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</row>
    <row r="85" spans="1:47" x14ac:dyDescent="0.25">
      <c r="A85" s="102"/>
      <c r="B85" s="103"/>
      <c r="C85" s="103"/>
      <c r="D85" s="103"/>
      <c r="E85" s="103"/>
      <c r="F85" s="103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</row>
    <row r="86" spans="1:47" x14ac:dyDescent="0.25">
      <c r="A86" s="102"/>
      <c r="B86" s="103"/>
      <c r="C86" s="103"/>
      <c r="D86" s="103"/>
      <c r="E86" s="103"/>
      <c r="F86" s="103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</row>
    <row r="87" spans="1:47" x14ac:dyDescent="0.25">
      <c r="A87" s="102"/>
      <c r="B87" s="103"/>
      <c r="C87" s="103"/>
      <c r="D87" s="103"/>
      <c r="E87" s="103"/>
      <c r="F87" s="103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</row>
    <row r="88" spans="1:47" x14ac:dyDescent="0.25">
      <c r="A88" s="102"/>
      <c r="B88" s="103"/>
      <c r="C88" s="103"/>
      <c r="D88" s="103"/>
      <c r="E88" s="103"/>
      <c r="F88" s="103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</row>
    <row r="89" spans="1:47" x14ac:dyDescent="0.25">
      <c r="A89" s="102"/>
      <c r="B89" s="103"/>
      <c r="C89" s="103"/>
      <c r="D89" s="103"/>
      <c r="E89" s="103"/>
      <c r="F89" s="103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</row>
    <row r="90" spans="1:47" x14ac:dyDescent="0.25">
      <c r="A90" s="102"/>
      <c r="B90" s="103"/>
      <c r="C90" s="103"/>
      <c r="D90" s="103"/>
      <c r="E90" s="103"/>
      <c r="F90" s="103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</row>
    <row r="91" spans="1:47" x14ac:dyDescent="0.25">
      <c r="A91" s="102"/>
      <c r="B91" s="103"/>
      <c r="C91" s="103"/>
      <c r="D91" s="103"/>
      <c r="E91" s="103"/>
      <c r="F91" s="103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</row>
    <row r="92" spans="1:47" x14ac:dyDescent="0.25">
      <c r="A92" s="102"/>
      <c r="B92" s="103"/>
      <c r="C92" s="103"/>
      <c r="D92" s="103"/>
      <c r="E92" s="103"/>
      <c r="F92" s="103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</row>
    <row r="93" spans="1:47" x14ac:dyDescent="0.25">
      <c r="A93" s="102"/>
      <c r="B93" s="103"/>
      <c r="C93" s="103"/>
      <c r="D93" s="103"/>
      <c r="E93" s="103"/>
      <c r="F93" s="103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</row>
    <row r="94" spans="1:47" x14ac:dyDescent="0.25">
      <c r="A94" s="102"/>
      <c r="B94" s="103"/>
      <c r="C94" s="103"/>
      <c r="D94" s="103"/>
      <c r="E94" s="103"/>
      <c r="F94" s="103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</row>
    <row r="95" spans="1:47" x14ac:dyDescent="0.25">
      <c r="A95" s="102"/>
      <c r="B95" s="103"/>
      <c r="C95" s="103"/>
      <c r="D95" s="103"/>
      <c r="E95" s="103"/>
      <c r="F95" s="103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</row>
    <row r="96" spans="1:47" x14ac:dyDescent="0.25">
      <c r="A96" s="102"/>
      <c r="B96" s="103"/>
      <c r="C96" s="103"/>
      <c r="D96" s="103"/>
      <c r="E96" s="103"/>
      <c r="F96" s="103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</row>
    <row r="97" spans="1:47" x14ac:dyDescent="0.25">
      <c r="A97" s="102"/>
      <c r="B97" s="103"/>
      <c r="C97" s="103"/>
      <c r="D97" s="103"/>
      <c r="E97" s="103"/>
      <c r="F97" s="103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</row>
    <row r="98" spans="1:47" x14ac:dyDescent="0.25">
      <c r="A98" s="102"/>
      <c r="B98" s="103"/>
      <c r="C98" s="103"/>
      <c r="D98" s="103"/>
      <c r="E98" s="103"/>
      <c r="F98" s="103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</row>
    <row r="99" spans="1:47" x14ac:dyDescent="0.25">
      <c r="A99" s="102"/>
      <c r="B99" s="103"/>
      <c r="C99" s="103"/>
      <c r="D99" s="103"/>
      <c r="E99" s="103"/>
      <c r="F99" s="103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</row>
    <row r="100" spans="1:47" x14ac:dyDescent="0.25">
      <c r="A100" s="102"/>
      <c r="B100" s="103"/>
      <c r="C100" s="103"/>
      <c r="D100" s="103"/>
      <c r="E100" s="103"/>
      <c r="F100" s="103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</row>
    <row r="101" spans="1:47" x14ac:dyDescent="0.25">
      <c r="A101" s="102"/>
      <c r="B101" s="103"/>
      <c r="C101" s="103"/>
      <c r="D101" s="103"/>
      <c r="E101" s="103"/>
      <c r="F101" s="103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</row>
    <row r="102" spans="1:47" x14ac:dyDescent="0.25">
      <c r="A102" s="102"/>
      <c r="B102" s="103"/>
      <c r="C102" s="103"/>
      <c r="D102" s="103"/>
      <c r="E102" s="103"/>
      <c r="F102" s="103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</row>
    <row r="103" spans="1:47" x14ac:dyDescent="0.25">
      <c r="A103" s="102"/>
      <c r="B103" s="103"/>
      <c r="C103" s="103"/>
      <c r="D103" s="103"/>
      <c r="E103" s="103"/>
      <c r="F103" s="103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</row>
    <row r="104" spans="1:47" x14ac:dyDescent="0.25">
      <c r="A104" s="102"/>
      <c r="B104" s="103"/>
      <c r="C104" s="103"/>
      <c r="D104" s="103"/>
      <c r="E104" s="103"/>
      <c r="F104" s="103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</row>
    <row r="105" spans="1:47" x14ac:dyDescent="0.25">
      <c r="A105" s="102"/>
      <c r="B105" s="103"/>
      <c r="C105" s="103"/>
      <c r="D105" s="103"/>
      <c r="E105" s="103"/>
      <c r="F105" s="103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</row>
    <row r="106" spans="1:47" x14ac:dyDescent="0.25">
      <c r="A106" s="102"/>
      <c r="B106" s="103"/>
      <c r="C106" s="103"/>
      <c r="D106" s="103"/>
      <c r="E106" s="103"/>
      <c r="F106" s="103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</row>
    <row r="107" spans="1:47" x14ac:dyDescent="0.25">
      <c r="A107" s="102"/>
      <c r="B107" s="103"/>
      <c r="C107" s="103"/>
      <c r="D107" s="103"/>
      <c r="E107" s="103"/>
      <c r="F107" s="103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</row>
    <row r="108" spans="1:47" x14ac:dyDescent="0.25">
      <c r="A108" s="102"/>
      <c r="B108" s="103"/>
      <c r="C108" s="103"/>
      <c r="D108" s="103"/>
      <c r="E108" s="103"/>
      <c r="F108" s="103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</row>
    <row r="109" spans="1:47" x14ac:dyDescent="0.25">
      <c r="A109" s="102"/>
      <c r="B109" s="103"/>
      <c r="C109" s="103"/>
      <c r="D109" s="103"/>
      <c r="E109" s="103"/>
      <c r="F109" s="103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</row>
    <row r="110" spans="1:47" x14ac:dyDescent="0.25">
      <c r="A110" s="102"/>
      <c r="B110" s="103"/>
      <c r="C110" s="103"/>
      <c r="D110" s="103"/>
      <c r="E110" s="103"/>
      <c r="F110" s="103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</row>
    <row r="111" spans="1:47" x14ac:dyDescent="0.25">
      <c r="A111" s="102"/>
      <c r="B111" s="103"/>
      <c r="C111" s="103"/>
      <c r="D111" s="103"/>
      <c r="E111" s="103"/>
      <c r="F111" s="103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</row>
    <row r="112" spans="1:47" x14ac:dyDescent="0.25">
      <c r="A112" s="102"/>
      <c r="B112" s="103"/>
      <c r="C112" s="103"/>
      <c r="D112" s="103"/>
      <c r="E112" s="103"/>
      <c r="F112" s="103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</row>
    <row r="113" spans="1:47" x14ac:dyDescent="0.25">
      <c r="A113" s="102"/>
      <c r="B113" s="103"/>
      <c r="C113" s="103"/>
      <c r="D113" s="103"/>
      <c r="E113" s="103"/>
      <c r="F113" s="103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</row>
    <row r="114" spans="1:47" x14ac:dyDescent="0.25">
      <c r="A114" s="102"/>
      <c r="B114" s="103"/>
      <c r="C114" s="103"/>
      <c r="D114" s="103"/>
      <c r="E114" s="103"/>
      <c r="F114" s="103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</row>
    <row r="115" spans="1:47" x14ac:dyDescent="0.25">
      <c r="A115" s="102"/>
      <c r="B115" s="103"/>
      <c r="C115" s="103"/>
      <c r="D115" s="103"/>
      <c r="E115" s="103"/>
      <c r="F115" s="103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</row>
    <row r="116" spans="1:47" x14ac:dyDescent="0.25">
      <c r="A116" s="102"/>
      <c r="B116" s="103"/>
      <c r="C116" s="103"/>
      <c r="D116" s="103"/>
      <c r="E116" s="103"/>
      <c r="F116" s="103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</row>
    <row r="117" spans="1:47" x14ac:dyDescent="0.25">
      <c r="A117" s="102"/>
      <c r="B117" s="103"/>
      <c r="C117" s="103"/>
      <c r="D117" s="103"/>
      <c r="E117" s="103"/>
      <c r="F117" s="103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</row>
    <row r="118" spans="1:47" x14ac:dyDescent="0.25">
      <c r="A118" s="102"/>
      <c r="B118" s="103"/>
      <c r="C118" s="103"/>
      <c r="D118" s="103"/>
      <c r="E118" s="103"/>
      <c r="F118" s="103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</row>
    <row r="119" spans="1:47" x14ac:dyDescent="0.25">
      <c r="A119" s="102"/>
      <c r="B119" s="103"/>
      <c r="C119" s="103"/>
      <c r="D119" s="103"/>
      <c r="E119" s="103"/>
      <c r="F119" s="103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</row>
    <row r="120" spans="1:47" x14ac:dyDescent="0.25">
      <c r="A120" s="102"/>
      <c r="B120" s="103"/>
      <c r="C120" s="103"/>
      <c r="D120" s="103"/>
      <c r="E120" s="103"/>
      <c r="F120" s="103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</row>
    <row r="121" spans="1:47" x14ac:dyDescent="0.25">
      <c r="A121" s="102"/>
      <c r="B121" s="103"/>
      <c r="C121" s="103"/>
      <c r="D121" s="103"/>
      <c r="E121" s="103"/>
      <c r="F121" s="103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</row>
    <row r="122" spans="1:47" x14ac:dyDescent="0.25">
      <c r="A122" s="102"/>
      <c r="B122" s="103"/>
      <c r="C122" s="103"/>
      <c r="D122" s="103"/>
      <c r="E122" s="103"/>
      <c r="F122" s="103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</row>
    <row r="123" spans="1:47" x14ac:dyDescent="0.25">
      <c r="A123" s="102"/>
      <c r="B123" s="103"/>
      <c r="C123" s="103"/>
      <c r="D123" s="103"/>
      <c r="E123" s="103"/>
      <c r="F123" s="103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</row>
    <row r="124" spans="1:47" x14ac:dyDescent="0.25">
      <c r="A124" s="102"/>
      <c r="B124" s="103"/>
      <c r="C124" s="103"/>
      <c r="D124" s="103"/>
      <c r="E124" s="103"/>
      <c r="F124" s="103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</row>
    <row r="125" spans="1:47" x14ac:dyDescent="0.25">
      <c r="A125" s="102"/>
      <c r="B125" s="103"/>
      <c r="C125" s="103"/>
      <c r="D125" s="103"/>
      <c r="E125" s="103"/>
      <c r="F125" s="103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</row>
    <row r="126" spans="1:47" x14ac:dyDescent="0.25">
      <c r="A126" s="102"/>
      <c r="B126" s="103"/>
      <c r="C126" s="103"/>
      <c r="D126" s="103"/>
      <c r="E126" s="103"/>
      <c r="F126" s="103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</row>
    <row r="127" spans="1:47" x14ac:dyDescent="0.25">
      <c r="A127" s="102"/>
      <c r="B127" s="103"/>
      <c r="C127" s="103"/>
      <c r="D127" s="103"/>
      <c r="E127" s="103"/>
      <c r="F127" s="103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</row>
    <row r="128" spans="1:47" x14ac:dyDescent="0.25">
      <c r="A128" s="102"/>
      <c r="B128" s="103"/>
      <c r="C128" s="103"/>
      <c r="D128" s="103"/>
      <c r="E128" s="103"/>
      <c r="F128" s="103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</row>
    <row r="129" spans="1:47" x14ac:dyDescent="0.25">
      <c r="A129" s="102"/>
      <c r="B129" s="103"/>
      <c r="C129" s="103"/>
      <c r="D129" s="103"/>
      <c r="E129" s="103"/>
      <c r="F129" s="103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</row>
    <row r="130" spans="1:47" x14ac:dyDescent="0.25">
      <c r="A130" s="102"/>
      <c r="B130" s="103"/>
      <c r="C130" s="103"/>
      <c r="D130" s="103"/>
      <c r="E130" s="103"/>
      <c r="F130" s="103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</row>
    <row r="131" spans="1:47" x14ac:dyDescent="0.25">
      <c r="A131" s="102"/>
      <c r="B131" s="103"/>
      <c r="C131" s="103"/>
      <c r="D131" s="103"/>
      <c r="E131" s="103"/>
      <c r="F131" s="103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</row>
    <row r="132" spans="1:47" x14ac:dyDescent="0.25">
      <c r="A132" s="102"/>
      <c r="B132" s="103"/>
      <c r="C132" s="103"/>
      <c r="D132" s="103"/>
      <c r="E132" s="103"/>
      <c r="F132" s="103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</row>
    <row r="133" spans="1:47" x14ac:dyDescent="0.25">
      <c r="A133" s="102"/>
      <c r="B133" s="103"/>
      <c r="C133" s="103"/>
      <c r="D133" s="103"/>
      <c r="E133" s="103"/>
      <c r="F133" s="103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</row>
    <row r="134" spans="1:47" x14ac:dyDescent="0.25">
      <c r="A134" s="102"/>
      <c r="B134" s="103"/>
      <c r="C134" s="103"/>
      <c r="D134" s="103"/>
      <c r="E134" s="103"/>
      <c r="F134" s="103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</row>
    <row r="135" spans="1:47" x14ac:dyDescent="0.25">
      <c r="A135" s="102"/>
      <c r="B135" s="103"/>
      <c r="C135" s="103"/>
      <c r="D135" s="103"/>
      <c r="E135" s="103"/>
      <c r="F135" s="103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</row>
    <row r="136" spans="1:47" x14ac:dyDescent="0.25">
      <c r="A136" s="102"/>
      <c r="B136" s="103"/>
      <c r="C136" s="103"/>
      <c r="D136" s="103"/>
      <c r="E136" s="103"/>
      <c r="F136" s="103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</row>
    <row r="137" spans="1:47" x14ac:dyDescent="0.25">
      <c r="A137" s="102"/>
      <c r="B137" s="103"/>
      <c r="C137" s="103"/>
      <c r="D137" s="103"/>
      <c r="E137" s="103"/>
      <c r="F137" s="103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</row>
    <row r="138" spans="1:47" x14ac:dyDescent="0.25">
      <c r="A138" s="102"/>
      <c r="B138" s="103"/>
      <c r="C138" s="103"/>
      <c r="D138" s="103"/>
      <c r="E138" s="103"/>
      <c r="F138" s="103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</row>
    <row r="139" spans="1:47" x14ac:dyDescent="0.25">
      <c r="A139" s="102"/>
      <c r="B139" s="103"/>
      <c r="C139" s="103"/>
      <c r="D139" s="103"/>
      <c r="E139" s="103"/>
      <c r="F139" s="103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</row>
    <row r="140" spans="1:47" x14ac:dyDescent="0.25">
      <c r="A140" s="102"/>
      <c r="B140" s="103"/>
      <c r="C140" s="103"/>
      <c r="D140" s="103"/>
      <c r="E140" s="103"/>
      <c r="F140" s="103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</row>
    <row r="141" spans="1:47" x14ac:dyDescent="0.25">
      <c r="A141" s="102"/>
      <c r="B141" s="103"/>
      <c r="C141" s="103"/>
      <c r="D141" s="103"/>
      <c r="E141" s="103"/>
      <c r="F141" s="103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</row>
    <row r="142" spans="1:47" x14ac:dyDescent="0.25">
      <c r="A142" s="102"/>
      <c r="B142" s="103"/>
      <c r="C142" s="103"/>
      <c r="D142" s="103"/>
      <c r="E142" s="103"/>
      <c r="F142" s="103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</row>
    <row r="143" spans="1:47" x14ac:dyDescent="0.25">
      <c r="A143" s="102"/>
      <c r="B143" s="103"/>
      <c r="C143" s="103"/>
      <c r="D143" s="103"/>
      <c r="E143" s="103"/>
      <c r="F143" s="103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</row>
    <row r="144" spans="1:47" x14ac:dyDescent="0.25">
      <c r="A144" s="102"/>
      <c r="B144" s="103"/>
      <c r="C144" s="103"/>
      <c r="D144" s="103"/>
      <c r="E144" s="103"/>
      <c r="F144" s="103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</row>
    <row r="145" spans="1:47" x14ac:dyDescent="0.25">
      <c r="A145" s="102"/>
      <c r="B145" s="103"/>
      <c r="C145" s="103"/>
      <c r="D145" s="103"/>
      <c r="E145" s="103"/>
      <c r="F145" s="103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</row>
    <row r="146" spans="1:47" x14ac:dyDescent="0.25">
      <c r="A146" s="102"/>
      <c r="B146" s="103"/>
      <c r="C146" s="103"/>
      <c r="D146" s="103"/>
      <c r="E146" s="103"/>
      <c r="F146" s="103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</row>
    <row r="147" spans="1:47" x14ac:dyDescent="0.25">
      <c r="A147" s="102"/>
      <c r="B147" s="103"/>
      <c r="C147" s="103"/>
      <c r="D147" s="103"/>
      <c r="E147" s="103"/>
      <c r="F147" s="103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</row>
    <row r="148" spans="1:47" x14ac:dyDescent="0.25">
      <c r="A148" s="102"/>
      <c r="B148" s="103"/>
      <c r="C148" s="103"/>
      <c r="D148" s="103"/>
      <c r="E148" s="103"/>
      <c r="F148" s="103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</row>
    <row r="149" spans="1:47" x14ac:dyDescent="0.25">
      <c r="A149" s="102"/>
      <c r="B149" s="103"/>
      <c r="C149" s="103"/>
      <c r="D149" s="103"/>
      <c r="E149" s="103"/>
      <c r="F149" s="103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</row>
    <row r="150" spans="1:47" x14ac:dyDescent="0.25">
      <c r="A150" s="102"/>
      <c r="B150" s="103"/>
      <c r="C150" s="103"/>
      <c r="D150" s="103"/>
      <c r="E150" s="103"/>
      <c r="F150" s="103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</row>
    <row r="151" spans="1:47" x14ac:dyDescent="0.25">
      <c r="A151" s="102"/>
      <c r="B151" s="103"/>
      <c r="C151" s="103"/>
      <c r="D151" s="103"/>
      <c r="E151" s="103"/>
      <c r="F151" s="103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</row>
    <row r="152" spans="1:47" x14ac:dyDescent="0.25">
      <c r="A152" s="102"/>
      <c r="B152" s="103"/>
      <c r="C152" s="103"/>
      <c r="D152" s="103"/>
      <c r="E152" s="103"/>
      <c r="F152" s="103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</row>
    <row r="153" spans="1:47" x14ac:dyDescent="0.25">
      <c r="A153" s="102"/>
      <c r="B153" s="103"/>
      <c r="C153" s="103"/>
      <c r="D153" s="103"/>
      <c r="E153" s="103"/>
      <c r="F153" s="103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</row>
    <row r="154" spans="1:47" x14ac:dyDescent="0.25">
      <c r="A154" s="102"/>
      <c r="B154" s="103"/>
      <c r="C154" s="103"/>
      <c r="D154" s="103"/>
      <c r="E154" s="103"/>
      <c r="F154" s="103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</row>
    <row r="155" spans="1:47" x14ac:dyDescent="0.25">
      <c r="A155" s="102"/>
      <c r="B155" s="103"/>
      <c r="C155" s="103"/>
      <c r="D155" s="103"/>
      <c r="E155" s="103"/>
      <c r="F155" s="103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</row>
    <row r="156" spans="1:47" x14ac:dyDescent="0.25">
      <c r="A156" s="102"/>
      <c r="B156" s="103"/>
      <c r="C156" s="103"/>
      <c r="D156" s="103"/>
      <c r="E156" s="103"/>
      <c r="F156" s="103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</row>
    <row r="157" spans="1:47" x14ac:dyDescent="0.25">
      <c r="A157" s="102"/>
      <c r="B157" s="103"/>
      <c r="C157" s="103"/>
      <c r="D157" s="103"/>
      <c r="E157" s="103"/>
      <c r="F157" s="103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</row>
    <row r="158" spans="1:47" x14ac:dyDescent="0.25">
      <c r="A158" s="102"/>
      <c r="B158" s="103"/>
      <c r="C158" s="103"/>
      <c r="D158" s="103"/>
      <c r="E158" s="103"/>
      <c r="F158" s="103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</row>
    <row r="159" spans="1:47" x14ac:dyDescent="0.25">
      <c r="A159" s="102"/>
      <c r="B159" s="103"/>
      <c r="C159" s="103"/>
      <c r="D159" s="103"/>
      <c r="E159" s="103"/>
      <c r="F159" s="103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</row>
    <row r="160" spans="1:47" x14ac:dyDescent="0.25">
      <c r="A160" s="102"/>
      <c r="B160" s="103"/>
      <c r="C160" s="103"/>
      <c r="D160" s="103"/>
      <c r="E160" s="103"/>
      <c r="F160" s="103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</row>
    <row r="161" spans="1:47" x14ac:dyDescent="0.25">
      <c r="A161" s="102"/>
      <c r="B161" s="103"/>
      <c r="C161" s="103"/>
      <c r="D161" s="103"/>
      <c r="E161" s="103"/>
      <c r="F161" s="103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</row>
    <row r="162" spans="1:47" x14ac:dyDescent="0.25">
      <c r="A162" s="102"/>
      <c r="B162" s="103"/>
      <c r="C162" s="103"/>
      <c r="D162" s="103"/>
      <c r="E162" s="103"/>
      <c r="F162" s="103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</row>
    <row r="163" spans="1:47" x14ac:dyDescent="0.25">
      <c r="A163" s="102"/>
      <c r="B163" s="103"/>
      <c r="C163" s="103"/>
      <c r="D163" s="103"/>
      <c r="E163" s="103"/>
      <c r="F163" s="103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</row>
    <row r="164" spans="1:47" x14ac:dyDescent="0.25">
      <c r="A164" s="102"/>
      <c r="B164" s="103"/>
      <c r="C164" s="103"/>
      <c r="D164" s="103"/>
      <c r="E164" s="103"/>
      <c r="F164" s="103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</row>
    <row r="165" spans="1:47" x14ac:dyDescent="0.25">
      <c r="A165" s="102"/>
      <c r="B165" s="103"/>
      <c r="C165" s="103"/>
      <c r="D165" s="103"/>
      <c r="E165" s="103"/>
      <c r="F165" s="103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</row>
    <row r="166" spans="1:47" x14ac:dyDescent="0.25">
      <c r="A166" s="102"/>
      <c r="B166" s="103"/>
      <c r="C166" s="103"/>
      <c r="D166" s="103"/>
      <c r="E166" s="103"/>
      <c r="F166" s="103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</row>
    <row r="167" spans="1:47" x14ac:dyDescent="0.25">
      <c r="A167" s="102"/>
      <c r="B167" s="103"/>
      <c r="C167" s="103"/>
      <c r="D167" s="103"/>
      <c r="E167" s="103"/>
      <c r="F167" s="103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</row>
    <row r="168" spans="1:47" x14ac:dyDescent="0.25">
      <c r="A168" s="102"/>
      <c r="B168" s="103"/>
      <c r="C168" s="103"/>
      <c r="D168" s="103"/>
      <c r="E168" s="103"/>
      <c r="F168" s="103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</row>
    <row r="169" spans="1:47" x14ac:dyDescent="0.25">
      <c r="A169" s="102"/>
      <c r="B169" s="103"/>
      <c r="C169" s="103"/>
      <c r="D169" s="103"/>
      <c r="E169" s="103"/>
      <c r="F169" s="103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</row>
    <row r="170" spans="1:47" x14ac:dyDescent="0.25">
      <c r="A170" s="102"/>
      <c r="B170" s="103"/>
      <c r="C170" s="103"/>
      <c r="D170" s="103"/>
      <c r="E170" s="103"/>
      <c r="F170" s="103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</row>
    <row r="171" spans="1:47" x14ac:dyDescent="0.25">
      <c r="A171" s="102"/>
      <c r="B171" s="103"/>
      <c r="C171" s="103"/>
      <c r="D171" s="103"/>
      <c r="E171" s="103"/>
      <c r="F171" s="103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</row>
    <row r="172" spans="1:47" x14ac:dyDescent="0.25">
      <c r="A172" s="102"/>
      <c r="B172" s="103"/>
      <c r="C172" s="103"/>
      <c r="D172" s="103"/>
      <c r="E172" s="103"/>
      <c r="F172" s="103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</row>
    <row r="173" spans="1:47" x14ac:dyDescent="0.25">
      <c r="A173" s="102"/>
      <c r="B173" s="103"/>
      <c r="C173" s="103"/>
      <c r="D173" s="103"/>
      <c r="E173" s="103"/>
      <c r="F173" s="103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</row>
    <row r="174" spans="1:47" x14ac:dyDescent="0.25">
      <c r="A174" s="102"/>
      <c r="B174" s="103"/>
      <c r="C174" s="103"/>
      <c r="D174" s="103"/>
      <c r="E174" s="103"/>
      <c r="F174" s="103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</row>
    <row r="175" spans="1:47" x14ac:dyDescent="0.25">
      <c r="A175" s="102"/>
      <c r="B175" s="103"/>
      <c r="C175" s="103"/>
      <c r="D175" s="103"/>
      <c r="E175" s="103"/>
      <c r="F175" s="103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</row>
    <row r="176" spans="1:47" x14ac:dyDescent="0.25">
      <c r="A176" s="102"/>
      <c r="B176" s="103"/>
      <c r="C176" s="103"/>
      <c r="D176" s="103"/>
      <c r="E176" s="103"/>
      <c r="F176" s="103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</row>
    <row r="177" spans="1:47" x14ac:dyDescent="0.25">
      <c r="A177" s="102"/>
      <c r="B177" s="103"/>
      <c r="C177" s="103"/>
      <c r="D177" s="103"/>
      <c r="E177" s="103"/>
      <c r="F177" s="103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</row>
    <row r="178" spans="1:47" x14ac:dyDescent="0.25">
      <c r="A178" s="102"/>
      <c r="B178" s="103"/>
      <c r="C178" s="103"/>
      <c r="D178" s="103"/>
      <c r="E178" s="103"/>
      <c r="F178" s="103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</row>
    <row r="179" spans="1:47" x14ac:dyDescent="0.25">
      <c r="A179" s="102"/>
      <c r="B179" s="103"/>
      <c r="C179" s="103"/>
      <c r="D179" s="103"/>
      <c r="E179" s="103"/>
      <c r="F179" s="103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</row>
    <row r="180" spans="1:47" x14ac:dyDescent="0.25">
      <c r="A180" s="102"/>
      <c r="B180" s="103"/>
      <c r="C180" s="103"/>
      <c r="D180" s="103"/>
      <c r="E180" s="103"/>
      <c r="F180" s="103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</row>
    <row r="181" spans="1:47" x14ac:dyDescent="0.25">
      <c r="A181" s="102"/>
      <c r="B181" s="103"/>
      <c r="C181" s="103"/>
      <c r="D181" s="103"/>
      <c r="E181" s="103"/>
      <c r="F181" s="103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</row>
    <row r="182" spans="1:47" x14ac:dyDescent="0.25">
      <c r="A182" s="102"/>
      <c r="B182" s="103"/>
      <c r="C182" s="103"/>
      <c r="D182" s="103"/>
      <c r="E182" s="103"/>
      <c r="F182" s="103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</row>
    <row r="183" spans="1:47" x14ac:dyDescent="0.25">
      <c r="A183" s="102"/>
      <c r="B183" s="103"/>
      <c r="C183" s="103"/>
      <c r="D183" s="103"/>
      <c r="E183" s="103"/>
      <c r="F183" s="103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</row>
    <row r="184" spans="1:47" x14ac:dyDescent="0.25">
      <c r="A184" s="102"/>
      <c r="B184" s="103"/>
      <c r="C184" s="103"/>
      <c r="D184" s="103"/>
      <c r="E184" s="103"/>
      <c r="F184" s="103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</row>
    <row r="185" spans="1:47" x14ac:dyDescent="0.25">
      <c r="A185" s="102"/>
      <c r="B185" s="103"/>
      <c r="C185" s="103"/>
      <c r="D185" s="103"/>
      <c r="E185" s="103"/>
      <c r="F185" s="103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</row>
    <row r="186" spans="1:47" x14ac:dyDescent="0.25">
      <c r="A186" s="102"/>
      <c r="B186" s="103"/>
      <c r="C186" s="103"/>
      <c r="D186" s="103"/>
      <c r="E186" s="103"/>
      <c r="F186" s="103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</row>
    <row r="187" spans="1:47" x14ac:dyDescent="0.25">
      <c r="A187" s="102"/>
      <c r="B187" s="103"/>
      <c r="C187" s="103"/>
      <c r="D187" s="103"/>
      <c r="E187" s="103"/>
      <c r="F187" s="103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</row>
    <row r="188" spans="1:47" x14ac:dyDescent="0.25">
      <c r="A188" s="102"/>
      <c r="B188" s="103"/>
      <c r="C188" s="103"/>
      <c r="D188" s="103"/>
      <c r="E188" s="103"/>
      <c r="F188" s="103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</row>
    <row r="189" spans="1:47" x14ac:dyDescent="0.25">
      <c r="A189" s="102"/>
      <c r="B189" s="103"/>
      <c r="C189" s="103"/>
      <c r="D189" s="103"/>
      <c r="E189" s="103"/>
      <c r="F189" s="103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</row>
    <row r="190" spans="1:47" x14ac:dyDescent="0.25">
      <c r="A190" s="102"/>
      <c r="B190" s="103"/>
      <c r="C190" s="103"/>
      <c r="D190" s="103"/>
      <c r="E190" s="103"/>
      <c r="F190" s="103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</row>
    <row r="191" spans="1:47" x14ac:dyDescent="0.25">
      <c r="A191" s="102"/>
      <c r="B191" s="103"/>
      <c r="C191" s="103"/>
      <c r="D191" s="103"/>
      <c r="E191" s="103"/>
      <c r="F191" s="103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</row>
    <row r="192" spans="1:47" x14ac:dyDescent="0.25">
      <c r="A192" s="102"/>
      <c r="B192" s="103"/>
      <c r="C192" s="103"/>
      <c r="D192" s="103"/>
      <c r="E192" s="103"/>
      <c r="F192" s="103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</row>
    <row r="193" spans="1:47" x14ac:dyDescent="0.25">
      <c r="A193" s="102"/>
      <c r="B193" s="103"/>
      <c r="C193" s="103"/>
      <c r="D193" s="103"/>
      <c r="E193" s="103"/>
      <c r="F193" s="103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</row>
    <row r="194" spans="1:47" x14ac:dyDescent="0.25">
      <c r="A194" s="102"/>
      <c r="B194" s="103"/>
      <c r="C194" s="103"/>
      <c r="D194" s="103"/>
      <c r="E194" s="103"/>
      <c r="F194" s="103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</row>
    <row r="195" spans="1:47" x14ac:dyDescent="0.25">
      <c r="A195" s="102"/>
      <c r="B195" s="103"/>
      <c r="C195" s="103"/>
      <c r="D195" s="103"/>
      <c r="E195" s="103"/>
      <c r="F195" s="103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</row>
    <row r="196" spans="1:47" x14ac:dyDescent="0.25">
      <c r="A196" s="102"/>
      <c r="B196" s="103"/>
      <c r="C196" s="103"/>
      <c r="D196" s="103"/>
      <c r="E196" s="103"/>
      <c r="F196" s="103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</row>
    <row r="197" spans="1:47" x14ac:dyDescent="0.25">
      <c r="A197" s="102"/>
      <c r="B197" s="103"/>
      <c r="C197" s="103"/>
      <c r="D197" s="103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</row>
    <row r="198" spans="1:47" x14ac:dyDescent="0.25">
      <c r="A198" s="102"/>
      <c r="B198" s="103"/>
      <c r="C198" s="103"/>
      <c r="D198" s="103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</row>
    <row r="199" spans="1:47" x14ac:dyDescent="0.25">
      <c r="A199" s="102"/>
      <c r="B199" s="103"/>
      <c r="C199" s="103"/>
      <c r="D199" s="103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</row>
    <row r="200" spans="1:47" x14ac:dyDescent="0.25">
      <c r="A200" s="102"/>
      <c r="B200" s="103"/>
      <c r="C200" s="103"/>
      <c r="D200" s="103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</row>
    <row r="201" spans="1:47" x14ac:dyDescent="0.25">
      <c r="A201" s="102"/>
      <c r="B201" s="103"/>
      <c r="C201" s="103"/>
      <c r="D201" s="103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</row>
    <row r="202" spans="1:47" x14ac:dyDescent="0.25">
      <c r="A202" s="102"/>
      <c r="B202" s="103"/>
      <c r="C202" s="103"/>
      <c r="D202" s="103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</row>
    <row r="203" spans="1:47" x14ac:dyDescent="0.25">
      <c r="A203" s="102"/>
      <c r="B203" s="103"/>
      <c r="C203" s="103"/>
      <c r="D203" s="103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</row>
    <row r="204" spans="1:47" x14ac:dyDescent="0.25">
      <c r="A204" s="102"/>
      <c r="B204" s="103"/>
      <c r="C204" s="103"/>
      <c r="D204" s="103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</row>
    <row r="205" spans="1:47" x14ac:dyDescent="0.2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</row>
    <row r="206" spans="1:47" x14ac:dyDescent="0.2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</row>
    <row r="207" spans="1:47" x14ac:dyDescent="0.2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</row>
    <row r="208" spans="1:47" x14ac:dyDescent="0.2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</row>
    <row r="209" spans="1:47" x14ac:dyDescent="0.2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</row>
    <row r="210" spans="1:47" x14ac:dyDescent="0.2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</row>
    <row r="211" spans="1:47" x14ac:dyDescent="0.2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</row>
    <row r="212" spans="1:47" x14ac:dyDescent="0.2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</row>
    <row r="213" spans="1:47" x14ac:dyDescent="0.2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</row>
    <row r="214" spans="1:47" x14ac:dyDescent="0.2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</row>
    <row r="215" spans="1:47" x14ac:dyDescent="0.2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</row>
    <row r="216" spans="1:47" x14ac:dyDescent="0.2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</row>
    <row r="217" spans="1:47" x14ac:dyDescent="0.2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</row>
    <row r="218" spans="1:47" x14ac:dyDescent="0.2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</row>
    <row r="219" spans="1:47" x14ac:dyDescent="0.2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</row>
    <row r="220" spans="1:47" x14ac:dyDescent="0.2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</row>
    <row r="221" spans="1:47" x14ac:dyDescent="0.2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</row>
    <row r="222" spans="1:47" x14ac:dyDescent="0.2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</row>
    <row r="223" spans="1:47" x14ac:dyDescent="0.2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</row>
    <row r="224" spans="1:47" x14ac:dyDescent="0.2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</row>
    <row r="225" spans="1:47" x14ac:dyDescent="0.2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</row>
    <row r="226" spans="1:47" x14ac:dyDescent="0.2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</row>
    <row r="227" spans="1:47" x14ac:dyDescent="0.2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</row>
    <row r="228" spans="1:47" x14ac:dyDescent="0.2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</row>
    <row r="229" spans="1:47" x14ac:dyDescent="0.2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</row>
    <row r="230" spans="1:47" x14ac:dyDescent="0.2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</row>
    <row r="231" spans="1:47" x14ac:dyDescent="0.2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</row>
    <row r="232" spans="1:47" x14ac:dyDescent="0.2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</row>
    <row r="233" spans="1:47" x14ac:dyDescent="0.2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</row>
    <row r="234" spans="1:47" x14ac:dyDescent="0.2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</row>
    <row r="235" spans="1:47" x14ac:dyDescent="0.2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</row>
    <row r="236" spans="1:47" x14ac:dyDescent="0.2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</row>
    <row r="237" spans="1:47" x14ac:dyDescent="0.2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</row>
    <row r="238" spans="1:47" x14ac:dyDescent="0.2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</row>
    <row r="239" spans="1:47" x14ac:dyDescent="0.2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</row>
    <row r="240" spans="1:47" x14ac:dyDescent="0.2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</row>
    <row r="241" spans="1:47" x14ac:dyDescent="0.2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</row>
    <row r="242" spans="1:47" x14ac:dyDescent="0.2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</row>
    <row r="243" spans="1:47" x14ac:dyDescent="0.2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</row>
    <row r="244" spans="1:47" x14ac:dyDescent="0.2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</row>
    <row r="245" spans="1:47" x14ac:dyDescent="0.2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</row>
    <row r="246" spans="1:47" x14ac:dyDescent="0.2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</row>
    <row r="247" spans="1:47" x14ac:dyDescent="0.2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</row>
    <row r="248" spans="1:47" x14ac:dyDescent="0.2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</row>
    <row r="249" spans="1:47" x14ac:dyDescent="0.2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</row>
    <row r="250" spans="1:47" x14ac:dyDescent="0.2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</row>
    <row r="251" spans="1:47" x14ac:dyDescent="0.2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</row>
    <row r="252" spans="1:47" x14ac:dyDescent="0.2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</row>
    <row r="253" spans="1:47" x14ac:dyDescent="0.2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</row>
    <row r="254" spans="1:47" x14ac:dyDescent="0.2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</row>
    <row r="255" spans="1:47" x14ac:dyDescent="0.2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</row>
    <row r="256" spans="1:47" x14ac:dyDescent="0.2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</row>
    <row r="257" spans="1:47" x14ac:dyDescent="0.2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</row>
    <row r="258" spans="1:47" x14ac:dyDescent="0.25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</row>
    <row r="259" spans="1:47" x14ac:dyDescent="0.25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</row>
    <row r="260" spans="1:47" x14ac:dyDescent="0.25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</row>
    <row r="261" spans="1:47" x14ac:dyDescent="0.25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</row>
    <row r="262" spans="1:47" x14ac:dyDescent="0.25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</row>
    <row r="263" spans="1:47" x14ac:dyDescent="0.25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</row>
    <row r="264" spans="1:47" x14ac:dyDescent="0.25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</row>
    <row r="265" spans="1:47" x14ac:dyDescent="0.2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</row>
    <row r="266" spans="1:47" x14ac:dyDescent="0.25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</row>
    <row r="267" spans="1:47" x14ac:dyDescent="0.25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</row>
    <row r="268" spans="1:47" x14ac:dyDescent="0.25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</row>
    <row r="269" spans="1:47" x14ac:dyDescent="0.25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</row>
    <row r="270" spans="1:47" x14ac:dyDescent="0.25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</row>
    <row r="271" spans="1:47" x14ac:dyDescent="0.25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</row>
    <row r="272" spans="1:47" x14ac:dyDescent="0.25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</row>
    <row r="273" spans="1:47" x14ac:dyDescent="0.25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</row>
    <row r="274" spans="1:47" x14ac:dyDescent="0.25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</row>
    <row r="275" spans="1:47" x14ac:dyDescent="0.2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</row>
    <row r="276" spans="1:47" x14ac:dyDescent="0.25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</row>
    <row r="277" spans="1:47" x14ac:dyDescent="0.25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</row>
    <row r="278" spans="1:47" x14ac:dyDescent="0.25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</row>
    <row r="279" spans="1:47" x14ac:dyDescent="0.25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</row>
    <row r="280" spans="1:47" x14ac:dyDescent="0.25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</row>
    <row r="281" spans="1:47" x14ac:dyDescent="0.25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</row>
    <row r="282" spans="1:47" x14ac:dyDescent="0.25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</row>
    <row r="283" spans="1:47" x14ac:dyDescent="0.25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</row>
    <row r="284" spans="1:47" x14ac:dyDescent="0.25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</row>
    <row r="285" spans="1:47" x14ac:dyDescent="0.2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</row>
    <row r="286" spans="1:47" x14ac:dyDescent="0.25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</row>
    <row r="287" spans="1:47" x14ac:dyDescent="0.25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</row>
    <row r="288" spans="1:47" x14ac:dyDescent="0.25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</row>
    <row r="289" spans="1:47" x14ac:dyDescent="0.25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</row>
    <row r="290" spans="1:47" x14ac:dyDescent="0.25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</row>
    <row r="291" spans="1:47" x14ac:dyDescent="0.25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</row>
    <row r="292" spans="1:47" x14ac:dyDescent="0.25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</row>
    <row r="293" spans="1:47" x14ac:dyDescent="0.25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</row>
    <row r="294" spans="1:47" x14ac:dyDescent="0.25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</row>
    <row r="295" spans="1:47" x14ac:dyDescent="0.2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</row>
    <row r="296" spans="1:47" x14ac:dyDescent="0.25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</row>
    <row r="297" spans="1:47" x14ac:dyDescent="0.25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</row>
    <row r="298" spans="1:47" x14ac:dyDescent="0.25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</row>
    <row r="299" spans="1:47" x14ac:dyDescent="0.25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</row>
    <row r="300" spans="1:47" x14ac:dyDescent="0.25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</row>
    <row r="301" spans="1:47" x14ac:dyDescent="0.25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</row>
    <row r="302" spans="1:47" x14ac:dyDescent="0.25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</row>
    <row r="303" spans="1:47" x14ac:dyDescent="0.25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</row>
    <row r="304" spans="1:47" x14ac:dyDescent="0.25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</row>
    <row r="305" spans="1:47" x14ac:dyDescent="0.2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</row>
    <row r="306" spans="1:47" x14ac:dyDescent="0.25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</row>
    <row r="307" spans="1:47" x14ac:dyDescent="0.25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</row>
    <row r="308" spans="1:47" x14ac:dyDescent="0.25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</row>
    <row r="309" spans="1:47" x14ac:dyDescent="0.25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</row>
    <row r="310" spans="1:47" x14ac:dyDescent="0.25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</row>
    <row r="311" spans="1:47" x14ac:dyDescent="0.25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</row>
    <row r="312" spans="1:47" x14ac:dyDescent="0.25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</row>
    <row r="313" spans="1:47" x14ac:dyDescent="0.25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</row>
    <row r="314" spans="1:47" x14ac:dyDescent="0.25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</row>
    <row r="315" spans="1:47" x14ac:dyDescent="0.2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</row>
    <row r="316" spans="1:47" x14ac:dyDescent="0.25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</row>
    <row r="317" spans="1:47" x14ac:dyDescent="0.25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</row>
    <row r="318" spans="1:47" x14ac:dyDescent="0.25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</row>
    <row r="319" spans="1:47" x14ac:dyDescent="0.25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</row>
    <row r="320" spans="1:47" x14ac:dyDescent="0.25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</row>
    <row r="321" spans="1:47" x14ac:dyDescent="0.25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</row>
    <row r="322" spans="1:47" x14ac:dyDescent="0.25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</row>
    <row r="323" spans="1:47" x14ac:dyDescent="0.25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</row>
    <row r="324" spans="1:47" x14ac:dyDescent="0.25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</row>
    <row r="325" spans="1:47" x14ac:dyDescent="0.2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</row>
    <row r="326" spans="1:47" x14ac:dyDescent="0.25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</row>
    <row r="327" spans="1:47" x14ac:dyDescent="0.25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</row>
    <row r="328" spans="1:47" x14ac:dyDescent="0.25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</row>
    <row r="329" spans="1:47" x14ac:dyDescent="0.25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</row>
    <row r="330" spans="1:47" x14ac:dyDescent="0.25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</row>
    <row r="331" spans="1:47" x14ac:dyDescent="0.25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</row>
    <row r="332" spans="1:47" x14ac:dyDescent="0.25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</row>
    <row r="333" spans="1:47" x14ac:dyDescent="0.25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</row>
    <row r="334" spans="1:47" x14ac:dyDescent="0.25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</row>
    <row r="335" spans="1:47" x14ac:dyDescent="0.2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</row>
    <row r="336" spans="1:47" x14ac:dyDescent="0.25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</row>
    <row r="337" spans="1:47" x14ac:dyDescent="0.25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</row>
    <row r="338" spans="1:47" x14ac:dyDescent="0.25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</row>
    <row r="339" spans="1:47" x14ac:dyDescent="0.25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</row>
    <row r="340" spans="1:47" x14ac:dyDescent="0.25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</row>
    <row r="341" spans="1:47" x14ac:dyDescent="0.25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</row>
    <row r="342" spans="1:47" x14ac:dyDescent="0.25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</row>
    <row r="343" spans="1:47" x14ac:dyDescent="0.25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</row>
    <row r="344" spans="1:47" x14ac:dyDescent="0.25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</row>
    <row r="345" spans="1:47" x14ac:dyDescent="0.2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</row>
    <row r="346" spans="1:47" x14ac:dyDescent="0.25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</row>
    <row r="347" spans="1:47" x14ac:dyDescent="0.25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</row>
    <row r="348" spans="1:47" x14ac:dyDescent="0.25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</row>
    <row r="349" spans="1:47" x14ac:dyDescent="0.25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</row>
    <row r="350" spans="1:47" x14ac:dyDescent="0.25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</row>
    <row r="351" spans="1:47" x14ac:dyDescent="0.25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</row>
    <row r="352" spans="1:47" x14ac:dyDescent="0.25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</row>
    <row r="353" spans="1:47" x14ac:dyDescent="0.25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</row>
    <row r="354" spans="1:47" x14ac:dyDescent="0.25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</row>
    <row r="355" spans="1:47" x14ac:dyDescent="0.2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</row>
    <row r="356" spans="1:47" x14ac:dyDescent="0.25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</row>
    <row r="357" spans="1:47" x14ac:dyDescent="0.25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</row>
    <row r="358" spans="1:47" x14ac:dyDescent="0.25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</row>
    <row r="359" spans="1:47" x14ac:dyDescent="0.25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</row>
    <row r="360" spans="1:47" x14ac:dyDescent="0.25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</row>
    <row r="361" spans="1:47" x14ac:dyDescent="0.25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</row>
    <row r="362" spans="1:47" x14ac:dyDescent="0.25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</row>
    <row r="363" spans="1:47" x14ac:dyDescent="0.25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</row>
    <row r="364" spans="1:47" x14ac:dyDescent="0.25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</row>
    <row r="365" spans="1:47" x14ac:dyDescent="0.2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</row>
    <row r="366" spans="1:47" x14ac:dyDescent="0.25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</row>
    <row r="367" spans="1:47" x14ac:dyDescent="0.25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</row>
    <row r="368" spans="1:47" x14ac:dyDescent="0.2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</row>
    <row r="369" spans="1:47" x14ac:dyDescent="0.25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</row>
    <row r="370" spans="1:47" x14ac:dyDescent="0.25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</row>
    <row r="371" spans="1:47" x14ac:dyDescent="0.25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</row>
    <row r="372" spans="1:47" x14ac:dyDescent="0.25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</row>
    <row r="373" spans="1:47" x14ac:dyDescent="0.25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</row>
    <row r="374" spans="1:47" x14ac:dyDescent="0.25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</row>
    <row r="375" spans="1:47" x14ac:dyDescent="0.2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</row>
    <row r="376" spans="1:47" x14ac:dyDescent="0.25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</row>
    <row r="377" spans="1:47" x14ac:dyDescent="0.25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</row>
    <row r="378" spans="1:47" x14ac:dyDescent="0.25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</row>
    <row r="379" spans="1:47" x14ac:dyDescent="0.25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</row>
    <row r="380" spans="1:47" x14ac:dyDescent="0.25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</row>
    <row r="381" spans="1:47" x14ac:dyDescent="0.25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</row>
    <row r="382" spans="1:47" x14ac:dyDescent="0.25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</row>
    <row r="383" spans="1:47" x14ac:dyDescent="0.25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</row>
    <row r="384" spans="1:47" x14ac:dyDescent="0.25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</row>
    <row r="385" spans="1:47" x14ac:dyDescent="0.2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</row>
    <row r="386" spans="1:47" x14ac:dyDescent="0.25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</row>
    <row r="387" spans="1:47" x14ac:dyDescent="0.25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</row>
    <row r="388" spans="1:47" x14ac:dyDescent="0.25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</row>
    <row r="389" spans="1:47" x14ac:dyDescent="0.25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</row>
    <row r="390" spans="1:47" x14ac:dyDescent="0.25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</row>
    <row r="391" spans="1:47" x14ac:dyDescent="0.25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</row>
    <row r="392" spans="1:47" x14ac:dyDescent="0.2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</row>
    <row r="393" spans="1:47" x14ac:dyDescent="0.2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</row>
    <row r="394" spans="1:47" x14ac:dyDescent="0.2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</row>
    <row r="395" spans="1:47" x14ac:dyDescent="0.2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</row>
    <row r="396" spans="1:47" x14ac:dyDescent="0.2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</row>
    <row r="397" spans="1:47" x14ac:dyDescent="0.2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</row>
    <row r="398" spans="1:47" x14ac:dyDescent="0.2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</row>
    <row r="399" spans="1:47" x14ac:dyDescent="0.25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</row>
    <row r="400" spans="1:47" x14ac:dyDescent="0.25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</row>
    <row r="401" spans="1:47" x14ac:dyDescent="0.25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</row>
    <row r="402" spans="1:47" x14ac:dyDescent="0.25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</row>
    <row r="403" spans="1:47" x14ac:dyDescent="0.25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</row>
    <row r="404" spans="1:47" x14ac:dyDescent="0.25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</row>
    <row r="405" spans="1:47" x14ac:dyDescent="0.2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</row>
    <row r="406" spans="1:47" x14ac:dyDescent="0.25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</row>
    <row r="407" spans="1:47" x14ac:dyDescent="0.25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</row>
    <row r="408" spans="1:47" x14ac:dyDescent="0.25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</row>
    <row r="409" spans="1:47" x14ac:dyDescent="0.25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</row>
    <row r="410" spans="1:47" x14ac:dyDescent="0.25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</row>
    <row r="411" spans="1:47" x14ac:dyDescent="0.25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</row>
    <row r="412" spans="1:47" x14ac:dyDescent="0.25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</row>
    <row r="413" spans="1:47" x14ac:dyDescent="0.25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</row>
    <row r="414" spans="1:47" x14ac:dyDescent="0.25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</row>
    <row r="415" spans="1:47" x14ac:dyDescent="0.2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</row>
    <row r="416" spans="1:47" x14ac:dyDescent="0.2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</row>
    <row r="417" spans="1:47" x14ac:dyDescent="0.2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</row>
    <row r="418" spans="1:47" x14ac:dyDescent="0.2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</row>
    <row r="419" spans="1:47" x14ac:dyDescent="0.2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</row>
    <row r="420" spans="1:47" x14ac:dyDescent="0.2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</row>
    <row r="421" spans="1:47" x14ac:dyDescent="0.2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</row>
    <row r="422" spans="1:47" x14ac:dyDescent="0.2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</row>
    <row r="423" spans="1:47" x14ac:dyDescent="0.2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</row>
    <row r="424" spans="1:47" x14ac:dyDescent="0.2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</row>
    <row r="425" spans="1:47" x14ac:dyDescent="0.2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</row>
    <row r="426" spans="1:47" x14ac:dyDescent="0.2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</row>
    <row r="427" spans="1:47" x14ac:dyDescent="0.2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</row>
    <row r="428" spans="1:47" x14ac:dyDescent="0.25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</row>
    <row r="429" spans="1:47" x14ac:dyDescent="0.25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</row>
    <row r="430" spans="1:47" x14ac:dyDescent="0.25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</row>
    <row r="431" spans="1:47" x14ac:dyDescent="0.25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</row>
    <row r="432" spans="1:47" x14ac:dyDescent="0.25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</row>
    <row r="433" spans="1:47" x14ac:dyDescent="0.25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</row>
    <row r="434" spans="1:47" x14ac:dyDescent="0.25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</row>
    <row r="435" spans="1:47" x14ac:dyDescent="0.2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</row>
    <row r="436" spans="1:47" x14ac:dyDescent="0.25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</row>
    <row r="437" spans="1:47" x14ac:dyDescent="0.25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</row>
    <row r="438" spans="1:47" x14ac:dyDescent="0.25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</row>
    <row r="439" spans="1:47" x14ac:dyDescent="0.25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</row>
    <row r="440" spans="1:47" x14ac:dyDescent="0.25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</row>
    <row r="441" spans="1:47" x14ac:dyDescent="0.25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</row>
    <row r="442" spans="1:47" x14ac:dyDescent="0.25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</row>
    <row r="443" spans="1:47" x14ac:dyDescent="0.25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</row>
    <row r="444" spans="1:47" x14ac:dyDescent="0.25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</row>
    <row r="445" spans="1:47" x14ac:dyDescent="0.2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</row>
    <row r="446" spans="1:47" x14ac:dyDescent="0.2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</row>
    <row r="447" spans="1:47" x14ac:dyDescent="0.2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</row>
    <row r="448" spans="1:47" x14ac:dyDescent="0.2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</row>
    <row r="449" spans="1:47" x14ac:dyDescent="0.2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</row>
    <row r="450" spans="1:47" x14ac:dyDescent="0.2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</row>
    <row r="451" spans="1:47" x14ac:dyDescent="0.2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</row>
    <row r="452" spans="1:47" x14ac:dyDescent="0.2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</row>
    <row r="453" spans="1:47" x14ac:dyDescent="0.2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</row>
    <row r="454" spans="1:47" x14ac:dyDescent="0.2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</row>
    <row r="455" spans="1:47" x14ac:dyDescent="0.2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</row>
    <row r="456" spans="1:47" x14ac:dyDescent="0.2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</row>
    <row r="457" spans="1:47" x14ac:dyDescent="0.2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</row>
    <row r="458" spans="1:47" x14ac:dyDescent="0.2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</row>
    <row r="459" spans="1:47" x14ac:dyDescent="0.2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</row>
    <row r="460" spans="1:47" x14ac:dyDescent="0.2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</row>
    <row r="461" spans="1:47" x14ac:dyDescent="0.2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</row>
    <row r="462" spans="1:47" x14ac:dyDescent="0.2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</row>
    <row r="463" spans="1:47" x14ac:dyDescent="0.2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</row>
    <row r="464" spans="1:47" x14ac:dyDescent="0.2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</row>
    <row r="465" spans="1:47" x14ac:dyDescent="0.2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</row>
    <row r="466" spans="1:47" x14ac:dyDescent="0.2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</row>
    <row r="467" spans="1:47" x14ac:dyDescent="0.2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</row>
    <row r="468" spans="1:47" x14ac:dyDescent="0.2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</row>
    <row r="469" spans="1:47" x14ac:dyDescent="0.2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</row>
    <row r="470" spans="1:47" x14ac:dyDescent="0.2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</row>
    <row r="471" spans="1:47" x14ac:dyDescent="0.2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</row>
    <row r="472" spans="1:47" x14ac:dyDescent="0.2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</row>
    <row r="473" spans="1:47" x14ac:dyDescent="0.2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</row>
    <row r="474" spans="1:47" x14ac:dyDescent="0.2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</row>
    <row r="475" spans="1:47" x14ac:dyDescent="0.2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</row>
    <row r="476" spans="1:47" x14ac:dyDescent="0.2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</row>
    <row r="477" spans="1:47" x14ac:dyDescent="0.2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</row>
    <row r="478" spans="1:47" x14ac:dyDescent="0.2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</row>
    <row r="479" spans="1:47" x14ac:dyDescent="0.2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</row>
    <row r="480" spans="1:47" x14ac:dyDescent="0.2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</row>
    <row r="481" spans="1:47" x14ac:dyDescent="0.2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</row>
    <row r="482" spans="1:47" x14ac:dyDescent="0.2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</row>
    <row r="483" spans="1:47" x14ac:dyDescent="0.2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</row>
    <row r="484" spans="1:47" x14ac:dyDescent="0.2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</row>
    <row r="485" spans="1:47" x14ac:dyDescent="0.2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</row>
    <row r="486" spans="1:47" x14ac:dyDescent="0.2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</row>
    <row r="487" spans="1:47" x14ac:dyDescent="0.2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</row>
    <row r="488" spans="1:47" x14ac:dyDescent="0.2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</row>
    <row r="489" spans="1:47" x14ac:dyDescent="0.2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</row>
    <row r="490" spans="1:47" x14ac:dyDescent="0.2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</row>
    <row r="491" spans="1:47" x14ac:dyDescent="0.2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</row>
    <row r="492" spans="1:47" x14ac:dyDescent="0.2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</row>
    <row r="493" spans="1:47" x14ac:dyDescent="0.2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</row>
    <row r="494" spans="1:47" x14ac:dyDescent="0.2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</row>
    <row r="495" spans="1:47" x14ac:dyDescent="0.2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</row>
    <row r="496" spans="1:47" x14ac:dyDescent="0.2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</row>
    <row r="497" spans="1:47" x14ac:dyDescent="0.2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</row>
    <row r="498" spans="1:47" x14ac:dyDescent="0.2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</row>
    <row r="499" spans="1:47" x14ac:dyDescent="0.2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</row>
    <row r="500" spans="1:47" x14ac:dyDescent="0.2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</row>
    <row r="501" spans="1:47" x14ac:dyDescent="0.2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</row>
    <row r="502" spans="1:47" x14ac:dyDescent="0.2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</row>
    <row r="503" spans="1:47" x14ac:dyDescent="0.2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</row>
    <row r="504" spans="1:47" x14ac:dyDescent="0.2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</row>
    <row r="505" spans="1:47" x14ac:dyDescent="0.2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</row>
    <row r="506" spans="1:47" x14ac:dyDescent="0.2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</row>
    <row r="507" spans="1:47" x14ac:dyDescent="0.2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</row>
    <row r="508" spans="1:47" x14ac:dyDescent="0.2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</row>
    <row r="509" spans="1:47" x14ac:dyDescent="0.2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</row>
    <row r="510" spans="1:47" x14ac:dyDescent="0.2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</row>
    <row r="511" spans="1:47" x14ac:dyDescent="0.2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</row>
    <row r="512" spans="1:47" x14ac:dyDescent="0.2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</row>
    <row r="513" spans="1:47" x14ac:dyDescent="0.2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</row>
    <row r="514" spans="1:47" x14ac:dyDescent="0.2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</row>
    <row r="515" spans="1:47" x14ac:dyDescent="0.2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</row>
    <row r="516" spans="1:47" x14ac:dyDescent="0.2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</row>
    <row r="517" spans="1:47" x14ac:dyDescent="0.2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</row>
    <row r="518" spans="1:47" x14ac:dyDescent="0.2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</row>
    <row r="519" spans="1:47" x14ac:dyDescent="0.2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</row>
    <row r="520" spans="1:47" x14ac:dyDescent="0.2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</row>
    <row r="521" spans="1:47" x14ac:dyDescent="0.2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</row>
    <row r="522" spans="1:47" x14ac:dyDescent="0.2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</row>
    <row r="523" spans="1:47" x14ac:dyDescent="0.2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</row>
    <row r="524" spans="1:47" x14ac:dyDescent="0.2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</row>
    <row r="525" spans="1:47" x14ac:dyDescent="0.2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</row>
    <row r="526" spans="1:47" x14ac:dyDescent="0.2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</row>
    <row r="527" spans="1:47" x14ac:dyDescent="0.2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</row>
    <row r="528" spans="1:47" x14ac:dyDescent="0.2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</row>
    <row r="529" spans="1:47" x14ac:dyDescent="0.2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</row>
    <row r="530" spans="1:47" x14ac:dyDescent="0.2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</row>
    <row r="531" spans="1:47" x14ac:dyDescent="0.2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</row>
    <row r="532" spans="1:47" x14ac:dyDescent="0.2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</row>
    <row r="533" spans="1:47" x14ac:dyDescent="0.2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</row>
    <row r="534" spans="1:47" x14ac:dyDescent="0.2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</row>
    <row r="535" spans="1:47" x14ac:dyDescent="0.2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</row>
    <row r="536" spans="1:47" x14ac:dyDescent="0.2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</row>
    <row r="537" spans="1:47" x14ac:dyDescent="0.2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</row>
    <row r="538" spans="1:47" x14ac:dyDescent="0.2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</row>
    <row r="539" spans="1:47" x14ac:dyDescent="0.2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</row>
    <row r="540" spans="1:47" x14ac:dyDescent="0.2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</row>
    <row r="541" spans="1:47" x14ac:dyDescent="0.2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</row>
    <row r="542" spans="1:47" x14ac:dyDescent="0.2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</row>
    <row r="543" spans="1:47" x14ac:dyDescent="0.2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</row>
    <row r="544" spans="1:47" x14ac:dyDescent="0.2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</row>
    <row r="545" spans="1:47" x14ac:dyDescent="0.2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</row>
    <row r="546" spans="1:47" x14ac:dyDescent="0.2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</row>
    <row r="547" spans="1:47" x14ac:dyDescent="0.2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</row>
    <row r="548" spans="1:47" x14ac:dyDescent="0.2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</row>
    <row r="549" spans="1:47" x14ac:dyDescent="0.2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</row>
    <row r="550" spans="1:47" x14ac:dyDescent="0.2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</row>
    <row r="551" spans="1:47" x14ac:dyDescent="0.2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</row>
    <row r="552" spans="1:47" x14ac:dyDescent="0.2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</row>
    <row r="553" spans="1:47" x14ac:dyDescent="0.2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</row>
    <row r="554" spans="1:47" x14ac:dyDescent="0.2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</row>
    <row r="555" spans="1:47" x14ac:dyDescent="0.2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</row>
    <row r="556" spans="1:47" x14ac:dyDescent="0.2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</row>
    <row r="557" spans="1:47" x14ac:dyDescent="0.2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</row>
    <row r="558" spans="1:47" x14ac:dyDescent="0.2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</row>
    <row r="559" spans="1:47" x14ac:dyDescent="0.2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</row>
    <row r="560" spans="1:47" x14ac:dyDescent="0.2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</row>
    <row r="561" spans="1:47" x14ac:dyDescent="0.2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</row>
    <row r="562" spans="1:47" x14ac:dyDescent="0.2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</row>
    <row r="563" spans="1:47" x14ac:dyDescent="0.2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</row>
    <row r="564" spans="1:47" x14ac:dyDescent="0.2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</row>
    <row r="565" spans="1:47" x14ac:dyDescent="0.2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</row>
    <row r="566" spans="1:47" x14ac:dyDescent="0.2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</row>
    <row r="567" spans="1:47" x14ac:dyDescent="0.2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</row>
    <row r="568" spans="1:47" x14ac:dyDescent="0.2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</row>
    <row r="569" spans="1:47" x14ac:dyDescent="0.2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</row>
    <row r="570" spans="1:47" x14ac:dyDescent="0.2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</row>
    <row r="571" spans="1:47" x14ac:dyDescent="0.2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</row>
    <row r="572" spans="1:47" x14ac:dyDescent="0.2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</row>
    <row r="573" spans="1:47" x14ac:dyDescent="0.2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</row>
    <row r="574" spans="1:47" x14ac:dyDescent="0.2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</row>
    <row r="575" spans="1:47" x14ac:dyDescent="0.2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</row>
    <row r="576" spans="1:47" x14ac:dyDescent="0.25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</row>
    <row r="577" spans="1:47" x14ac:dyDescent="0.25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</row>
    <row r="578" spans="1:47" x14ac:dyDescent="0.25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</row>
    <row r="579" spans="1:47" x14ac:dyDescent="0.25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</row>
    <row r="580" spans="1:47" x14ac:dyDescent="0.25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</row>
    <row r="581" spans="1:47" x14ac:dyDescent="0.25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</row>
    <row r="582" spans="1:47" x14ac:dyDescent="0.25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</row>
    <row r="583" spans="1:47" x14ac:dyDescent="0.25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</row>
    <row r="584" spans="1:47" x14ac:dyDescent="0.25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</row>
    <row r="585" spans="1:47" x14ac:dyDescent="0.2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</row>
    <row r="586" spans="1:47" x14ac:dyDescent="0.25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</row>
    <row r="587" spans="1:47" x14ac:dyDescent="0.25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</row>
    <row r="588" spans="1:47" x14ac:dyDescent="0.25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</row>
    <row r="589" spans="1:47" x14ac:dyDescent="0.25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</row>
    <row r="590" spans="1:47" x14ac:dyDescent="0.25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</row>
    <row r="591" spans="1:47" x14ac:dyDescent="0.25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</row>
    <row r="592" spans="1:47" x14ac:dyDescent="0.25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</row>
    <row r="593" spans="1:47" x14ac:dyDescent="0.25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</row>
    <row r="594" spans="1:47" x14ac:dyDescent="0.25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</row>
    <row r="595" spans="1:47" x14ac:dyDescent="0.2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</row>
    <row r="596" spans="1:47" x14ac:dyDescent="0.25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</row>
    <row r="597" spans="1:47" x14ac:dyDescent="0.25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</row>
    <row r="598" spans="1:47" x14ac:dyDescent="0.25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</row>
    <row r="599" spans="1:47" x14ac:dyDescent="0.25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</row>
    <row r="600" spans="1:47" x14ac:dyDescent="0.25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</row>
    <row r="601" spans="1:47" x14ac:dyDescent="0.25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</row>
    <row r="602" spans="1:47" x14ac:dyDescent="0.25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  <c r="AU602" s="51"/>
    </row>
    <row r="603" spans="1:47" x14ac:dyDescent="0.25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</row>
    <row r="604" spans="1:47" x14ac:dyDescent="0.25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  <c r="AU604" s="51"/>
    </row>
    <row r="605" spans="1:47" x14ac:dyDescent="0.2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</row>
    <row r="606" spans="1:47" x14ac:dyDescent="0.25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</row>
    <row r="607" spans="1:47" x14ac:dyDescent="0.25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</row>
    <row r="608" spans="1:47" x14ac:dyDescent="0.25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</row>
    <row r="609" spans="1:47" x14ac:dyDescent="0.25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</row>
    <row r="610" spans="1:47" x14ac:dyDescent="0.25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</row>
    <row r="611" spans="1:47" x14ac:dyDescent="0.25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51"/>
    </row>
    <row r="612" spans="1:47" x14ac:dyDescent="0.25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</row>
    <row r="613" spans="1:47" x14ac:dyDescent="0.25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</row>
    <row r="614" spans="1:47" x14ac:dyDescent="0.25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</row>
    <row r="615" spans="1:47" x14ac:dyDescent="0.2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51"/>
    </row>
    <row r="616" spans="1:47" x14ac:dyDescent="0.25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51"/>
    </row>
    <row r="617" spans="1:47" x14ac:dyDescent="0.25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51"/>
    </row>
    <row r="618" spans="1:47" x14ac:dyDescent="0.25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51"/>
    </row>
    <row r="619" spans="1:47" x14ac:dyDescent="0.25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</row>
    <row r="620" spans="1:47" x14ac:dyDescent="0.25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</row>
    <row r="621" spans="1:47" x14ac:dyDescent="0.25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</row>
    <row r="622" spans="1:47" x14ac:dyDescent="0.25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</row>
    <row r="623" spans="1:47" x14ac:dyDescent="0.25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  <c r="AU623" s="51"/>
    </row>
    <row r="624" spans="1:47" x14ac:dyDescent="0.25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  <c r="AU624" s="51"/>
    </row>
    <row r="625" spans="1:47" x14ac:dyDescent="0.2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  <c r="AU625" s="51"/>
    </row>
    <row r="626" spans="1:47" x14ac:dyDescent="0.25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  <c r="AT626" s="51"/>
      <c r="AU626" s="51"/>
    </row>
    <row r="627" spans="1:47" x14ac:dyDescent="0.25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  <c r="AT627" s="51"/>
      <c r="AU627" s="51"/>
    </row>
    <row r="628" spans="1:47" x14ac:dyDescent="0.25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  <c r="AU628" s="51"/>
    </row>
    <row r="629" spans="1:47" x14ac:dyDescent="0.25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  <c r="AU629" s="51"/>
    </row>
    <row r="630" spans="1:47" x14ac:dyDescent="0.25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  <c r="AU630" s="51"/>
    </row>
    <row r="631" spans="1:47" x14ac:dyDescent="0.25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  <c r="AU631" s="51"/>
    </row>
    <row r="632" spans="1:47" x14ac:dyDescent="0.25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  <c r="AU632" s="51"/>
    </row>
    <row r="633" spans="1:47" x14ac:dyDescent="0.25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/>
      <c r="AU633" s="51"/>
    </row>
    <row r="634" spans="1:47" x14ac:dyDescent="0.25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/>
      <c r="AU634" s="51"/>
    </row>
    <row r="635" spans="1:47" x14ac:dyDescent="0.2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/>
      <c r="AU635" s="51"/>
    </row>
    <row r="636" spans="1:47" x14ac:dyDescent="0.25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51"/>
    </row>
    <row r="637" spans="1:47" x14ac:dyDescent="0.25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  <c r="AU637" s="51"/>
    </row>
    <row r="638" spans="1:47" x14ac:dyDescent="0.25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  <c r="AU638" s="51"/>
    </row>
    <row r="639" spans="1:47" x14ac:dyDescent="0.25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  <c r="AQ639" s="51"/>
      <c r="AR639" s="51"/>
      <c r="AS639" s="51"/>
      <c r="AT639" s="51"/>
      <c r="AU639" s="51"/>
    </row>
    <row r="640" spans="1:47" x14ac:dyDescent="0.25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  <c r="AT640" s="51"/>
      <c r="AU640" s="51"/>
    </row>
    <row r="641" spans="1:47" x14ac:dyDescent="0.25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  <c r="AT641" s="51"/>
      <c r="AU641" s="51"/>
    </row>
    <row r="642" spans="1:47" x14ac:dyDescent="0.25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  <c r="AQ642" s="51"/>
      <c r="AR642" s="51"/>
      <c r="AS642" s="51"/>
      <c r="AT642" s="51"/>
      <c r="AU642" s="51"/>
    </row>
    <row r="643" spans="1:47" x14ac:dyDescent="0.25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  <c r="AQ643" s="51"/>
      <c r="AR643" s="51"/>
      <c r="AS643" s="51"/>
      <c r="AT643" s="51"/>
      <c r="AU643" s="51"/>
    </row>
    <row r="644" spans="1:47" x14ac:dyDescent="0.25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  <c r="AT644" s="51"/>
      <c r="AU644" s="51"/>
    </row>
    <row r="645" spans="1:47" x14ac:dyDescent="0.2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  <c r="AT645" s="51"/>
      <c r="AU645" s="51"/>
    </row>
    <row r="646" spans="1:47" x14ac:dyDescent="0.25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  <c r="AU646" s="51"/>
    </row>
    <row r="647" spans="1:47" x14ac:dyDescent="0.25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  <c r="AQ647" s="51"/>
      <c r="AR647" s="51"/>
      <c r="AS647" s="51"/>
      <c r="AT647" s="51"/>
      <c r="AU647" s="51"/>
    </row>
    <row r="648" spans="1:47" x14ac:dyDescent="0.25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  <c r="AQ648" s="51"/>
      <c r="AR648" s="51"/>
      <c r="AS648" s="51"/>
      <c r="AT648" s="51"/>
      <c r="AU648" s="51"/>
    </row>
    <row r="649" spans="1:47" x14ac:dyDescent="0.25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  <c r="AT649" s="51"/>
      <c r="AU649" s="51"/>
    </row>
    <row r="650" spans="1:47" x14ac:dyDescent="0.25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  <c r="AQ650" s="51"/>
      <c r="AR650" s="51"/>
      <c r="AS650" s="51"/>
      <c r="AT650" s="51"/>
      <c r="AU650" s="51"/>
    </row>
    <row r="651" spans="1:47" x14ac:dyDescent="0.25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  <c r="AQ651" s="51"/>
      <c r="AR651" s="51"/>
      <c r="AS651" s="51"/>
      <c r="AT651" s="51"/>
      <c r="AU651" s="51"/>
    </row>
    <row r="652" spans="1:47" x14ac:dyDescent="0.25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  <c r="AQ652" s="51"/>
      <c r="AR652" s="51"/>
      <c r="AS652" s="51"/>
      <c r="AT652" s="51"/>
      <c r="AU652" s="51"/>
    </row>
    <row r="653" spans="1:47" x14ac:dyDescent="0.25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  <c r="AQ653" s="51"/>
      <c r="AR653" s="51"/>
      <c r="AS653" s="51"/>
      <c r="AT653" s="51"/>
      <c r="AU653" s="51"/>
    </row>
    <row r="654" spans="1:47" x14ac:dyDescent="0.25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  <c r="AR654" s="51"/>
      <c r="AS654" s="51"/>
      <c r="AT654" s="51"/>
      <c r="AU654" s="51"/>
    </row>
    <row r="655" spans="1:47" x14ac:dyDescent="0.2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51"/>
    </row>
    <row r="656" spans="1:47" x14ac:dyDescent="0.25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  <c r="AU656" s="51"/>
    </row>
    <row r="657" spans="1:47" x14ac:dyDescent="0.25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1"/>
      <c r="AU657" s="51"/>
    </row>
    <row r="658" spans="1:47" x14ac:dyDescent="0.25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  <c r="AU658" s="51"/>
    </row>
    <row r="659" spans="1:47" x14ac:dyDescent="0.25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  <c r="AU659" s="51"/>
    </row>
    <row r="660" spans="1:47" x14ac:dyDescent="0.25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  <c r="AT660" s="51"/>
      <c r="AU660" s="51"/>
    </row>
    <row r="661" spans="1:47" x14ac:dyDescent="0.25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  <c r="AQ661" s="51"/>
      <c r="AR661" s="51"/>
      <c r="AS661" s="51"/>
      <c r="AT661" s="51"/>
      <c r="AU661" s="51"/>
    </row>
    <row r="662" spans="1:47" x14ac:dyDescent="0.25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  <c r="AU662" s="51"/>
    </row>
    <row r="663" spans="1:47" x14ac:dyDescent="0.25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  <c r="AU663" s="51"/>
    </row>
    <row r="664" spans="1:47" x14ac:dyDescent="0.25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  <c r="AU664" s="51"/>
    </row>
    <row r="665" spans="1:47" x14ac:dyDescent="0.2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  <c r="AQ665" s="51"/>
      <c r="AR665" s="51"/>
      <c r="AS665" s="51"/>
      <c r="AT665" s="51"/>
      <c r="AU665" s="51"/>
    </row>
    <row r="666" spans="1:47" x14ac:dyDescent="0.25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  <c r="AU666" s="51"/>
    </row>
    <row r="667" spans="1:47" x14ac:dyDescent="0.25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  <c r="AU667" s="51"/>
    </row>
    <row r="668" spans="1:47" x14ac:dyDescent="0.25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  <c r="AQ668" s="51"/>
      <c r="AR668" s="51"/>
      <c r="AS668" s="51"/>
      <c r="AT668" s="51"/>
      <c r="AU668" s="51"/>
    </row>
    <row r="669" spans="1:47" x14ac:dyDescent="0.25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  <c r="AT669" s="51"/>
      <c r="AU669" s="51"/>
    </row>
    <row r="670" spans="1:47" x14ac:dyDescent="0.25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  <c r="AU670" s="51"/>
    </row>
    <row r="671" spans="1:47" x14ac:dyDescent="0.25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51"/>
    </row>
    <row r="672" spans="1:47" x14ac:dyDescent="0.25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  <c r="AT672" s="51"/>
      <c r="AU672" s="51"/>
    </row>
    <row r="673" spans="1:47" x14ac:dyDescent="0.25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  <c r="AT673" s="51"/>
      <c r="AU673" s="51"/>
    </row>
    <row r="674" spans="1:47" x14ac:dyDescent="0.25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  <c r="AT674" s="51"/>
      <c r="AU674" s="51"/>
    </row>
    <row r="675" spans="1:47" x14ac:dyDescent="0.2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/>
      <c r="AS675" s="51"/>
      <c r="AT675" s="51"/>
      <c r="AU675" s="51"/>
    </row>
    <row r="676" spans="1:47" x14ac:dyDescent="0.25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  <c r="AT676" s="51"/>
      <c r="AU676" s="51"/>
    </row>
    <row r="677" spans="1:47" x14ac:dyDescent="0.25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  <c r="AU677" s="51"/>
    </row>
    <row r="678" spans="1:47" x14ac:dyDescent="0.25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  <c r="AT678" s="51"/>
      <c r="AU678" s="51"/>
    </row>
    <row r="679" spans="1:47" x14ac:dyDescent="0.25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  <c r="AT679" s="51"/>
      <c r="AU679" s="51"/>
    </row>
    <row r="680" spans="1:47" x14ac:dyDescent="0.25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  <c r="AQ680" s="51"/>
      <c r="AR680" s="51"/>
      <c r="AS680" s="51"/>
      <c r="AT680" s="51"/>
      <c r="AU680" s="51"/>
    </row>
    <row r="681" spans="1:47" x14ac:dyDescent="0.25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  <c r="AU681" s="51"/>
    </row>
    <row r="682" spans="1:47" x14ac:dyDescent="0.25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  <c r="AO682" s="51"/>
      <c r="AP682" s="51"/>
      <c r="AQ682" s="51"/>
      <c r="AR682" s="51"/>
      <c r="AS682" s="51"/>
      <c r="AT682" s="51"/>
      <c r="AU682" s="51"/>
    </row>
    <row r="683" spans="1:47" x14ac:dyDescent="0.25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  <c r="AO683" s="51"/>
      <c r="AP683" s="51"/>
      <c r="AQ683" s="51"/>
      <c r="AR683" s="51"/>
      <c r="AS683" s="51"/>
      <c r="AT683" s="51"/>
      <c r="AU683" s="51"/>
    </row>
    <row r="684" spans="1:47" x14ac:dyDescent="0.25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  <c r="AO684" s="51"/>
      <c r="AP684" s="51"/>
      <c r="AQ684" s="51"/>
      <c r="AR684" s="51"/>
      <c r="AS684" s="51"/>
      <c r="AT684" s="51"/>
      <c r="AU684" s="51"/>
    </row>
    <row r="685" spans="1:47" x14ac:dyDescent="0.2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  <c r="AO685" s="51"/>
      <c r="AP685" s="51"/>
      <c r="AQ685" s="51"/>
      <c r="AR685" s="51"/>
      <c r="AS685" s="51"/>
      <c r="AT685" s="51"/>
      <c r="AU685" s="51"/>
    </row>
    <row r="686" spans="1:47" x14ac:dyDescent="0.25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  <c r="AO686" s="51"/>
      <c r="AP686" s="51"/>
      <c r="AQ686" s="51"/>
      <c r="AR686" s="51"/>
      <c r="AS686" s="51"/>
      <c r="AT686" s="51"/>
      <c r="AU686" s="51"/>
    </row>
    <row r="687" spans="1:47" x14ac:dyDescent="0.25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  <c r="AO687" s="51"/>
      <c r="AP687" s="51"/>
      <c r="AQ687" s="51"/>
      <c r="AR687" s="51"/>
      <c r="AS687" s="51"/>
      <c r="AT687" s="51"/>
      <c r="AU687" s="51"/>
    </row>
    <row r="688" spans="1:47" x14ac:dyDescent="0.25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  <c r="AO688" s="51"/>
      <c r="AP688" s="51"/>
      <c r="AQ688" s="51"/>
      <c r="AR688" s="51"/>
      <c r="AS688" s="51"/>
      <c r="AT688" s="51"/>
      <c r="AU688" s="51"/>
    </row>
    <row r="689" spans="1:47" x14ac:dyDescent="0.25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  <c r="AO689" s="51"/>
      <c r="AP689" s="51"/>
      <c r="AQ689" s="51"/>
      <c r="AR689" s="51"/>
      <c r="AS689" s="51"/>
      <c r="AT689" s="51"/>
      <c r="AU689" s="51"/>
    </row>
    <row r="690" spans="1:47" x14ac:dyDescent="0.25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  <c r="AO690" s="51"/>
      <c r="AP690" s="51"/>
      <c r="AQ690" s="51"/>
      <c r="AR690" s="51"/>
      <c r="AS690" s="51"/>
      <c r="AT690" s="51"/>
      <c r="AU690" s="51"/>
    </row>
    <row r="691" spans="1:47" x14ac:dyDescent="0.25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  <c r="AM691" s="51"/>
      <c r="AN691" s="51"/>
      <c r="AO691" s="51"/>
      <c r="AP691" s="51"/>
      <c r="AQ691" s="51"/>
      <c r="AR691" s="51"/>
      <c r="AS691" s="51"/>
      <c r="AT691" s="51"/>
      <c r="AU691" s="51"/>
    </row>
    <row r="692" spans="1:47" x14ac:dyDescent="0.25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  <c r="AO692" s="51"/>
      <c r="AP692" s="51"/>
      <c r="AQ692" s="51"/>
      <c r="AR692" s="51"/>
      <c r="AS692" s="51"/>
      <c r="AT692" s="51"/>
      <c r="AU692" s="51"/>
    </row>
    <row r="693" spans="1:47" x14ac:dyDescent="0.25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  <c r="AM693" s="51"/>
      <c r="AN693" s="51"/>
      <c r="AO693" s="51"/>
      <c r="AP693" s="51"/>
      <c r="AQ693" s="51"/>
      <c r="AR693" s="51"/>
      <c r="AS693" s="51"/>
      <c r="AT693" s="51"/>
      <c r="AU693" s="51"/>
    </row>
    <row r="694" spans="1:47" x14ac:dyDescent="0.25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  <c r="AM694" s="51"/>
      <c r="AN694" s="51"/>
      <c r="AO694" s="51"/>
      <c r="AP694" s="51"/>
      <c r="AQ694" s="51"/>
      <c r="AR694" s="51"/>
      <c r="AS694" s="51"/>
      <c r="AT694" s="51"/>
      <c r="AU694" s="51"/>
    </row>
    <row r="695" spans="1:47" x14ac:dyDescent="0.2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  <c r="AO695" s="51"/>
      <c r="AP695" s="51"/>
      <c r="AQ695" s="51"/>
      <c r="AR695" s="51"/>
      <c r="AS695" s="51"/>
      <c r="AT695" s="51"/>
      <c r="AU695" s="51"/>
    </row>
    <row r="696" spans="1:47" x14ac:dyDescent="0.25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  <c r="AM696" s="51"/>
      <c r="AN696" s="51"/>
      <c r="AO696" s="51"/>
      <c r="AP696" s="51"/>
      <c r="AQ696" s="51"/>
      <c r="AR696" s="51"/>
      <c r="AS696" s="51"/>
      <c r="AT696" s="51"/>
      <c r="AU696" s="51"/>
    </row>
    <row r="697" spans="1:47" x14ac:dyDescent="0.25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  <c r="AO697" s="51"/>
      <c r="AP697" s="51"/>
      <c r="AQ697" s="51"/>
      <c r="AR697" s="51"/>
      <c r="AS697" s="51"/>
      <c r="AT697" s="51"/>
      <c r="AU697" s="51"/>
    </row>
    <row r="698" spans="1:47" x14ac:dyDescent="0.25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  <c r="AM698" s="51"/>
      <c r="AN698" s="51"/>
      <c r="AO698" s="51"/>
      <c r="AP698" s="51"/>
      <c r="AQ698" s="51"/>
      <c r="AR698" s="51"/>
      <c r="AS698" s="51"/>
      <c r="AT698" s="51"/>
      <c r="AU698" s="51"/>
    </row>
    <row r="699" spans="1:47" x14ac:dyDescent="0.25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  <c r="AM699" s="51"/>
      <c r="AN699" s="51"/>
      <c r="AO699" s="51"/>
      <c r="AP699" s="51"/>
      <c r="AQ699" s="51"/>
      <c r="AR699" s="51"/>
      <c r="AS699" s="51"/>
      <c r="AT699" s="51"/>
      <c r="AU699" s="51"/>
    </row>
    <row r="700" spans="1:47" x14ac:dyDescent="0.25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  <c r="AM700" s="51"/>
      <c r="AN700" s="51"/>
      <c r="AO700" s="51"/>
      <c r="AP700" s="51"/>
      <c r="AQ700" s="51"/>
      <c r="AR700" s="51"/>
      <c r="AS700" s="51"/>
      <c r="AT700" s="51"/>
      <c r="AU700" s="51"/>
    </row>
    <row r="701" spans="1:47" x14ac:dyDescent="0.25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  <c r="AM701" s="51"/>
      <c r="AN701" s="51"/>
      <c r="AO701" s="51"/>
      <c r="AP701" s="51"/>
      <c r="AQ701" s="51"/>
      <c r="AR701" s="51"/>
      <c r="AS701" s="51"/>
      <c r="AT701" s="51"/>
      <c r="AU701" s="51"/>
    </row>
    <row r="702" spans="1:47" x14ac:dyDescent="0.25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  <c r="AM702" s="51"/>
      <c r="AN702" s="51"/>
      <c r="AO702" s="51"/>
      <c r="AP702" s="51"/>
      <c r="AQ702" s="51"/>
      <c r="AR702" s="51"/>
      <c r="AS702" s="51"/>
      <c r="AT702" s="51"/>
      <c r="AU702" s="51"/>
    </row>
    <row r="703" spans="1:47" x14ac:dyDescent="0.25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  <c r="AM703" s="51"/>
      <c r="AN703" s="51"/>
      <c r="AO703" s="51"/>
      <c r="AP703" s="51"/>
      <c r="AQ703" s="51"/>
      <c r="AR703" s="51"/>
      <c r="AS703" s="51"/>
      <c r="AT703" s="51"/>
      <c r="AU703" s="51"/>
    </row>
    <row r="704" spans="1:47" x14ac:dyDescent="0.25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/>
      <c r="AP704" s="51"/>
      <c r="AQ704" s="51"/>
      <c r="AR704" s="51"/>
      <c r="AS704" s="51"/>
      <c r="AT704" s="51"/>
      <c r="AU704" s="51"/>
    </row>
    <row r="705" spans="1:47" x14ac:dyDescent="0.2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  <c r="AM705" s="51"/>
      <c r="AN705" s="51"/>
      <c r="AO705" s="51"/>
      <c r="AP705" s="51"/>
      <c r="AQ705" s="51"/>
      <c r="AR705" s="51"/>
      <c r="AS705" s="51"/>
      <c r="AT705" s="51"/>
      <c r="AU705" s="51"/>
    </row>
    <row r="706" spans="1:47" x14ac:dyDescent="0.25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  <c r="AM706" s="51"/>
      <c r="AN706" s="51"/>
      <c r="AO706" s="51"/>
      <c r="AP706" s="51"/>
      <c r="AQ706" s="51"/>
      <c r="AR706" s="51"/>
      <c r="AS706" s="51"/>
      <c r="AT706" s="51"/>
      <c r="AU706" s="51"/>
    </row>
    <row r="707" spans="1:47" x14ac:dyDescent="0.25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  <c r="AM707" s="51"/>
      <c r="AN707" s="51"/>
      <c r="AO707" s="51"/>
      <c r="AP707" s="51"/>
      <c r="AQ707" s="51"/>
      <c r="AR707" s="51"/>
      <c r="AS707" s="51"/>
      <c r="AT707" s="51"/>
      <c r="AU707" s="51"/>
    </row>
    <row r="708" spans="1:47" x14ac:dyDescent="0.25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  <c r="AO708" s="51"/>
      <c r="AP708" s="51"/>
      <c r="AQ708" s="51"/>
      <c r="AR708" s="51"/>
      <c r="AS708" s="51"/>
      <c r="AT708" s="51"/>
      <c r="AU708" s="51"/>
    </row>
    <row r="709" spans="1:47" x14ac:dyDescent="0.25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  <c r="AM709" s="51"/>
      <c r="AN709" s="51"/>
      <c r="AO709" s="51"/>
      <c r="AP709" s="51"/>
      <c r="AQ709" s="51"/>
      <c r="AR709" s="51"/>
      <c r="AS709" s="51"/>
      <c r="AT709" s="51"/>
      <c r="AU709" s="51"/>
    </row>
    <row r="710" spans="1:47" x14ac:dyDescent="0.25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  <c r="AM710" s="51"/>
      <c r="AN710" s="51"/>
      <c r="AO710" s="51"/>
      <c r="AP710" s="51"/>
      <c r="AQ710" s="51"/>
      <c r="AR710" s="51"/>
      <c r="AS710" s="51"/>
      <c r="AT710" s="51"/>
      <c r="AU710" s="51"/>
    </row>
    <row r="711" spans="1:47" x14ac:dyDescent="0.25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  <c r="AM711" s="51"/>
      <c r="AN711" s="51"/>
      <c r="AO711" s="51"/>
      <c r="AP711" s="51"/>
      <c r="AQ711" s="51"/>
      <c r="AR711" s="51"/>
      <c r="AS711" s="51"/>
      <c r="AT711" s="51"/>
      <c r="AU711" s="51"/>
    </row>
    <row r="712" spans="1:47" x14ac:dyDescent="0.25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  <c r="AM712" s="51"/>
      <c r="AN712" s="51"/>
      <c r="AO712" s="51"/>
      <c r="AP712" s="51"/>
      <c r="AQ712" s="51"/>
      <c r="AR712" s="51"/>
      <c r="AS712" s="51"/>
      <c r="AT712" s="51"/>
      <c r="AU712" s="51"/>
    </row>
    <row r="713" spans="1:47" x14ac:dyDescent="0.25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  <c r="AM713" s="51"/>
      <c r="AN713" s="51"/>
      <c r="AO713" s="51"/>
      <c r="AP713" s="51"/>
      <c r="AQ713" s="51"/>
      <c r="AR713" s="51"/>
      <c r="AS713" s="51"/>
      <c r="AT713" s="51"/>
      <c r="AU713" s="51"/>
    </row>
    <row r="714" spans="1:47" x14ac:dyDescent="0.25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  <c r="AM714" s="51"/>
      <c r="AN714" s="51"/>
      <c r="AO714" s="51"/>
      <c r="AP714" s="51"/>
      <c r="AQ714" s="51"/>
      <c r="AR714" s="51"/>
      <c r="AS714" s="51"/>
      <c r="AT714" s="51"/>
      <c r="AU714" s="51"/>
    </row>
    <row r="715" spans="1:47" x14ac:dyDescent="0.2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  <c r="AM715" s="51"/>
      <c r="AN715" s="51"/>
      <c r="AO715" s="51"/>
      <c r="AP715" s="51"/>
      <c r="AQ715" s="51"/>
      <c r="AR715" s="51"/>
      <c r="AS715" s="51"/>
      <c r="AT715" s="51"/>
      <c r="AU715" s="51"/>
    </row>
    <row r="716" spans="1:47" x14ac:dyDescent="0.25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  <c r="AO716" s="51"/>
      <c r="AP716" s="51"/>
      <c r="AQ716" s="51"/>
      <c r="AR716" s="51"/>
      <c r="AS716" s="51"/>
      <c r="AT716" s="51"/>
      <c r="AU716" s="51"/>
    </row>
    <row r="717" spans="1:47" x14ac:dyDescent="0.25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  <c r="AM717" s="51"/>
      <c r="AN717" s="51"/>
      <c r="AO717" s="51"/>
      <c r="AP717" s="51"/>
      <c r="AQ717" s="51"/>
      <c r="AR717" s="51"/>
      <c r="AS717" s="51"/>
      <c r="AT717" s="51"/>
      <c r="AU717" s="51"/>
    </row>
    <row r="718" spans="1:47" x14ac:dyDescent="0.25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  <c r="AM718" s="51"/>
      <c r="AN718" s="51"/>
      <c r="AO718" s="51"/>
      <c r="AP718" s="51"/>
      <c r="AQ718" s="51"/>
      <c r="AR718" s="51"/>
      <c r="AS718" s="51"/>
      <c r="AT718" s="51"/>
      <c r="AU718" s="51"/>
    </row>
    <row r="719" spans="1:47" x14ac:dyDescent="0.25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  <c r="AM719" s="51"/>
      <c r="AN719" s="51"/>
      <c r="AO719" s="51"/>
      <c r="AP719" s="51"/>
      <c r="AQ719" s="51"/>
      <c r="AR719" s="51"/>
      <c r="AS719" s="51"/>
      <c r="AT719" s="51"/>
      <c r="AU719" s="51"/>
    </row>
    <row r="720" spans="1:47" x14ac:dyDescent="0.25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  <c r="AM720" s="51"/>
      <c r="AN720" s="51"/>
      <c r="AO720" s="51"/>
      <c r="AP720" s="51"/>
      <c r="AQ720" s="51"/>
      <c r="AR720" s="51"/>
      <c r="AS720" s="51"/>
      <c r="AT720" s="51"/>
      <c r="AU720" s="51"/>
    </row>
    <row r="721" spans="1:47" x14ac:dyDescent="0.25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  <c r="AM721" s="51"/>
      <c r="AN721" s="51"/>
      <c r="AO721" s="51"/>
      <c r="AP721" s="51"/>
      <c r="AQ721" s="51"/>
      <c r="AR721" s="51"/>
      <c r="AS721" s="51"/>
      <c r="AT721" s="51"/>
      <c r="AU721" s="51"/>
    </row>
    <row r="722" spans="1:47" x14ac:dyDescent="0.25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  <c r="AM722" s="51"/>
      <c r="AN722" s="51"/>
      <c r="AO722" s="51"/>
      <c r="AP722" s="51"/>
      <c r="AQ722" s="51"/>
      <c r="AR722" s="51"/>
      <c r="AS722" s="51"/>
      <c r="AT722" s="51"/>
      <c r="AU722" s="51"/>
    </row>
    <row r="723" spans="1:47" x14ac:dyDescent="0.25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  <c r="AM723" s="51"/>
      <c r="AN723" s="51"/>
      <c r="AO723" s="51"/>
      <c r="AP723" s="51"/>
      <c r="AQ723" s="51"/>
      <c r="AR723" s="51"/>
      <c r="AS723" s="51"/>
      <c r="AT723" s="51"/>
      <c r="AU723" s="51"/>
    </row>
    <row r="724" spans="1:47" x14ac:dyDescent="0.25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  <c r="AM724" s="51"/>
      <c r="AN724" s="51"/>
      <c r="AO724" s="51"/>
      <c r="AP724" s="51"/>
      <c r="AQ724" s="51"/>
      <c r="AR724" s="51"/>
      <c r="AS724" s="51"/>
      <c r="AT724" s="51"/>
      <c r="AU724" s="51"/>
    </row>
    <row r="725" spans="1:47" x14ac:dyDescent="0.2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  <c r="AM725" s="51"/>
      <c r="AN725" s="51"/>
      <c r="AO725" s="51"/>
      <c r="AP725" s="51"/>
      <c r="AQ725" s="51"/>
      <c r="AR725" s="51"/>
      <c r="AS725" s="51"/>
      <c r="AT725" s="51"/>
      <c r="AU725" s="51"/>
    </row>
    <row r="726" spans="1:47" x14ac:dyDescent="0.25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  <c r="AM726" s="51"/>
      <c r="AN726" s="51"/>
      <c r="AO726" s="51"/>
      <c r="AP726" s="51"/>
      <c r="AQ726" s="51"/>
      <c r="AR726" s="51"/>
      <c r="AS726" s="51"/>
      <c r="AT726" s="51"/>
      <c r="AU726" s="51"/>
    </row>
    <row r="727" spans="1:47" x14ac:dyDescent="0.25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  <c r="AM727" s="51"/>
      <c r="AN727" s="51"/>
      <c r="AO727" s="51"/>
      <c r="AP727" s="51"/>
      <c r="AQ727" s="51"/>
      <c r="AR727" s="51"/>
      <c r="AS727" s="51"/>
      <c r="AT727" s="51"/>
      <c r="AU727" s="51"/>
    </row>
    <row r="728" spans="1:47" x14ac:dyDescent="0.25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  <c r="AM728" s="51"/>
      <c r="AN728" s="51"/>
      <c r="AO728" s="51"/>
      <c r="AP728" s="51"/>
      <c r="AQ728" s="51"/>
      <c r="AR728" s="51"/>
      <c r="AS728" s="51"/>
      <c r="AT728" s="51"/>
      <c r="AU728" s="51"/>
    </row>
    <row r="729" spans="1:47" x14ac:dyDescent="0.25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  <c r="AM729" s="51"/>
      <c r="AN729" s="51"/>
      <c r="AO729" s="51"/>
      <c r="AP729" s="51"/>
      <c r="AQ729" s="51"/>
      <c r="AR729" s="51"/>
      <c r="AS729" s="51"/>
      <c r="AT729" s="51"/>
      <c r="AU729" s="51"/>
    </row>
    <row r="730" spans="1:47" x14ac:dyDescent="0.25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  <c r="AM730" s="51"/>
      <c r="AN730" s="51"/>
      <c r="AO730" s="51"/>
      <c r="AP730" s="51"/>
      <c r="AQ730" s="51"/>
      <c r="AR730" s="51"/>
      <c r="AS730" s="51"/>
      <c r="AT730" s="51"/>
      <c r="AU730" s="51"/>
    </row>
    <row r="731" spans="1:47" x14ac:dyDescent="0.25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  <c r="AM731" s="51"/>
      <c r="AN731" s="51"/>
      <c r="AO731" s="51"/>
      <c r="AP731" s="51"/>
      <c r="AQ731" s="51"/>
      <c r="AR731" s="51"/>
      <c r="AS731" s="51"/>
      <c r="AT731" s="51"/>
      <c r="AU731" s="51"/>
    </row>
    <row r="732" spans="1:47" x14ac:dyDescent="0.25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  <c r="AM732" s="51"/>
      <c r="AN732" s="51"/>
      <c r="AO732" s="51"/>
      <c r="AP732" s="51"/>
      <c r="AQ732" s="51"/>
      <c r="AR732" s="51"/>
      <c r="AS732" s="51"/>
      <c r="AT732" s="51"/>
      <c r="AU732" s="51"/>
    </row>
    <row r="733" spans="1:47" x14ac:dyDescent="0.25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  <c r="AM733" s="51"/>
      <c r="AN733" s="51"/>
      <c r="AO733" s="51"/>
      <c r="AP733" s="51"/>
      <c r="AQ733" s="51"/>
      <c r="AR733" s="51"/>
      <c r="AS733" s="51"/>
      <c r="AT733" s="51"/>
      <c r="AU733" s="51"/>
    </row>
    <row r="734" spans="1:47" x14ac:dyDescent="0.25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  <c r="AM734" s="51"/>
      <c r="AN734" s="51"/>
      <c r="AO734" s="51"/>
      <c r="AP734" s="51"/>
      <c r="AQ734" s="51"/>
      <c r="AR734" s="51"/>
      <c r="AS734" s="51"/>
      <c r="AT734" s="51"/>
      <c r="AU734" s="51"/>
    </row>
    <row r="735" spans="1:47" x14ac:dyDescent="0.2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  <c r="AM735" s="51"/>
      <c r="AN735" s="51"/>
      <c r="AO735" s="51"/>
      <c r="AP735" s="51"/>
      <c r="AQ735" s="51"/>
      <c r="AR735" s="51"/>
      <c r="AS735" s="51"/>
      <c r="AT735" s="51"/>
      <c r="AU735" s="51"/>
    </row>
    <row r="736" spans="1:47" x14ac:dyDescent="0.25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  <c r="AM736" s="51"/>
      <c r="AN736" s="51"/>
      <c r="AO736" s="51"/>
      <c r="AP736" s="51"/>
      <c r="AQ736" s="51"/>
      <c r="AR736" s="51"/>
      <c r="AS736" s="51"/>
      <c r="AT736" s="51"/>
      <c r="AU736" s="51"/>
    </row>
    <row r="737" spans="1:47" x14ac:dyDescent="0.25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  <c r="AM737" s="51"/>
      <c r="AN737" s="51"/>
      <c r="AO737" s="51"/>
      <c r="AP737" s="51"/>
      <c r="AQ737" s="51"/>
      <c r="AR737" s="51"/>
      <c r="AS737" s="51"/>
      <c r="AT737" s="51"/>
      <c r="AU737" s="51"/>
    </row>
    <row r="738" spans="1:47" x14ac:dyDescent="0.25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  <c r="AM738" s="51"/>
      <c r="AN738" s="51"/>
      <c r="AO738" s="51"/>
      <c r="AP738" s="51"/>
      <c r="AQ738" s="51"/>
      <c r="AR738" s="51"/>
      <c r="AS738" s="51"/>
      <c r="AT738" s="51"/>
      <c r="AU738" s="51"/>
    </row>
    <row r="739" spans="1:47" x14ac:dyDescent="0.25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  <c r="AM739" s="51"/>
      <c r="AN739" s="51"/>
      <c r="AO739" s="51"/>
      <c r="AP739" s="51"/>
      <c r="AQ739" s="51"/>
      <c r="AR739" s="51"/>
      <c r="AS739" s="51"/>
      <c r="AT739" s="51"/>
      <c r="AU739" s="51"/>
    </row>
    <row r="740" spans="1:47" x14ac:dyDescent="0.25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  <c r="AM740" s="51"/>
      <c r="AN740" s="51"/>
      <c r="AO740" s="51"/>
      <c r="AP740" s="51"/>
      <c r="AQ740" s="51"/>
      <c r="AR740" s="51"/>
      <c r="AS740" s="51"/>
      <c r="AT740" s="51"/>
      <c r="AU740" s="51"/>
    </row>
    <row r="741" spans="1:47" x14ac:dyDescent="0.25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  <c r="AM741" s="51"/>
      <c r="AN741" s="51"/>
      <c r="AO741" s="51"/>
      <c r="AP741" s="51"/>
      <c r="AQ741" s="51"/>
      <c r="AR741" s="51"/>
      <c r="AS741" s="51"/>
      <c r="AT741" s="51"/>
      <c r="AU741" s="51"/>
    </row>
    <row r="742" spans="1:47" x14ac:dyDescent="0.25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  <c r="AM742" s="51"/>
      <c r="AN742" s="51"/>
      <c r="AO742" s="51"/>
      <c r="AP742" s="51"/>
      <c r="AQ742" s="51"/>
      <c r="AR742" s="51"/>
      <c r="AS742" s="51"/>
      <c r="AT742" s="51"/>
      <c r="AU742" s="51"/>
    </row>
    <row r="743" spans="1:47" x14ac:dyDescent="0.25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  <c r="AM743" s="51"/>
      <c r="AN743" s="51"/>
      <c r="AO743" s="51"/>
      <c r="AP743" s="51"/>
      <c r="AQ743" s="51"/>
      <c r="AR743" s="51"/>
      <c r="AS743" s="51"/>
      <c r="AT743" s="51"/>
      <c r="AU743" s="51"/>
    </row>
    <row r="744" spans="1:47" x14ac:dyDescent="0.25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  <c r="AM744" s="51"/>
      <c r="AN744" s="51"/>
      <c r="AO744" s="51"/>
      <c r="AP744" s="51"/>
      <c r="AQ744" s="51"/>
      <c r="AR744" s="51"/>
      <c r="AS744" s="51"/>
      <c r="AT744" s="51"/>
      <c r="AU744" s="51"/>
    </row>
    <row r="745" spans="1:47" x14ac:dyDescent="0.2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  <c r="AM745" s="51"/>
      <c r="AN745" s="51"/>
      <c r="AO745" s="51"/>
      <c r="AP745" s="51"/>
      <c r="AQ745" s="51"/>
      <c r="AR745" s="51"/>
      <c r="AS745" s="51"/>
      <c r="AT745" s="51"/>
      <c r="AU745" s="51"/>
    </row>
    <row r="746" spans="1:47" x14ac:dyDescent="0.25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  <c r="AM746" s="51"/>
      <c r="AN746" s="51"/>
      <c r="AO746" s="51"/>
      <c r="AP746" s="51"/>
      <c r="AQ746" s="51"/>
      <c r="AR746" s="51"/>
      <c r="AS746" s="51"/>
      <c r="AT746" s="51"/>
      <c r="AU746" s="51"/>
    </row>
    <row r="747" spans="1:47" x14ac:dyDescent="0.25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  <c r="AM747" s="51"/>
      <c r="AN747" s="51"/>
      <c r="AO747" s="51"/>
      <c r="AP747" s="51"/>
      <c r="AQ747" s="51"/>
      <c r="AR747" s="51"/>
      <c r="AS747" s="51"/>
      <c r="AT747" s="51"/>
      <c r="AU747" s="51"/>
    </row>
    <row r="748" spans="1:47" x14ac:dyDescent="0.25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  <c r="AM748" s="51"/>
      <c r="AN748" s="51"/>
      <c r="AO748" s="51"/>
      <c r="AP748" s="51"/>
      <c r="AQ748" s="51"/>
      <c r="AR748" s="51"/>
      <c r="AS748" s="51"/>
      <c r="AT748" s="51"/>
      <c r="AU748" s="51"/>
    </row>
    <row r="749" spans="1:47" x14ac:dyDescent="0.25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  <c r="AM749" s="51"/>
      <c r="AN749" s="51"/>
      <c r="AO749" s="51"/>
      <c r="AP749" s="51"/>
      <c r="AQ749" s="51"/>
      <c r="AR749" s="51"/>
      <c r="AS749" s="51"/>
      <c r="AT749" s="51"/>
      <c r="AU749" s="51"/>
    </row>
    <row r="750" spans="1:47" x14ac:dyDescent="0.25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  <c r="AM750" s="51"/>
      <c r="AN750" s="51"/>
      <c r="AO750" s="51"/>
      <c r="AP750" s="51"/>
      <c r="AQ750" s="51"/>
      <c r="AR750" s="51"/>
      <c r="AS750" s="51"/>
      <c r="AT750" s="51"/>
      <c r="AU750" s="51"/>
    </row>
    <row r="751" spans="1:47" x14ac:dyDescent="0.25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  <c r="AM751" s="51"/>
      <c r="AN751" s="51"/>
      <c r="AO751" s="51"/>
      <c r="AP751" s="51"/>
      <c r="AQ751" s="51"/>
      <c r="AR751" s="51"/>
      <c r="AS751" s="51"/>
      <c r="AT751" s="51"/>
      <c r="AU751" s="51"/>
    </row>
    <row r="752" spans="1:47" x14ac:dyDescent="0.25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  <c r="AM752" s="51"/>
      <c r="AN752" s="51"/>
      <c r="AO752" s="51"/>
      <c r="AP752" s="51"/>
      <c r="AQ752" s="51"/>
      <c r="AR752" s="51"/>
      <c r="AS752" s="51"/>
      <c r="AT752" s="51"/>
      <c r="AU752" s="51"/>
    </row>
    <row r="753" spans="1:47" x14ac:dyDescent="0.25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  <c r="AO753" s="51"/>
      <c r="AP753" s="51"/>
      <c r="AQ753" s="51"/>
      <c r="AR753" s="51"/>
      <c r="AS753" s="51"/>
      <c r="AT753" s="51"/>
      <c r="AU753" s="51"/>
    </row>
    <row r="754" spans="1:47" x14ac:dyDescent="0.25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  <c r="AM754" s="51"/>
      <c r="AN754" s="51"/>
      <c r="AO754" s="51"/>
      <c r="AP754" s="51"/>
      <c r="AQ754" s="51"/>
      <c r="AR754" s="51"/>
      <c r="AS754" s="51"/>
      <c r="AT754" s="51"/>
      <c r="AU754" s="51"/>
    </row>
    <row r="755" spans="1:47" x14ac:dyDescent="0.2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  <c r="AO755" s="51"/>
      <c r="AP755" s="51"/>
      <c r="AQ755" s="51"/>
      <c r="AR755" s="51"/>
      <c r="AS755" s="51"/>
      <c r="AT755" s="51"/>
      <c r="AU755" s="51"/>
    </row>
    <row r="756" spans="1:47" x14ac:dyDescent="0.25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  <c r="AM756" s="51"/>
      <c r="AN756" s="51"/>
      <c r="AO756" s="51"/>
      <c r="AP756" s="51"/>
      <c r="AQ756" s="51"/>
      <c r="AR756" s="51"/>
      <c r="AS756" s="51"/>
      <c r="AT756" s="51"/>
      <c r="AU756" s="51"/>
    </row>
    <row r="757" spans="1:47" x14ac:dyDescent="0.25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  <c r="AM757" s="51"/>
      <c r="AN757" s="51"/>
      <c r="AO757" s="51"/>
      <c r="AP757" s="51"/>
      <c r="AQ757" s="51"/>
      <c r="AR757" s="51"/>
      <c r="AS757" s="51"/>
      <c r="AT757" s="51"/>
      <c r="AU757" s="51"/>
    </row>
    <row r="758" spans="1:47" x14ac:dyDescent="0.25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  <c r="AM758" s="51"/>
      <c r="AN758" s="51"/>
      <c r="AO758" s="51"/>
      <c r="AP758" s="51"/>
      <c r="AQ758" s="51"/>
      <c r="AR758" s="51"/>
      <c r="AS758" s="51"/>
      <c r="AT758" s="51"/>
      <c r="AU758" s="51"/>
    </row>
    <row r="759" spans="1:47" x14ac:dyDescent="0.25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  <c r="AM759" s="51"/>
      <c r="AN759" s="51"/>
      <c r="AO759" s="51"/>
      <c r="AP759" s="51"/>
      <c r="AQ759" s="51"/>
      <c r="AR759" s="51"/>
      <c r="AS759" s="51"/>
      <c r="AT759" s="51"/>
      <c r="AU759" s="51"/>
    </row>
    <row r="760" spans="1:47" x14ac:dyDescent="0.25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  <c r="AM760" s="51"/>
      <c r="AN760" s="51"/>
      <c r="AO760" s="51"/>
      <c r="AP760" s="51"/>
      <c r="AQ760" s="51"/>
      <c r="AR760" s="51"/>
      <c r="AS760" s="51"/>
      <c r="AT760" s="51"/>
      <c r="AU760" s="51"/>
    </row>
    <row r="761" spans="1:47" x14ac:dyDescent="0.25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  <c r="AM761" s="51"/>
      <c r="AN761" s="51"/>
      <c r="AO761" s="51"/>
      <c r="AP761" s="51"/>
      <c r="AQ761" s="51"/>
      <c r="AR761" s="51"/>
      <c r="AS761" s="51"/>
      <c r="AT761" s="51"/>
      <c r="AU761" s="51"/>
    </row>
    <row r="762" spans="1:47" x14ac:dyDescent="0.25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  <c r="AM762" s="51"/>
      <c r="AN762" s="51"/>
      <c r="AO762" s="51"/>
      <c r="AP762" s="51"/>
      <c r="AQ762" s="51"/>
      <c r="AR762" s="51"/>
      <c r="AS762" s="51"/>
      <c r="AT762" s="51"/>
      <c r="AU762" s="51"/>
    </row>
    <row r="763" spans="1:47" x14ac:dyDescent="0.25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  <c r="AM763" s="51"/>
      <c r="AN763" s="51"/>
      <c r="AO763" s="51"/>
      <c r="AP763" s="51"/>
      <c r="AQ763" s="51"/>
      <c r="AR763" s="51"/>
      <c r="AS763" s="51"/>
      <c r="AT763" s="51"/>
      <c r="AU763" s="51"/>
    </row>
    <row r="764" spans="1:47" x14ac:dyDescent="0.25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  <c r="AM764" s="51"/>
      <c r="AN764" s="51"/>
      <c r="AO764" s="51"/>
      <c r="AP764" s="51"/>
      <c r="AQ764" s="51"/>
      <c r="AR764" s="51"/>
      <c r="AS764" s="51"/>
      <c r="AT764" s="51"/>
      <c r="AU764" s="51"/>
    </row>
    <row r="765" spans="1:47" x14ac:dyDescent="0.2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  <c r="AM765" s="51"/>
      <c r="AN765" s="51"/>
      <c r="AO765" s="51"/>
      <c r="AP765" s="51"/>
      <c r="AQ765" s="51"/>
      <c r="AR765" s="51"/>
      <c r="AS765" s="51"/>
      <c r="AT765" s="51"/>
      <c r="AU765" s="51"/>
    </row>
    <row r="766" spans="1:47" x14ac:dyDescent="0.25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  <c r="AM766" s="51"/>
      <c r="AN766" s="51"/>
      <c r="AO766" s="51"/>
      <c r="AP766" s="51"/>
      <c r="AQ766" s="51"/>
      <c r="AR766" s="51"/>
      <c r="AS766" s="51"/>
      <c r="AT766" s="51"/>
      <c r="AU766" s="51"/>
    </row>
    <row r="767" spans="1:47" x14ac:dyDescent="0.25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  <c r="AM767" s="51"/>
      <c r="AN767" s="51"/>
      <c r="AO767" s="51"/>
      <c r="AP767" s="51"/>
      <c r="AQ767" s="51"/>
      <c r="AR767" s="51"/>
      <c r="AS767" s="51"/>
      <c r="AT767" s="51"/>
      <c r="AU767" s="51"/>
    </row>
    <row r="768" spans="1:47" x14ac:dyDescent="0.25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  <c r="AM768" s="51"/>
      <c r="AN768" s="51"/>
      <c r="AO768" s="51"/>
      <c r="AP768" s="51"/>
      <c r="AQ768" s="51"/>
      <c r="AR768" s="51"/>
      <c r="AS768" s="51"/>
      <c r="AT768" s="51"/>
      <c r="AU768" s="51"/>
    </row>
    <row r="769" spans="1:47" x14ac:dyDescent="0.25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  <c r="AM769" s="51"/>
      <c r="AN769" s="51"/>
      <c r="AO769" s="51"/>
      <c r="AP769" s="51"/>
      <c r="AQ769" s="51"/>
      <c r="AR769" s="51"/>
      <c r="AS769" s="51"/>
      <c r="AT769" s="51"/>
      <c r="AU769" s="51"/>
    </row>
    <row r="770" spans="1:47" x14ac:dyDescent="0.25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  <c r="AM770" s="51"/>
      <c r="AN770" s="51"/>
      <c r="AO770" s="51"/>
      <c r="AP770" s="51"/>
      <c r="AQ770" s="51"/>
      <c r="AR770" s="51"/>
      <c r="AS770" s="51"/>
      <c r="AT770" s="51"/>
      <c r="AU770" s="51"/>
    </row>
    <row r="771" spans="1:47" x14ac:dyDescent="0.25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  <c r="AM771" s="51"/>
      <c r="AN771" s="51"/>
      <c r="AO771" s="51"/>
      <c r="AP771" s="51"/>
      <c r="AQ771" s="51"/>
      <c r="AR771" s="51"/>
      <c r="AS771" s="51"/>
      <c r="AT771" s="51"/>
      <c r="AU771" s="51"/>
    </row>
    <row r="772" spans="1:47" x14ac:dyDescent="0.25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  <c r="AM772" s="51"/>
      <c r="AN772" s="51"/>
      <c r="AO772" s="51"/>
      <c r="AP772" s="51"/>
      <c r="AQ772" s="51"/>
      <c r="AR772" s="51"/>
      <c r="AS772" s="51"/>
      <c r="AT772" s="51"/>
      <c r="AU772" s="51"/>
    </row>
    <row r="773" spans="1:47" x14ac:dyDescent="0.25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  <c r="AM773" s="51"/>
      <c r="AN773" s="51"/>
      <c r="AO773" s="51"/>
      <c r="AP773" s="51"/>
      <c r="AQ773" s="51"/>
      <c r="AR773" s="51"/>
      <c r="AS773" s="51"/>
      <c r="AT773" s="51"/>
      <c r="AU773" s="51"/>
    </row>
    <row r="774" spans="1:47" x14ac:dyDescent="0.25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  <c r="AM774" s="51"/>
      <c r="AN774" s="51"/>
      <c r="AO774" s="51"/>
      <c r="AP774" s="51"/>
      <c r="AQ774" s="51"/>
      <c r="AR774" s="51"/>
      <c r="AS774" s="51"/>
      <c r="AT774" s="51"/>
      <c r="AU774" s="51"/>
    </row>
    <row r="775" spans="1:47" x14ac:dyDescent="0.2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  <c r="AM775" s="51"/>
      <c r="AN775" s="51"/>
      <c r="AO775" s="51"/>
      <c r="AP775" s="51"/>
      <c r="AQ775" s="51"/>
      <c r="AR775" s="51"/>
      <c r="AS775" s="51"/>
      <c r="AT775" s="51"/>
      <c r="AU775" s="51"/>
    </row>
    <row r="776" spans="1:47" x14ac:dyDescent="0.25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  <c r="AM776" s="51"/>
      <c r="AN776" s="51"/>
      <c r="AO776" s="51"/>
      <c r="AP776" s="51"/>
      <c r="AQ776" s="51"/>
      <c r="AR776" s="51"/>
      <c r="AS776" s="51"/>
      <c r="AT776" s="51"/>
      <c r="AU776" s="51"/>
    </row>
    <row r="777" spans="1:47" x14ac:dyDescent="0.25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  <c r="AM777" s="51"/>
      <c r="AN777" s="51"/>
      <c r="AO777" s="51"/>
      <c r="AP777" s="51"/>
      <c r="AQ777" s="51"/>
      <c r="AR777" s="51"/>
      <c r="AS777" s="51"/>
      <c r="AT777" s="51"/>
      <c r="AU777" s="51"/>
    </row>
    <row r="778" spans="1:47" x14ac:dyDescent="0.25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  <c r="AM778" s="51"/>
      <c r="AN778" s="51"/>
      <c r="AO778" s="51"/>
      <c r="AP778" s="51"/>
      <c r="AQ778" s="51"/>
      <c r="AR778" s="51"/>
      <c r="AS778" s="51"/>
      <c r="AT778" s="51"/>
      <c r="AU778" s="51"/>
    </row>
    <row r="779" spans="1:47" x14ac:dyDescent="0.25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  <c r="AM779" s="51"/>
      <c r="AN779" s="51"/>
      <c r="AO779" s="51"/>
      <c r="AP779" s="51"/>
      <c r="AQ779" s="51"/>
      <c r="AR779" s="51"/>
      <c r="AS779" s="51"/>
      <c r="AT779" s="51"/>
      <c r="AU779" s="51"/>
    </row>
    <row r="780" spans="1:47" x14ac:dyDescent="0.25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  <c r="AM780" s="51"/>
      <c r="AN780" s="51"/>
      <c r="AO780" s="51"/>
      <c r="AP780" s="51"/>
      <c r="AQ780" s="51"/>
      <c r="AR780" s="51"/>
      <c r="AS780" s="51"/>
      <c r="AT780" s="51"/>
      <c r="AU780" s="51"/>
    </row>
    <row r="781" spans="1:47" x14ac:dyDescent="0.25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  <c r="AM781" s="51"/>
      <c r="AN781" s="51"/>
      <c r="AO781" s="51"/>
      <c r="AP781" s="51"/>
      <c r="AQ781" s="51"/>
      <c r="AR781" s="51"/>
      <c r="AS781" s="51"/>
      <c r="AT781" s="51"/>
      <c r="AU781" s="51"/>
    </row>
    <row r="782" spans="1:47" x14ac:dyDescent="0.25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  <c r="AM782" s="51"/>
      <c r="AN782" s="51"/>
      <c r="AO782" s="51"/>
      <c r="AP782" s="51"/>
      <c r="AQ782" s="51"/>
      <c r="AR782" s="51"/>
      <c r="AS782" s="51"/>
      <c r="AT782" s="51"/>
      <c r="AU782" s="51"/>
    </row>
    <row r="783" spans="1:47" x14ac:dyDescent="0.25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  <c r="AM783" s="51"/>
      <c r="AN783" s="51"/>
      <c r="AO783" s="51"/>
      <c r="AP783" s="51"/>
      <c r="AQ783" s="51"/>
      <c r="AR783" s="51"/>
      <c r="AS783" s="51"/>
      <c r="AT783" s="51"/>
      <c r="AU783" s="51"/>
    </row>
    <row r="784" spans="1:47" x14ac:dyDescent="0.25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  <c r="AM784" s="51"/>
      <c r="AN784" s="51"/>
      <c r="AO784" s="51"/>
      <c r="AP784" s="51"/>
      <c r="AQ784" s="51"/>
      <c r="AR784" s="51"/>
      <c r="AS784" s="51"/>
      <c r="AT784" s="51"/>
      <c r="AU784" s="51"/>
    </row>
    <row r="785" spans="1:47" x14ac:dyDescent="0.2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  <c r="AM785" s="51"/>
      <c r="AN785" s="51"/>
      <c r="AO785" s="51"/>
      <c r="AP785" s="51"/>
      <c r="AQ785" s="51"/>
      <c r="AR785" s="51"/>
      <c r="AS785" s="51"/>
      <c r="AT785" s="51"/>
      <c r="AU785" s="51"/>
    </row>
    <row r="786" spans="1:47" x14ac:dyDescent="0.25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  <c r="AM786" s="51"/>
      <c r="AN786" s="51"/>
      <c r="AO786" s="51"/>
      <c r="AP786" s="51"/>
      <c r="AQ786" s="51"/>
      <c r="AR786" s="51"/>
      <c r="AS786" s="51"/>
      <c r="AT786" s="51"/>
      <c r="AU786" s="51"/>
    </row>
    <row r="787" spans="1:47" x14ac:dyDescent="0.25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  <c r="AM787" s="51"/>
      <c r="AN787" s="51"/>
      <c r="AO787" s="51"/>
      <c r="AP787" s="51"/>
      <c r="AQ787" s="51"/>
      <c r="AR787" s="51"/>
      <c r="AS787" s="51"/>
      <c r="AT787" s="51"/>
      <c r="AU787" s="51"/>
    </row>
    <row r="788" spans="1:47" x14ac:dyDescent="0.25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  <c r="AM788" s="51"/>
      <c r="AN788" s="51"/>
      <c r="AO788" s="51"/>
      <c r="AP788" s="51"/>
      <c r="AQ788" s="51"/>
      <c r="AR788" s="51"/>
      <c r="AS788" s="51"/>
      <c r="AT788" s="51"/>
      <c r="AU788" s="51"/>
    </row>
    <row r="789" spans="1:47" x14ac:dyDescent="0.25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  <c r="AM789" s="51"/>
      <c r="AN789" s="51"/>
      <c r="AO789" s="51"/>
      <c r="AP789" s="51"/>
      <c r="AQ789" s="51"/>
      <c r="AR789" s="51"/>
      <c r="AS789" s="51"/>
      <c r="AT789" s="51"/>
      <c r="AU789" s="51"/>
    </row>
    <row r="790" spans="1:47" x14ac:dyDescent="0.25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  <c r="AM790" s="51"/>
      <c r="AN790" s="51"/>
      <c r="AO790" s="51"/>
      <c r="AP790" s="51"/>
      <c r="AQ790" s="51"/>
      <c r="AR790" s="51"/>
      <c r="AS790" s="51"/>
      <c r="AT790" s="51"/>
      <c r="AU790" s="51"/>
    </row>
    <row r="791" spans="1:47" x14ac:dyDescent="0.25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  <c r="AM791" s="51"/>
      <c r="AN791" s="51"/>
      <c r="AO791" s="51"/>
      <c r="AP791" s="51"/>
      <c r="AQ791" s="51"/>
      <c r="AR791" s="51"/>
      <c r="AS791" s="51"/>
      <c r="AT791" s="51"/>
      <c r="AU791" s="51"/>
    </row>
    <row r="792" spans="1:47" x14ac:dyDescent="0.25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  <c r="AO792" s="51"/>
      <c r="AP792" s="51"/>
      <c r="AQ792" s="51"/>
      <c r="AR792" s="51"/>
      <c r="AS792" s="51"/>
      <c r="AT792" s="51"/>
      <c r="AU792" s="51"/>
    </row>
    <row r="793" spans="1:47" x14ac:dyDescent="0.25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  <c r="AM793" s="51"/>
      <c r="AN793" s="51"/>
      <c r="AO793" s="51"/>
      <c r="AP793" s="51"/>
      <c r="AQ793" s="51"/>
      <c r="AR793" s="51"/>
      <c r="AS793" s="51"/>
      <c r="AT793" s="51"/>
      <c r="AU793" s="51"/>
    </row>
    <row r="794" spans="1:47" x14ac:dyDescent="0.25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  <c r="AM794" s="51"/>
      <c r="AN794" s="51"/>
      <c r="AO794" s="51"/>
      <c r="AP794" s="51"/>
      <c r="AQ794" s="51"/>
      <c r="AR794" s="51"/>
      <c r="AS794" s="51"/>
      <c r="AT794" s="51"/>
      <c r="AU794" s="51"/>
    </row>
    <row r="795" spans="1:47" x14ac:dyDescent="0.2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  <c r="AM795" s="51"/>
      <c r="AN795" s="51"/>
      <c r="AO795" s="51"/>
      <c r="AP795" s="51"/>
      <c r="AQ795" s="51"/>
      <c r="AR795" s="51"/>
      <c r="AS795" s="51"/>
      <c r="AT795" s="51"/>
      <c r="AU795" s="51"/>
    </row>
    <row r="796" spans="1:47" x14ac:dyDescent="0.25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  <c r="AM796" s="51"/>
      <c r="AN796" s="51"/>
      <c r="AO796" s="51"/>
      <c r="AP796" s="51"/>
      <c r="AQ796" s="51"/>
      <c r="AR796" s="51"/>
      <c r="AS796" s="51"/>
      <c r="AT796" s="51"/>
      <c r="AU796" s="51"/>
    </row>
    <row r="797" spans="1:47" x14ac:dyDescent="0.25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  <c r="AM797" s="51"/>
      <c r="AN797" s="51"/>
      <c r="AO797" s="51"/>
      <c r="AP797" s="51"/>
      <c r="AQ797" s="51"/>
      <c r="AR797" s="51"/>
      <c r="AS797" s="51"/>
      <c r="AT797" s="51"/>
      <c r="AU797" s="51"/>
    </row>
    <row r="798" spans="1:47" x14ac:dyDescent="0.25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  <c r="AM798" s="51"/>
      <c r="AN798" s="51"/>
      <c r="AO798" s="51"/>
      <c r="AP798" s="51"/>
      <c r="AQ798" s="51"/>
      <c r="AR798" s="51"/>
      <c r="AS798" s="51"/>
      <c r="AT798" s="51"/>
      <c r="AU798" s="51"/>
    </row>
    <row r="799" spans="1:47" x14ac:dyDescent="0.25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  <c r="AM799" s="51"/>
      <c r="AN799" s="51"/>
      <c r="AO799" s="51"/>
      <c r="AP799" s="51"/>
      <c r="AQ799" s="51"/>
      <c r="AR799" s="51"/>
      <c r="AS799" s="51"/>
      <c r="AT799" s="51"/>
      <c r="AU799" s="51"/>
    </row>
    <row r="800" spans="1:47" x14ac:dyDescent="0.25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  <c r="AO800" s="51"/>
      <c r="AP800" s="51"/>
      <c r="AQ800" s="51"/>
      <c r="AR800" s="51"/>
      <c r="AS800" s="51"/>
      <c r="AT800" s="51"/>
      <c r="AU800" s="51"/>
    </row>
    <row r="801" spans="1:47" x14ac:dyDescent="0.25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  <c r="AM801" s="51"/>
      <c r="AN801" s="51"/>
      <c r="AO801" s="51"/>
      <c r="AP801" s="51"/>
      <c r="AQ801" s="51"/>
      <c r="AR801" s="51"/>
      <c r="AS801" s="51"/>
      <c r="AT801" s="51"/>
      <c r="AU801" s="51"/>
    </row>
    <row r="802" spans="1:47" x14ac:dyDescent="0.25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  <c r="AM802" s="51"/>
      <c r="AN802" s="51"/>
      <c r="AO802" s="51"/>
      <c r="AP802" s="51"/>
      <c r="AQ802" s="51"/>
      <c r="AR802" s="51"/>
      <c r="AS802" s="51"/>
      <c r="AT802" s="51"/>
      <c r="AU802" s="51"/>
    </row>
    <row r="803" spans="1:47" x14ac:dyDescent="0.25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  <c r="AM803" s="51"/>
      <c r="AN803" s="51"/>
      <c r="AO803" s="51"/>
      <c r="AP803" s="51"/>
      <c r="AQ803" s="51"/>
      <c r="AR803" s="51"/>
      <c r="AS803" s="51"/>
      <c r="AT803" s="51"/>
      <c r="AU803" s="51"/>
    </row>
    <row r="804" spans="1:47" x14ac:dyDescent="0.25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  <c r="AM804" s="51"/>
      <c r="AN804" s="51"/>
      <c r="AO804" s="51"/>
      <c r="AP804" s="51"/>
      <c r="AQ804" s="51"/>
      <c r="AR804" s="51"/>
      <c r="AS804" s="51"/>
      <c r="AT804" s="51"/>
      <c r="AU804" s="51"/>
    </row>
    <row r="805" spans="1:47" x14ac:dyDescent="0.2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  <c r="AM805" s="51"/>
      <c r="AN805" s="51"/>
      <c r="AO805" s="51"/>
      <c r="AP805" s="51"/>
      <c r="AQ805" s="51"/>
      <c r="AR805" s="51"/>
      <c r="AS805" s="51"/>
      <c r="AT805" s="51"/>
      <c r="AU805" s="51"/>
    </row>
    <row r="806" spans="1:47" x14ac:dyDescent="0.25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  <c r="AM806" s="51"/>
      <c r="AN806" s="51"/>
      <c r="AO806" s="51"/>
      <c r="AP806" s="51"/>
      <c r="AQ806" s="51"/>
      <c r="AR806" s="51"/>
      <c r="AS806" s="51"/>
      <c r="AT806" s="51"/>
      <c r="AU806" s="51"/>
    </row>
    <row r="807" spans="1:47" x14ac:dyDescent="0.25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  <c r="AM807" s="51"/>
      <c r="AN807" s="51"/>
      <c r="AO807" s="51"/>
      <c r="AP807" s="51"/>
      <c r="AQ807" s="51"/>
      <c r="AR807" s="51"/>
      <c r="AS807" s="51"/>
      <c r="AT807" s="51"/>
      <c r="AU807" s="51"/>
    </row>
    <row r="808" spans="1:47" x14ac:dyDescent="0.25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  <c r="AM808" s="51"/>
      <c r="AN808" s="51"/>
      <c r="AO808" s="51"/>
      <c r="AP808" s="51"/>
      <c r="AQ808" s="51"/>
      <c r="AR808" s="51"/>
      <c r="AS808" s="51"/>
      <c r="AT808" s="51"/>
      <c r="AU808" s="51"/>
    </row>
    <row r="809" spans="1:47" x14ac:dyDescent="0.25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  <c r="AM809" s="51"/>
      <c r="AN809" s="51"/>
      <c r="AO809" s="51"/>
      <c r="AP809" s="51"/>
      <c r="AQ809" s="51"/>
      <c r="AR809" s="51"/>
      <c r="AS809" s="51"/>
      <c r="AT809" s="51"/>
      <c r="AU809" s="51"/>
    </row>
    <row r="810" spans="1:47" x14ac:dyDescent="0.25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  <c r="AO810" s="51"/>
      <c r="AP810" s="51"/>
      <c r="AQ810" s="51"/>
      <c r="AR810" s="51"/>
      <c r="AS810" s="51"/>
      <c r="AT810" s="51"/>
      <c r="AU810" s="51"/>
    </row>
    <row r="811" spans="1:47" x14ac:dyDescent="0.25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  <c r="AM811" s="51"/>
      <c r="AN811" s="51"/>
      <c r="AO811" s="51"/>
      <c r="AP811" s="51"/>
      <c r="AQ811" s="51"/>
      <c r="AR811" s="51"/>
      <c r="AS811" s="51"/>
      <c r="AT811" s="51"/>
      <c r="AU811" s="51"/>
    </row>
    <row r="812" spans="1:47" x14ac:dyDescent="0.25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  <c r="AM812" s="51"/>
      <c r="AN812" s="51"/>
      <c r="AO812" s="51"/>
      <c r="AP812" s="51"/>
      <c r="AQ812" s="51"/>
      <c r="AR812" s="51"/>
      <c r="AS812" s="51"/>
      <c r="AT812" s="51"/>
      <c r="AU812" s="51"/>
    </row>
    <row r="813" spans="1:47" x14ac:dyDescent="0.25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  <c r="AM813" s="51"/>
      <c r="AN813" s="51"/>
      <c r="AO813" s="51"/>
      <c r="AP813" s="51"/>
      <c r="AQ813" s="51"/>
      <c r="AR813" s="51"/>
      <c r="AS813" s="51"/>
      <c r="AT813" s="51"/>
      <c r="AU813" s="51"/>
    </row>
    <row r="814" spans="1:47" x14ac:dyDescent="0.25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  <c r="AM814" s="51"/>
      <c r="AN814" s="51"/>
      <c r="AO814" s="51"/>
      <c r="AP814" s="51"/>
      <c r="AQ814" s="51"/>
      <c r="AR814" s="51"/>
      <c r="AS814" s="51"/>
      <c r="AT814" s="51"/>
      <c r="AU814" s="51"/>
    </row>
    <row r="815" spans="1:47" x14ac:dyDescent="0.2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  <c r="AO815" s="51"/>
      <c r="AP815" s="51"/>
      <c r="AQ815" s="51"/>
      <c r="AR815" s="51"/>
      <c r="AS815" s="51"/>
      <c r="AT815" s="51"/>
      <c r="AU815" s="51"/>
    </row>
    <row r="816" spans="1:47" x14ac:dyDescent="0.25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  <c r="AM816" s="51"/>
      <c r="AN816" s="51"/>
      <c r="AO816" s="51"/>
      <c r="AP816" s="51"/>
      <c r="AQ816" s="51"/>
      <c r="AR816" s="51"/>
      <c r="AS816" s="51"/>
      <c r="AT816" s="51"/>
      <c r="AU816" s="51"/>
    </row>
    <row r="817" spans="1:47" x14ac:dyDescent="0.25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  <c r="AM817" s="51"/>
      <c r="AN817" s="51"/>
      <c r="AO817" s="51"/>
      <c r="AP817" s="51"/>
      <c r="AQ817" s="51"/>
      <c r="AR817" s="51"/>
      <c r="AS817" s="51"/>
      <c r="AT817" s="51"/>
      <c r="AU817" s="51"/>
    </row>
    <row r="818" spans="1:47" x14ac:dyDescent="0.25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  <c r="AM818" s="51"/>
      <c r="AN818" s="51"/>
      <c r="AO818" s="51"/>
      <c r="AP818" s="51"/>
      <c r="AQ818" s="51"/>
      <c r="AR818" s="51"/>
      <c r="AS818" s="51"/>
      <c r="AT818" s="51"/>
      <c r="AU818" s="51"/>
    </row>
    <row r="819" spans="1:47" x14ac:dyDescent="0.25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  <c r="AM819" s="51"/>
      <c r="AN819" s="51"/>
      <c r="AO819" s="51"/>
      <c r="AP819" s="51"/>
      <c r="AQ819" s="51"/>
      <c r="AR819" s="51"/>
      <c r="AS819" s="51"/>
      <c r="AT819" s="51"/>
      <c r="AU819" s="51"/>
    </row>
    <row r="820" spans="1:47" x14ac:dyDescent="0.25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  <c r="AM820" s="51"/>
      <c r="AN820" s="51"/>
      <c r="AO820" s="51"/>
      <c r="AP820" s="51"/>
      <c r="AQ820" s="51"/>
      <c r="AR820" s="51"/>
      <c r="AS820" s="51"/>
      <c r="AT820" s="51"/>
      <c r="AU820" s="51"/>
    </row>
    <row r="821" spans="1:47" x14ac:dyDescent="0.25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  <c r="AM821" s="51"/>
      <c r="AN821" s="51"/>
      <c r="AO821" s="51"/>
      <c r="AP821" s="51"/>
      <c r="AQ821" s="51"/>
      <c r="AR821" s="51"/>
      <c r="AS821" s="51"/>
      <c r="AT821" s="51"/>
      <c r="AU821" s="51"/>
    </row>
    <row r="822" spans="1:47" x14ac:dyDescent="0.25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  <c r="AM822" s="51"/>
      <c r="AN822" s="51"/>
      <c r="AO822" s="51"/>
      <c r="AP822" s="51"/>
      <c r="AQ822" s="51"/>
      <c r="AR822" s="51"/>
      <c r="AS822" s="51"/>
      <c r="AT822" s="51"/>
      <c r="AU822" s="51"/>
    </row>
    <row r="823" spans="1:47" x14ac:dyDescent="0.25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  <c r="AM823" s="51"/>
      <c r="AN823" s="51"/>
      <c r="AO823" s="51"/>
      <c r="AP823" s="51"/>
      <c r="AQ823" s="51"/>
      <c r="AR823" s="51"/>
      <c r="AS823" s="51"/>
      <c r="AT823" s="51"/>
      <c r="AU823" s="51"/>
    </row>
    <row r="824" spans="1:47" x14ac:dyDescent="0.25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  <c r="AM824" s="51"/>
      <c r="AN824" s="51"/>
      <c r="AO824" s="51"/>
      <c r="AP824" s="51"/>
      <c r="AQ824" s="51"/>
      <c r="AR824" s="51"/>
      <c r="AS824" s="51"/>
      <c r="AT824" s="51"/>
      <c r="AU824" s="51"/>
    </row>
    <row r="825" spans="1:47" x14ac:dyDescent="0.2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  <c r="AM825" s="51"/>
      <c r="AN825" s="51"/>
      <c r="AO825" s="51"/>
      <c r="AP825" s="51"/>
      <c r="AQ825" s="51"/>
      <c r="AR825" s="51"/>
      <c r="AS825" s="51"/>
      <c r="AT825" s="51"/>
      <c r="AU825" s="51"/>
    </row>
    <row r="826" spans="1:47" x14ac:dyDescent="0.25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  <c r="AM826" s="51"/>
      <c r="AN826" s="51"/>
      <c r="AO826" s="51"/>
      <c r="AP826" s="51"/>
      <c r="AQ826" s="51"/>
      <c r="AR826" s="51"/>
      <c r="AS826" s="51"/>
      <c r="AT826" s="51"/>
      <c r="AU826" s="51"/>
    </row>
    <row r="827" spans="1:47" x14ac:dyDescent="0.25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  <c r="AM827" s="51"/>
      <c r="AN827" s="51"/>
      <c r="AO827" s="51"/>
      <c r="AP827" s="51"/>
      <c r="AQ827" s="51"/>
      <c r="AR827" s="51"/>
      <c r="AS827" s="51"/>
      <c r="AT827" s="51"/>
      <c r="AU827" s="51"/>
    </row>
    <row r="828" spans="1:47" x14ac:dyDescent="0.25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  <c r="AM828" s="51"/>
      <c r="AN828" s="51"/>
      <c r="AO828" s="51"/>
      <c r="AP828" s="51"/>
      <c r="AQ828" s="51"/>
      <c r="AR828" s="51"/>
      <c r="AS828" s="51"/>
      <c r="AT828" s="51"/>
      <c r="AU828" s="51"/>
    </row>
    <row r="829" spans="1:47" x14ac:dyDescent="0.25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  <c r="AP829" s="51"/>
      <c r="AQ829" s="51"/>
      <c r="AR829" s="51"/>
      <c r="AS829" s="51"/>
      <c r="AT829" s="51"/>
      <c r="AU829" s="51"/>
    </row>
    <row r="830" spans="1:47" x14ac:dyDescent="0.25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  <c r="AM830" s="51"/>
      <c r="AN830" s="51"/>
      <c r="AO830" s="51"/>
      <c r="AP830" s="51"/>
      <c r="AQ830" s="51"/>
      <c r="AR830" s="51"/>
      <c r="AS830" s="51"/>
      <c r="AT830" s="51"/>
      <c r="AU830" s="51"/>
    </row>
    <row r="831" spans="1:47" x14ac:dyDescent="0.25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  <c r="AM831" s="51"/>
      <c r="AN831" s="51"/>
      <c r="AO831" s="51"/>
      <c r="AP831" s="51"/>
      <c r="AQ831" s="51"/>
      <c r="AR831" s="51"/>
      <c r="AS831" s="51"/>
      <c r="AT831" s="51"/>
      <c r="AU831" s="51"/>
    </row>
    <row r="832" spans="1:47" x14ac:dyDescent="0.25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  <c r="AO832" s="51"/>
      <c r="AP832" s="51"/>
      <c r="AQ832" s="51"/>
      <c r="AR832" s="51"/>
      <c r="AS832" s="51"/>
      <c r="AT832" s="51"/>
      <c r="AU832" s="51"/>
    </row>
    <row r="833" spans="1:47" x14ac:dyDescent="0.25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  <c r="AM833" s="51"/>
      <c r="AN833" s="51"/>
      <c r="AO833" s="51"/>
      <c r="AP833" s="51"/>
      <c r="AQ833" s="51"/>
      <c r="AR833" s="51"/>
      <c r="AS833" s="51"/>
      <c r="AT833" s="51"/>
      <c r="AU833" s="51"/>
    </row>
    <row r="834" spans="1:47" x14ac:dyDescent="0.25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  <c r="AM834" s="51"/>
      <c r="AN834" s="51"/>
      <c r="AO834" s="51"/>
      <c r="AP834" s="51"/>
      <c r="AQ834" s="51"/>
      <c r="AR834" s="51"/>
      <c r="AS834" s="51"/>
      <c r="AT834" s="51"/>
      <c r="AU834" s="51"/>
    </row>
    <row r="835" spans="1:47" x14ac:dyDescent="0.2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  <c r="AM835" s="51"/>
      <c r="AN835" s="51"/>
      <c r="AO835" s="51"/>
      <c r="AP835" s="51"/>
      <c r="AQ835" s="51"/>
      <c r="AR835" s="51"/>
      <c r="AS835" s="51"/>
      <c r="AT835" s="51"/>
      <c r="AU835" s="51"/>
    </row>
    <row r="836" spans="1:47" x14ac:dyDescent="0.25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  <c r="AM836" s="51"/>
      <c r="AN836" s="51"/>
      <c r="AO836" s="51"/>
      <c r="AP836" s="51"/>
      <c r="AQ836" s="51"/>
      <c r="AR836" s="51"/>
      <c r="AS836" s="51"/>
      <c r="AT836" s="51"/>
      <c r="AU836" s="51"/>
    </row>
    <row r="837" spans="1:47" x14ac:dyDescent="0.25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  <c r="AM837" s="51"/>
      <c r="AN837" s="51"/>
      <c r="AO837" s="51"/>
      <c r="AP837" s="51"/>
      <c r="AQ837" s="51"/>
      <c r="AR837" s="51"/>
      <c r="AS837" s="51"/>
      <c r="AT837" s="51"/>
      <c r="AU837" s="51"/>
    </row>
    <row r="838" spans="1:47" x14ac:dyDescent="0.25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  <c r="AM838" s="51"/>
      <c r="AN838" s="51"/>
      <c r="AO838" s="51"/>
      <c r="AP838" s="51"/>
      <c r="AQ838" s="51"/>
      <c r="AR838" s="51"/>
      <c r="AS838" s="51"/>
      <c r="AT838" s="51"/>
      <c r="AU838" s="51"/>
    </row>
    <row r="839" spans="1:47" x14ac:dyDescent="0.25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  <c r="AO839" s="51"/>
      <c r="AP839" s="51"/>
      <c r="AQ839" s="51"/>
      <c r="AR839" s="51"/>
      <c r="AS839" s="51"/>
      <c r="AT839" s="51"/>
      <c r="AU839" s="51"/>
    </row>
    <row r="840" spans="1:47" x14ac:dyDescent="0.25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  <c r="AM840" s="51"/>
      <c r="AN840" s="51"/>
      <c r="AO840" s="51"/>
      <c r="AP840" s="51"/>
      <c r="AQ840" s="51"/>
      <c r="AR840" s="51"/>
      <c r="AS840" s="51"/>
      <c r="AT840" s="51"/>
      <c r="AU840" s="51"/>
    </row>
    <row r="841" spans="1:47" x14ac:dyDescent="0.25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  <c r="AM841" s="51"/>
      <c r="AN841" s="51"/>
      <c r="AO841" s="51"/>
      <c r="AP841" s="51"/>
      <c r="AQ841" s="51"/>
      <c r="AR841" s="51"/>
      <c r="AS841" s="51"/>
      <c r="AT841" s="51"/>
      <c r="AU841" s="51"/>
    </row>
    <row r="842" spans="1:47" x14ac:dyDescent="0.25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  <c r="AM842" s="51"/>
      <c r="AN842" s="51"/>
      <c r="AO842" s="51"/>
      <c r="AP842" s="51"/>
      <c r="AQ842" s="51"/>
      <c r="AR842" s="51"/>
      <c r="AS842" s="51"/>
      <c r="AT842" s="51"/>
      <c r="AU842" s="51"/>
    </row>
    <row r="843" spans="1:47" x14ac:dyDescent="0.25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  <c r="AM843" s="51"/>
      <c r="AN843" s="51"/>
      <c r="AO843" s="51"/>
      <c r="AP843" s="51"/>
      <c r="AQ843" s="51"/>
      <c r="AR843" s="51"/>
      <c r="AS843" s="51"/>
      <c r="AT843" s="51"/>
      <c r="AU843" s="51"/>
    </row>
    <row r="844" spans="1:47" x14ac:dyDescent="0.25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  <c r="AO844" s="51"/>
      <c r="AP844" s="51"/>
      <c r="AQ844" s="51"/>
      <c r="AR844" s="51"/>
      <c r="AS844" s="51"/>
      <c r="AT844" s="51"/>
      <c r="AU844" s="51"/>
    </row>
    <row r="845" spans="1:47" x14ac:dyDescent="0.2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  <c r="AM845" s="51"/>
      <c r="AN845" s="51"/>
      <c r="AO845" s="51"/>
      <c r="AP845" s="51"/>
      <c r="AQ845" s="51"/>
      <c r="AR845" s="51"/>
      <c r="AS845" s="51"/>
      <c r="AT845" s="51"/>
      <c r="AU845" s="51"/>
    </row>
    <row r="846" spans="1:47" x14ac:dyDescent="0.25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  <c r="AM846" s="51"/>
      <c r="AN846" s="51"/>
      <c r="AO846" s="51"/>
      <c r="AP846" s="51"/>
      <c r="AQ846" s="51"/>
      <c r="AR846" s="51"/>
      <c r="AS846" s="51"/>
      <c r="AT846" s="51"/>
      <c r="AU846" s="51"/>
    </row>
    <row r="847" spans="1:47" x14ac:dyDescent="0.25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  <c r="AM847" s="51"/>
      <c r="AN847" s="51"/>
      <c r="AO847" s="51"/>
      <c r="AP847" s="51"/>
      <c r="AQ847" s="51"/>
      <c r="AR847" s="51"/>
      <c r="AS847" s="51"/>
      <c r="AT847" s="51"/>
      <c r="AU847" s="51"/>
    </row>
    <row r="848" spans="1:47" x14ac:dyDescent="0.25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  <c r="AM848" s="51"/>
      <c r="AN848" s="51"/>
      <c r="AO848" s="51"/>
      <c r="AP848" s="51"/>
      <c r="AQ848" s="51"/>
      <c r="AR848" s="51"/>
      <c r="AS848" s="51"/>
      <c r="AT848" s="51"/>
      <c r="AU848" s="51"/>
    </row>
    <row r="849" spans="1:47" x14ac:dyDescent="0.25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  <c r="AO849" s="51"/>
      <c r="AP849" s="51"/>
      <c r="AQ849" s="51"/>
      <c r="AR849" s="51"/>
      <c r="AS849" s="51"/>
      <c r="AT849" s="51"/>
      <c r="AU849" s="51"/>
    </row>
    <row r="850" spans="1:47" x14ac:dyDescent="0.25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  <c r="AO850" s="51"/>
      <c r="AP850" s="51"/>
      <c r="AQ850" s="51"/>
      <c r="AR850" s="51"/>
      <c r="AS850" s="51"/>
      <c r="AT850" s="51"/>
      <c r="AU850" s="51"/>
    </row>
    <row r="851" spans="1:47" x14ac:dyDescent="0.25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  <c r="AM851" s="51"/>
      <c r="AN851" s="51"/>
      <c r="AO851" s="51"/>
      <c r="AP851" s="51"/>
      <c r="AQ851" s="51"/>
      <c r="AR851" s="51"/>
      <c r="AS851" s="51"/>
      <c r="AT851" s="51"/>
      <c r="AU851" s="51"/>
    </row>
    <row r="852" spans="1:47" x14ac:dyDescent="0.25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  <c r="AO852" s="51"/>
      <c r="AP852" s="51"/>
      <c r="AQ852" s="51"/>
      <c r="AR852" s="51"/>
      <c r="AS852" s="51"/>
      <c r="AT852" s="51"/>
      <c r="AU852" s="51"/>
    </row>
    <row r="853" spans="1:47" x14ac:dyDescent="0.25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  <c r="AO853" s="51"/>
      <c r="AP853" s="51"/>
      <c r="AQ853" s="51"/>
      <c r="AR853" s="51"/>
      <c r="AS853" s="51"/>
      <c r="AT853" s="51"/>
      <c r="AU853" s="51"/>
    </row>
    <row r="854" spans="1:47" x14ac:dyDescent="0.25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  <c r="AM854" s="51"/>
      <c r="AN854" s="51"/>
      <c r="AO854" s="51"/>
      <c r="AP854" s="51"/>
      <c r="AQ854" s="51"/>
      <c r="AR854" s="51"/>
      <c r="AS854" s="51"/>
      <c r="AT854" s="51"/>
      <c r="AU854" s="51"/>
    </row>
    <row r="855" spans="1:47" x14ac:dyDescent="0.2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  <c r="AO855" s="51"/>
      <c r="AP855" s="51"/>
      <c r="AQ855" s="51"/>
      <c r="AR855" s="51"/>
      <c r="AS855" s="51"/>
      <c r="AT855" s="51"/>
      <c r="AU855" s="51"/>
    </row>
    <row r="856" spans="1:47" x14ac:dyDescent="0.25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  <c r="AO856" s="51"/>
      <c r="AP856" s="51"/>
      <c r="AQ856" s="51"/>
      <c r="AR856" s="51"/>
      <c r="AS856" s="51"/>
      <c r="AT856" s="51"/>
      <c r="AU856" s="51"/>
    </row>
    <row r="857" spans="1:47" x14ac:dyDescent="0.25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  <c r="AM857" s="51"/>
      <c r="AN857" s="51"/>
      <c r="AO857" s="51"/>
      <c r="AP857" s="51"/>
      <c r="AQ857" s="51"/>
      <c r="AR857" s="51"/>
      <c r="AS857" s="51"/>
      <c r="AT857" s="51"/>
      <c r="AU857" s="51"/>
    </row>
    <row r="858" spans="1:47" x14ac:dyDescent="0.25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  <c r="AT858" s="51"/>
      <c r="AU858" s="51"/>
    </row>
    <row r="859" spans="1:47" x14ac:dyDescent="0.25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  <c r="AM859" s="51"/>
      <c r="AN859" s="51"/>
      <c r="AO859" s="51"/>
      <c r="AP859" s="51"/>
      <c r="AQ859" s="51"/>
      <c r="AR859" s="51"/>
      <c r="AS859" s="51"/>
      <c r="AT859" s="51"/>
      <c r="AU859" s="51"/>
    </row>
    <row r="860" spans="1:47" x14ac:dyDescent="0.25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  <c r="AM860" s="51"/>
      <c r="AN860" s="51"/>
      <c r="AO860" s="51"/>
      <c r="AP860" s="51"/>
      <c r="AQ860" s="51"/>
      <c r="AR860" s="51"/>
      <c r="AS860" s="51"/>
      <c r="AT860" s="51"/>
      <c r="AU860" s="51"/>
    </row>
    <row r="861" spans="1:47" x14ac:dyDescent="0.25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  <c r="AO861" s="51"/>
      <c r="AP861" s="51"/>
      <c r="AQ861" s="51"/>
      <c r="AR861" s="51"/>
      <c r="AS861" s="51"/>
      <c r="AT861" s="51"/>
      <c r="AU861" s="51"/>
    </row>
    <row r="862" spans="1:47" x14ac:dyDescent="0.25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  <c r="AM862" s="51"/>
      <c r="AN862" s="51"/>
      <c r="AO862" s="51"/>
      <c r="AP862" s="51"/>
      <c r="AQ862" s="51"/>
      <c r="AR862" s="51"/>
      <c r="AS862" s="51"/>
      <c r="AT862" s="51"/>
      <c r="AU862" s="51"/>
    </row>
    <row r="863" spans="1:47" x14ac:dyDescent="0.25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  <c r="AM863" s="51"/>
      <c r="AN863" s="51"/>
      <c r="AO863" s="51"/>
      <c r="AP863" s="51"/>
      <c r="AQ863" s="51"/>
      <c r="AR863" s="51"/>
      <c r="AS863" s="51"/>
      <c r="AT863" s="51"/>
      <c r="AU863" s="51"/>
    </row>
    <row r="864" spans="1:47" x14ac:dyDescent="0.25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  <c r="AM864" s="51"/>
      <c r="AN864" s="51"/>
      <c r="AO864" s="51"/>
      <c r="AP864" s="51"/>
      <c r="AQ864" s="51"/>
      <c r="AR864" s="51"/>
      <c r="AS864" s="51"/>
      <c r="AT864" s="51"/>
      <c r="AU864" s="51"/>
    </row>
    <row r="865" spans="1:47" x14ac:dyDescent="0.2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  <c r="AM865" s="51"/>
      <c r="AN865" s="51"/>
      <c r="AO865" s="51"/>
      <c r="AP865" s="51"/>
      <c r="AQ865" s="51"/>
      <c r="AR865" s="51"/>
      <c r="AS865" s="51"/>
      <c r="AT865" s="51"/>
      <c r="AU865" s="51"/>
    </row>
    <row r="866" spans="1:47" x14ac:dyDescent="0.25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  <c r="AM866" s="51"/>
      <c r="AN866" s="51"/>
      <c r="AO866" s="51"/>
      <c r="AP866" s="51"/>
      <c r="AQ866" s="51"/>
      <c r="AR866" s="51"/>
      <c r="AS866" s="51"/>
      <c r="AT866" s="51"/>
      <c r="AU866" s="51"/>
    </row>
    <row r="867" spans="1:47" x14ac:dyDescent="0.25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  <c r="AM867" s="51"/>
      <c r="AN867" s="51"/>
      <c r="AO867" s="51"/>
      <c r="AP867" s="51"/>
      <c r="AQ867" s="51"/>
      <c r="AR867" s="51"/>
      <c r="AS867" s="51"/>
      <c r="AT867" s="51"/>
      <c r="AU867" s="51"/>
    </row>
    <row r="868" spans="1:47" x14ac:dyDescent="0.25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  <c r="AM868" s="51"/>
      <c r="AN868" s="51"/>
      <c r="AO868" s="51"/>
      <c r="AP868" s="51"/>
      <c r="AQ868" s="51"/>
      <c r="AR868" s="51"/>
      <c r="AS868" s="51"/>
      <c r="AT868" s="51"/>
      <c r="AU868" s="51"/>
    </row>
    <row r="869" spans="1:47" x14ac:dyDescent="0.25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  <c r="AM869" s="51"/>
      <c r="AN869" s="51"/>
      <c r="AO869" s="51"/>
      <c r="AP869" s="51"/>
      <c r="AQ869" s="51"/>
      <c r="AR869" s="51"/>
      <c r="AS869" s="51"/>
      <c r="AT869" s="51"/>
      <c r="AU869" s="51"/>
    </row>
    <row r="870" spans="1:47" x14ac:dyDescent="0.25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  <c r="AM870" s="51"/>
      <c r="AN870" s="51"/>
      <c r="AO870" s="51"/>
      <c r="AP870" s="51"/>
      <c r="AQ870" s="51"/>
      <c r="AR870" s="51"/>
      <c r="AS870" s="51"/>
      <c r="AT870" s="51"/>
      <c r="AU870" s="51"/>
    </row>
    <row r="871" spans="1:47" x14ac:dyDescent="0.25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  <c r="AM871" s="51"/>
      <c r="AN871" s="51"/>
      <c r="AO871" s="51"/>
      <c r="AP871" s="51"/>
      <c r="AQ871" s="51"/>
      <c r="AR871" s="51"/>
      <c r="AS871" s="51"/>
      <c r="AT871" s="51"/>
      <c r="AU871" s="51"/>
    </row>
    <row r="872" spans="1:47" x14ac:dyDescent="0.25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  <c r="AM872" s="51"/>
      <c r="AN872" s="51"/>
      <c r="AO872" s="51"/>
      <c r="AP872" s="51"/>
      <c r="AQ872" s="51"/>
      <c r="AR872" s="51"/>
      <c r="AS872" s="51"/>
      <c r="AT872" s="51"/>
      <c r="AU872" s="51"/>
    </row>
    <row r="873" spans="1:47" x14ac:dyDescent="0.25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  <c r="AM873" s="51"/>
      <c r="AN873" s="51"/>
      <c r="AO873" s="51"/>
      <c r="AP873" s="51"/>
      <c r="AQ873" s="51"/>
      <c r="AR873" s="51"/>
      <c r="AS873" s="51"/>
      <c r="AT873" s="51"/>
      <c r="AU873" s="51"/>
    </row>
    <row r="874" spans="1:47" x14ac:dyDescent="0.25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P874" s="51"/>
      <c r="AQ874" s="51"/>
      <c r="AR874" s="51"/>
      <c r="AS874" s="51"/>
      <c r="AT874" s="51"/>
      <c r="AU874" s="51"/>
    </row>
    <row r="875" spans="1:47" x14ac:dyDescent="0.2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  <c r="AM875" s="51"/>
      <c r="AN875" s="51"/>
      <c r="AO875" s="51"/>
      <c r="AP875" s="51"/>
      <c r="AQ875" s="51"/>
      <c r="AR875" s="51"/>
      <c r="AS875" s="51"/>
      <c r="AT875" s="51"/>
      <c r="AU875" s="51"/>
    </row>
    <row r="876" spans="1:47" x14ac:dyDescent="0.25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  <c r="AM876" s="51"/>
      <c r="AN876" s="51"/>
      <c r="AO876" s="51"/>
      <c r="AP876" s="51"/>
      <c r="AQ876" s="51"/>
      <c r="AR876" s="51"/>
      <c r="AS876" s="51"/>
      <c r="AT876" s="51"/>
      <c r="AU876" s="51"/>
    </row>
    <row r="877" spans="1:47" x14ac:dyDescent="0.25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  <c r="AM877" s="51"/>
      <c r="AN877" s="51"/>
      <c r="AO877" s="51"/>
      <c r="AP877" s="51"/>
      <c r="AQ877" s="51"/>
      <c r="AR877" s="51"/>
      <c r="AS877" s="51"/>
      <c r="AT877" s="51"/>
      <c r="AU877" s="51"/>
    </row>
    <row r="878" spans="1:47" x14ac:dyDescent="0.25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  <c r="AM878" s="51"/>
      <c r="AN878" s="51"/>
      <c r="AO878" s="51"/>
      <c r="AP878" s="51"/>
      <c r="AQ878" s="51"/>
      <c r="AR878" s="51"/>
      <c r="AS878" s="51"/>
      <c r="AT878" s="51"/>
      <c r="AU878" s="51"/>
    </row>
    <row r="879" spans="1:47" x14ac:dyDescent="0.25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  <c r="AM879" s="51"/>
      <c r="AN879" s="51"/>
      <c r="AO879" s="51"/>
      <c r="AP879" s="51"/>
      <c r="AQ879" s="51"/>
      <c r="AR879" s="51"/>
      <c r="AS879" s="51"/>
      <c r="AT879" s="51"/>
      <c r="AU879" s="51"/>
    </row>
    <row r="880" spans="1:47" x14ac:dyDescent="0.25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  <c r="AM880" s="51"/>
      <c r="AN880" s="51"/>
      <c r="AO880" s="51"/>
      <c r="AP880" s="51"/>
      <c r="AQ880" s="51"/>
      <c r="AR880" s="51"/>
      <c r="AS880" s="51"/>
      <c r="AT880" s="51"/>
      <c r="AU880" s="51"/>
    </row>
    <row r="881" spans="1:47" x14ac:dyDescent="0.25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  <c r="AM881" s="51"/>
      <c r="AN881" s="51"/>
      <c r="AO881" s="51"/>
      <c r="AP881" s="51"/>
      <c r="AQ881" s="51"/>
      <c r="AR881" s="51"/>
      <c r="AS881" s="51"/>
      <c r="AT881" s="51"/>
      <c r="AU881" s="51"/>
    </row>
    <row r="882" spans="1:47" x14ac:dyDescent="0.25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  <c r="AR882" s="51"/>
      <c r="AS882" s="51"/>
      <c r="AT882" s="51"/>
      <c r="AU882" s="51"/>
    </row>
    <row r="883" spans="1:47" x14ac:dyDescent="0.25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  <c r="AM883" s="51"/>
      <c r="AN883" s="51"/>
      <c r="AO883" s="51"/>
      <c r="AP883" s="51"/>
      <c r="AQ883" s="51"/>
      <c r="AR883" s="51"/>
      <c r="AS883" s="51"/>
      <c r="AT883" s="51"/>
      <c r="AU883" s="51"/>
    </row>
    <row r="884" spans="1:47" x14ac:dyDescent="0.25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  <c r="AM884" s="51"/>
      <c r="AN884" s="51"/>
      <c r="AO884" s="51"/>
      <c r="AP884" s="51"/>
      <c r="AQ884" s="51"/>
      <c r="AR884" s="51"/>
      <c r="AS884" s="51"/>
      <c r="AT884" s="51"/>
      <c r="AU884" s="51"/>
    </row>
    <row r="885" spans="1:47" x14ac:dyDescent="0.2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  <c r="AM885" s="51"/>
      <c r="AN885" s="51"/>
      <c r="AO885" s="51"/>
      <c r="AP885" s="51"/>
      <c r="AQ885" s="51"/>
      <c r="AR885" s="51"/>
      <c r="AS885" s="51"/>
      <c r="AT885" s="51"/>
      <c r="AU885" s="51"/>
    </row>
    <row r="886" spans="1:47" x14ac:dyDescent="0.25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  <c r="AM886" s="51"/>
      <c r="AN886" s="51"/>
      <c r="AO886" s="51"/>
      <c r="AP886" s="51"/>
      <c r="AQ886" s="51"/>
      <c r="AR886" s="51"/>
      <c r="AS886" s="51"/>
      <c r="AT886" s="51"/>
      <c r="AU886" s="51"/>
    </row>
    <row r="887" spans="1:47" x14ac:dyDescent="0.25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  <c r="AM887" s="51"/>
      <c r="AN887" s="51"/>
      <c r="AO887" s="51"/>
      <c r="AP887" s="51"/>
      <c r="AQ887" s="51"/>
      <c r="AR887" s="51"/>
      <c r="AS887" s="51"/>
      <c r="AT887" s="51"/>
      <c r="AU887" s="51"/>
    </row>
    <row r="888" spans="1:47" x14ac:dyDescent="0.25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  <c r="AM888" s="51"/>
      <c r="AN888" s="51"/>
      <c r="AO888" s="51"/>
      <c r="AP888" s="51"/>
      <c r="AQ888" s="51"/>
      <c r="AR888" s="51"/>
      <c r="AS888" s="51"/>
      <c r="AT888" s="51"/>
      <c r="AU888" s="51"/>
    </row>
    <row r="889" spans="1:47" x14ac:dyDescent="0.25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  <c r="AM889" s="51"/>
      <c r="AN889" s="51"/>
      <c r="AO889" s="51"/>
      <c r="AP889" s="51"/>
      <c r="AQ889" s="51"/>
      <c r="AR889" s="51"/>
      <c r="AS889" s="51"/>
      <c r="AT889" s="51"/>
      <c r="AU889" s="51"/>
    </row>
    <row r="890" spans="1:47" x14ac:dyDescent="0.25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  <c r="AM890" s="51"/>
      <c r="AN890" s="51"/>
      <c r="AO890" s="51"/>
      <c r="AP890" s="51"/>
      <c r="AQ890" s="51"/>
      <c r="AR890" s="51"/>
      <c r="AS890" s="51"/>
      <c r="AT890" s="51"/>
      <c r="AU890" s="51"/>
    </row>
    <row r="891" spans="1:47" x14ac:dyDescent="0.25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  <c r="AM891" s="51"/>
      <c r="AN891" s="51"/>
      <c r="AO891" s="51"/>
      <c r="AP891" s="51"/>
      <c r="AQ891" s="51"/>
      <c r="AR891" s="51"/>
      <c r="AS891" s="51"/>
      <c r="AT891" s="51"/>
      <c r="AU891" s="51"/>
    </row>
    <row r="892" spans="1:47" x14ac:dyDescent="0.25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  <c r="AM892" s="51"/>
      <c r="AN892" s="51"/>
      <c r="AO892" s="51"/>
      <c r="AP892" s="51"/>
      <c r="AQ892" s="51"/>
      <c r="AR892" s="51"/>
      <c r="AS892" s="51"/>
      <c r="AT892" s="51"/>
      <c r="AU892" s="51"/>
    </row>
    <row r="893" spans="1:47" x14ac:dyDescent="0.25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  <c r="AM893" s="51"/>
      <c r="AN893" s="51"/>
      <c r="AO893" s="51"/>
      <c r="AP893" s="51"/>
      <c r="AQ893" s="51"/>
      <c r="AR893" s="51"/>
      <c r="AS893" s="51"/>
      <c r="AT893" s="51"/>
      <c r="AU893" s="51"/>
    </row>
    <row r="894" spans="1:47" x14ac:dyDescent="0.25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  <c r="AM894" s="51"/>
      <c r="AN894" s="51"/>
      <c r="AO894" s="51"/>
      <c r="AP894" s="51"/>
      <c r="AQ894" s="51"/>
      <c r="AR894" s="51"/>
      <c r="AS894" s="51"/>
      <c r="AT894" s="51"/>
      <c r="AU894" s="51"/>
    </row>
    <row r="895" spans="1:47" x14ac:dyDescent="0.2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  <c r="AM895" s="51"/>
      <c r="AN895" s="51"/>
      <c r="AO895" s="51"/>
      <c r="AP895" s="51"/>
      <c r="AQ895" s="51"/>
      <c r="AR895" s="51"/>
      <c r="AS895" s="51"/>
      <c r="AT895" s="51"/>
      <c r="AU895" s="51"/>
    </row>
    <row r="896" spans="1:47" x14ac:dyDescent="0.25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  <c r="AM896" s="51"/>
      <c r="AN896" s="51"/>
      <c r="AO896" s="51"/>
      <c r="AP896" s="51"/>
      <c r="AQ896" s="51"/>
      <c r="AR896" s="51"/>
      <c r="AS896" s="51"/>
      <c r="AT896" s="51"/>
      <c r="AU896" s="51"/>
    </row>
    <row r="897" spans="1:47" x14ac:dyDescent="0.25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  <c r="AM897" s="51"/>
      <c r="AN897" s="51"/>
      <c r="AO897" s="51"/>
      <c r="AP897" s="51"/>
      <c r="AQ897" s="51"/>
      <c r="AR897" s="51"/>
      <c r="AS897" s="51"/>
      <c r="AT897" s="51"/>
      <c r="AU897" s="51"/>
    </row>
    <row r="898" spans="1:47" x14ac:dyDescent="0.25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  <c r="AM898" s="51"/>
      <c r="AN898" s="51"/>
      <c r="AO898" s="51"/>
      <c r="AP898" s="51"/>
      <c r="AQ898" s="51"/>
      <c r="AR898" s="51"/>
      <c r="AS898" s="51"/>
      <c r="AT898" s="51"/>
      <c r="AU898" s="51"/>
    </row>
    <row r="899" spans="1:47" x14ac:dyDescent="0.25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  <c r="AM899" s="51"/>
      <c r="AN899" s="51"/>
      <c r="AO899" s="51"/>
      <c r="AP899" s="51"/>
      <c r="AQ899" s="51"/>
      <c r="AR899" s="51"/>
      <c r="AS899" s="51"/>
      <c r="AT899" s="51"/>
      <c r="AU899" s="51"/>
    </row>
    <row r="900" spans="1:47" x14ac:dyDescent="0.25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  <c r="AM900" s="51"/>
      <c r="AN900" s="51"/>
      <c r="AO900" s="51"/>
      <c r="AP900" s="51"/>
      <c r="AQ900" s="51"/>
      <c r="AR900" s="51"/>
      <c r="AS900" s="51"/>
      <c r="AT900" s="51"/>
      <c r="AU900" s="51"/>
    </row>
    <row r="901" spans="1:47" x14ac:dyDescent="0.25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  <c r="AM901" s="51"/>
      <c r="AN901" s="51"/>
      <c r="AO901" s="51"/>
      <c r="AP901" s="51"/>
      <c r="AQ901" s="51"/>
      <c r="AR901" s="51"/>
      <c r="AS901" s="51"/>
      <c r="AT901" s="51"/>
      <c r="AU901" s="51"/>
    </row>
    <row r="902" spans="1:47" x14ac:dyDescent="0.25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  <c r="AM902" s="51"/>
      <c r="AN902" s="51"/>
      <c r="AO902" s="51"/>
      <c r="AP902" s="51"/>
      <c r="AQ902" s="51"/>
      <c r="AR902" s="51"/>
      <c r="AS902" s="51"/>
      <c r="AT902" s="51"/>
      <c r="AU902" s="51"/>
    </row>
    <row r="903" spans="1:47" x14ac:dyDescent="0.25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  <c r="AM903" s="51"/>
      <c r="AN903" s="51"/>
      <c r="AO903" s="51"/>
      <c r="AP903" s="51"/>
      <c r="AQ903" s="51"/>
      <c r="AR903" s="51"/>
      <c r="AS903" s="51"/>
      <c r="AT903" s="51"/>
      <c r="AU903" s="51"/>
    </row>
    <row r="904" spans="1:47" x14ac:dyDescent="0.25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  <c r="AO904" s="51"/>
      <c r="AP904" s="51"/>
      <c r="AQ904" s="51"/>
      <c r="AR904" s="51"/>
      <c r="AS904" s="51"/>
      <c r="AT904" s="51"/>
      <c r="AU904" s="51"/>
    </row>
    <row r="905" spans="1:47" x14ac:dyDescent="0.2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  <c r="AM905" s="51"/>
      <c r="AN905" s="51"/>
      <c r="AO905" s="51"/>
      <c r="AP905" s="51"/>
      <c r="AQ905" s="51"/>
      <c r="AR905" s="51"/>
      <c r="AS905" s="51"/>
      <c r="AT905" s="51"/>
      <c r="AU905" s="51"/>
    </row>
    <row r="906" spans="1:47" x14ac:dyDescent="0.25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  <c r="AM906" s="51"/>
      <c r="AN906" s="51"/>
      <c r="AO906" s="51"/>
      <c r="AP906" s="51"/>
      <c r="AQ906" s="51"/>
      <c r="AR906" s="51"/>
      <c r="AS906" s="51"/>
      <c r="AT906" s="51"/>
      <c r="AU906" s="51"/>
    </row>
    <row r="907" spans="1:47" x14ac:dyDescent="0.25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  <c r="AM907" s="51"/>
      <c r="AN907" s="51"/>
      <c r="AO907" s="51"/>
      <c r="AP907" s="51"/>
      <c r="AQ907" s="51"/>
      <c r="AR907" s="51"/>
      <c r="AS907" s="51"/>
      <c r="AT907" s="51"/>
      <c r="AU907" s="51"/>
    </row>
    <row r="908" spans="1:47" x14ac:dyDescent="0.25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  <c r="AM908" s="51"/>
      <c r="AN908" s="51"/>
      <c r="AO908" s="51"/>
      <c r="AP908" s="51"/>
      <c r="AQ908" s="51"/>
      <c r="AR908" s="51"/>
      <c r="AS908" s="51"/>
      <c r="AT908" s="51"/>
      <c r="AU908" s="51"/>
    </row>
    <row r="909" spans="1:47" x14ac:dyDescent="0.25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  <c r="AM909" s="51"/>
      <c r="AN909" s="51"/>
      <c r="AO909" s="51"/>
      <c r="AP909" s="51"/>
      <c r="AQ909" s="51"/>
      <c r="AR909" s="51"/>
      <c r="AS909" s="51"/>
      <c r="AT909" s="51"/>
      <c r="AU909" s="51"/>
    </row>
    <row r="910" spans="1:47" x14ac:dyDescent="0.25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  <c r="AM910" s="51"/>
      <c r="AN910" s="51"/>
      <c r="AO910" s="51"/>
      <c r="AP910" s="51"/>
      <c r="AQ910" s="51"/>
      <c r="AR910" s="51"/>
      <c r="AS910" s="51"/>
      <c r="AT910" s="51"/>
      <c r="AU910" s="51"/>
    </row>
    <row r="911" spans="1:47" x14ac:dyDescent="0.25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  <c r="AM911" s="51"/>
      <c r="AN911" s="51"/>
      <c r="AO911" s="51"/>
      <c r="AP911" s="51"/>
      <c r="AQ911" s="51"/>
      <c r="AR911" s="51"/>
      <c r="AS911" s="51"/>
      <c r="AT911" s="51"/>
      <c r="AU911" s="51"/>
    </row>
    <row r="912" spans="1:47" x14ac:dyDescent="0.25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  <c r="AM912" s="51"/>
      <c r="AN912" s="51"/>
      <c r="AO912" s="51"/>
      <c r="AP912" s="51"/>
      <c r="AQ912" s="51"/>
      <c r="AR912" s="51"/>
      <c r="AS912" s="51"/>
      <c r="AT912" s="51"/>
      <c r="AU912" s="51"/>
    </row>
    <row r="913" spans="1:47" x14ac:dyDescent="0.25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  <c r="AM913" s="51"/>
      <c r="AN913" s="51"/>
      <c r="AO913" s="51"/>
      <c r="AP913" s="51"/>
      <c r="AQ913" s="51"/>
      <c r="AR913" s="51"/>
      <c r="AS913" s="51"/>
      <c r="AT913" s="51"/>
      <c r="AU913" s="51"/>
    </row>
    <row r="914" spans="1:47" x14ac:dyDescent="0.25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  <c r="AM914" s="51"/>
      <c r="AN914" s="51"/>
      <c r="AO914" s="51"/>
      <c r="AP914" s="51"/>
      <c r="AQ914" s="51"/>
      <c r="AR914" s="51"/>
      <c r="AS914" s="51"/>
      <c r="AT914" s="51"/>
      <c r="AU914" s="51"/>
    </row>
    <row r="915" spans="1:47" x14ac:dyDescent="0.2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  <c r="AM915" s="51"/>
      <c r="AN915" s="51"/>
      <c r="AO915" s="51"/>
      <c r="AP915" s="51"/>
      <c r="AQ915" s="51"/>
      <c r="AR915" s="51"/>
      <c r="AS915" s="51"/>
      <c r="AT915" s="51"/>
      <c r="AU915" s="51"/>
    </row>
    <row r="916" spans="1:47" x14ac:dyDescent="0.25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  <c r="AM916" s="51"/>
      <c r="AN916" s="51"/>
      <c r="AO916" s="51"/>
      <c r="AP916" s="51"/>
      <c r="AQ916" s="51"/>
      <c r="AR916" s="51"/>
      <c r="AS916" s="51"/>
      <c r="AT916" s="51"/>
      <c r="AU916" s="51"/>
    </row>
    <row r="917" spans="1:47" x14ac:dyDescent="0.25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  <c r="AM917" s="51"/>
      <c r="AN917" s="51"/>
      <c r="AO917" s="51"/>
      <c r="AP917" s="51"/>
      <c r="AQ917" s="51"/>
      <c r="AR917" s="51"/>
      <c r="AS917" s="51"/>
      <c r="AT917" s="51"/>
      <c r="AU917" s="51"/>
    </row>
    <row r="918" spans="1:47" x14ac:dyDescent="0.25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  <c r="AM918" s="51"/>
      <c r="AN918" s="51"/>
      <c r="AO918" s="51"/>
      <c r="AP918" s="51"/>
      <c r="AQ918" s="51"/>
      <c r="AR918" s="51"/>
      <c r="AS918" s="51"/>
      <c r="AT918" s="51"/>
      <c r="AU918" s="51"/>
    </row>
    <row r="919" spans="1:47" x14ac:dyDescent="0.25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  <c r="AM919" s="51"/>
      <c r="AN919" s="51"/>
      <c r="AO919" s="51"/>
      <c r="AP919" s="51"/>
      <c r="AQ919" s="51"/>
      <c r="AR919" s="51"/>
      <c r="AS919" s="51"/>
      <c r="AT919" s="51"/>
      <c r="AU919" s="51"/>
    </row>
    <row r="920" spans="1:47" x14ac:dyDescent="0.25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  <c r="AM920" s="51"/>
      <c r="AN920" s="51"/>
      <c r="AO920" s="51"/>
      <c r="AP920" s="51"/>
      <c r="AQ920" s="51"/>
      <c r="AR920" s="51"/>
      <c r="AS920" s="51"/>
      <c r="AT920" s="51"/>
      <c r="AU920" s="51"/>
    </row>
    <row r="921" spans="1:47" x14ac:dyDescent="0.25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  <c r="AM921" s="51"/>
      <c r="AN921" s="51"/>
      <c r="AO921" s="51"/>
      <c r="AP921" s="51"/>
      <c r="AQ921" s="51"/>
      <c r="AR921" s="51"/>
      <c r="AS921" s="51"/>
      <c r="AT921" s="51"/>
      <c r="AU921" s="51"/>
    </row>
    <row r="922" spans="1:47" x14ac:dyDescent="0.25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  <c r="AM922" s="51"/>
      <c r="AN922" s="51"/>
      <c r="AO922" s="51"/>
      <c r="AP922" s="51"/>
      <c r="AQ922" s="51"/>
      <c r="AR922" s="51"/>
      <c r="AS922" s="51"/>
      <c r="AT922" s="51"/>
      <c r="AU922" s="51"/>
    </row>
    <row r="923" spans="1:47" x14ac:dyDescent="0.25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  <c r="AM923" s="51"/>
      <c r="AN923" s="51"/>
      <c r="AO923" s="51"/>
      <c r="AP923" s="51"/>
      <c r="AQ923" s="51"/>
      <c r="AR923" s="51"/>
      <c r="AS923" s="51"/>
      <c r="AT923" s="51"/>
      <c r="AU923" s="51"/>
    </row>
    <row r="924" spans="1:47" x14ac:dyDescent="0.25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  <c r="AM924" s="51"/>
      <c r="AN924" s="51"/>
      <c r="AO924" s="51"/>
      <c r="AP924" s="51"/>
      <c r="AQ924" s="51"/>
      <c r="AR924" s="51"/>
      <c r="AS924" s="51"/>
      <c r="AT924" s="51"/>
      <c r="AU924" s="51"/>
    </row>
    <row r="925" spans="1:47" x14ac:dyDescent="0.2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  <c r="AM925" s="51"/>
      <c r="AN925" s="51"/>
      <c r="AO925" s="51"/>
      <c r="AP925" s="51"/>
      <c r="AQ925" s="51"/>
      <c r="AR925" s="51"/>
      <c r="AS925" s="51"/>
      <c r="AT925" s="51"/>
      <c r="AU925" s="51"/>
    </row>
    <row r="926" spans="1:47" x14ac:dyDescent="0.25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  <c r="AM926" s="51"/>
      <c r="AN926" s="51"/>
      <c r="AO926" s="51"/>
      <c r="AP926" s="51"/>
      <c r="AQ926" s="51"/>
      <c r="AR926" s="51"/>
      <c r="AS926" s="51"/>
      <c r="AT926" s="51"/>
      <c r="AU926" s="51"/>
    </row>
    <row r="927" spans="1:47" x14ac:dyDescent="0.25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  <c r="AM927" s="51"/>
      <c r="AN927" s="51"/>
      <c r="AO927" s="51"/>
      <c r="AP927" s="51"/>
      <c r="AQ927" s="51"/>
      <c r="AR927" s="51"/>
      <c r="AS927" s="51"/>
      <c r="AT927" s="51"/>
      <c r="AU927" s="51"/>
    </row>
    <row r="928" spans="1:47" x14ac:dyDescent="0.25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  <c r="AM928" s="51"/>
      <c r="AN928" s="51"/>
      <c r="AO928" s="51"/>
      <c r="AP928" s="51"/>
      <c r="AQ928" s="51"/>
      <c r="AR928" s="51"/>
      <c r="AS928" s="51"/>
      <c r="AT928" s="51"/>
      <c r="AU928" s="51"/>
    </row>
    <row r="929" spans="1:47" x14ac:dyDescent="0.25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  <c r="AM929" s="51"/>
      <c r="AN929" s="51"/>
      <c r="AO929" s="51"/>
      <c r="AP929" s="51"/>
      <c r="AQ929" s="51"/>
      <c r="AR929" s="51"/>
      <c r="AS929" s="51"/>
      <c r="AT929" s="51"/>
      <c r="AU929" s="51"/>
    </row>
    <row r="930" spans="1:47" x14ac:dyDescent="0.25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  <c r="AM930" s="51"/>
      <c r="AN930" s="51"/>
      <c r="AO930" s="51"/>
      <c r="AP930" s="51"/>
      <c r="AQ930" s="51"/>
      <c r="AR930" s="51"/>
      <c r="AS930" s="51"/>
      <c r="AT930" s="51"/>
      <c r="AU930" s="51"/>
    </row>
    <row r="931" spans="1:47" x14ac:dyDescent="0.25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  <c r="AM931" s="51"/>
      <c r="AN931" s="51"/>
      <c r="AO931" s="51"/>
      <c r="AP931" s="51"/>
      <c r="AQ931" s="51"/>
      <c r="AR931" s="51"/>
      <c r="AS931" s="51"/>
      <c r="AT931" s="51"/>
      <c r="AU931" s="51"/>
    </row>
    <row r="932" spans="1:47" x14ac:dyDescent="0.25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  <c r="AM932" s="51"/>
      <c r="AN932" s="51"/>
      <c r="AO932" s="51"/>
      <c r="AP932" s="51"/>
      <c r="AQ932" s="51"/>
      <c r="AR932" s="51"/>
      <c r="AS932" s="51"/>
      <c r="AT932" s="51"/>
      <c r="AU932" s="51"/>
    </row>
    <row r="933" spans="1:47" x14ac:dyDescent="0.25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  <c r="AM933" s="51"/>
      <c r="AN933" s="51"/>
      <c r="AO933" s="51"/>
      <c r="AP933" s="51"/>
      <c r="AQ933" s="51"/>
      <c r="AR933" s="51"/>
      <c r="AS933" s="51"/>
      <c r="AT933" s="51"/>
      <c r="AU933" s="51"/>
    </row>
    <row r="934" spans="1:47" x14ac:dyDescent="0.25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  <c r="AM934" s="51"/>
      <c r="AN934" s="51"/>
      <c r="AO934" s="51"/>
      <c r="AP934" s="51"/>
      <c r="AQ934" s="51"/>
      <c r="AR934" s="51"/>
      <c r="AS934" s="51"/>
      <c r="AT934" s="51"/>
      <c r="AU934" s="51"/>
    </row>
    <row r="935" spans="1:47" x14ac:dyDescent="0.2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  <c r="AM935" s="51"/>
      <c r="AN935" s="51"/>
      <c r="AO935" s="51"/>
      <c r="AP935" s="51"/>
      <c r="AQ935" s="51"/>
      <c r="AR935" s="51"/>
      <c r="AS935" s="51"/>
      <c r="AT935" s="51"/>
      <c r="AU935" s="51"/>
    </row>
    <row r="936" spans="1:47" x14ac:dyDescent="0.25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  <c r="AM936" s="51"/>
      <c r="AN936" s="51"/>
      <c r="AO936" s="51"/>
      <c r="AP936" s="51"/>
      <c r="AQ936" s="51"/>
      <c r="AR936" s="51"/>
      <c r="AS936" s="51"/>
      <c r="AT936" s="51"/>
      <c r="AU936" s="51"/>
    </row>
    <row r="937" spans="1:47" x14ac:dyDescent="0.25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  <c r="AM937" s="51"/>
      <c r="AN937" s="51"/>
      <c r="AO937" s="51"/>
      <c r="AP937" s="51"/>
      <c r="AQ937" s="51"/>
      <c r="AR937" s="51"/>
      <c r="AS937" s="51"/>
      <c r="AT937" s="51"/>
      <c r="AU937" s="51"/>
    </row>
    <row r="938" spans="1:47" x14ac:dyDescent="0.25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  <c r="AM938" s="51"/>
      <c r="AN938" s="51"/>
      <c r="AO938" s="51"/>
      <c r="AP938" s="51"/>
      <c r="AQ938" s="51"/>
      <c r="AR938" s="51"/>
      <c r="AS938" s="51"/>
      <c r="AT938" s="51"/>
      <c r="AU938" s="51"/>
    </row>
    <row r="939" spans="1:47" x14ac:dyDescent="0.25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  <c r="AM939" s="51"/>
      <c r="AN939" s="51"/>
      <c r="AO939" s="51"/>
      <c r="AP939" s="51"/>
      <c r="AQ939" s="51"/>
      <c r="AR939" s="51"/>
      <c r="AS939" s="51"/>
      <c r="AT939" s="51"/>
      <c r="AU939" s="51"/>
    </row>
    <row r="940" spans="1:47" x14ac:dyDescent="0.25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  <c r="AM940" s="51"/>
      <c r="AN940" s="51"/>
      <c r="AO940" s="51"/>
      <c r="AP940" s="51"/>
      <c r="AQ940" s="51"/>
      <c r="AR940" s="51"/>
      <c r="AS940" s="51"/>
      <c r="AT940" s="51"/>
      <c r="AU940" s="51"/>
    </row>
    <row r="941" spans="1:47" x14ac:dyDescent="0.25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  <c r="AM941" s="51"/>
      <c r="AN941" s="51"/>
      <c r="AO941" s="51"/>
      <c r="AP941" s="51"/>
      <c r="AQ941" s="51"/>
      <c r="AR941" s="51"/>
      <c r="AS941" s="51"/>
      <c r="AT941" s="51"/>
      <c r="AU941" s="51"/>
    </row>
    <row r="942" spans="1:47" x14ac:dyDescent="0.25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  <c r="AM942" s="51"/>
      <c r="AN942" s="51"/>
      <c r="AO942" s="51"/>
      <c r="AP942" s="51"/>
      <c r="AQ942" s="51"/>
      <c r="AR942" s="51"/>
      <c r="AS942" s="51"/>
      <c r="AT942" s="51"/>
      <c r="AU942" s="51"/>
    </row>
    <row r="943" spans="1:47" x14ac:dyDescent="0.25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  <c r="AM943" s="51"/>
      <c r="AN943" s="51"/>
      <c r="AO943" s="51"/>
      <c r="AP943" s="51"/>
      <c r="AQ943" s="51"/>
      <c r="AR943" s="51"/>
      <c r="AS943" s="51"/>
      <c r="AT943" s="51"/>
      <c r="AU943" s="51"/>
    </row>
    <row r="944" spans="1:47" x14ac:dyDescent="0.25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  <c r="AM944" s="51"/>
      <c r="AN944" s="51"/>
      <c r="AO944" s="51"/>
      <c r="AP944" s="51"/>
      <c r="AQ944" s="51"/>
      <c r="AR944" s="51"/>
      <c r="AS944" s="51"/>
      <c r="AT944" s="51"/>
      <c r="AU944" s="51"/>
    </row>
    <row r="945" spans="1:47" x14ac:dyDescent="0.2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  <c r="AM945" s="51"/>
      <c r="AN945" s="51"/>
      <c r="AO945" s="51"/>
      <c r="AP945" s="51"/>
      <c r="AQ945" s="51"/>
      <c r="AR945" s="51"/>
      <c r="AS945" s="51"/>
      <c r="AT945" s="51"/>
      <c r="AU945" s="51"/>
    </row>
    <row r="946" spans="1:47" x14ac:dyDescent="0.25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  <c r="AM946" s="51"/>
      <c r="AN946" s="51"/>
      <c r="AO946" s="51"/>
      <c r="AP946" s="51"/>
      <c r="AQ946" s="51"/>
      <c r="AR946" s="51"/>
      <c r="AS946" s="51"/>
      <c r="AT946" s="51"/>
      <c r="AU946" s="51"/>
    </row>
    <row r="947" spans="1:47" x14ac:dyDescent="0.25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  <c r="AM947" s="51"/>
      <c r="AN947" s="51"/>
      <c r="AO947" s="51"/>
      <c r="AP947" s="51"/>
      <c r="AQ947" s="51"/>
      <c r="AR947" s="51"/>
      <c r="AS947" s="51"/>
      <c r="AT947" s="51"/>
      <c r="AU947" s="51"/>
    </row>
    <row r="948" spans="1:47" x14ac:dyDescent="0.25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/>
      <c r="AP948" s="51"/>
      <c r="AQ948" s="51"/>
      <c r="AR948" s="51"/>
      <c r="AS948" s="51"/>
      <c r="AT948" s="51"/>
      <c r="AU948" s="51"/>
    </row>
    <row r="949" spans="1:47" x14ac:dyDescent="0.25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  <c r="AM949" s="51"/>
      <c r="AN949" s="51"/>
      <c r="AO949" s="51"/>
      <c r="AP949" s="51"/>
      <c r="AQ949" s="51"/>
      <c r="AR949" s="51"/>
      <c r="AS949" s="51"/>
      <c r="AT949" s="51"/>
      <c r="AU949" s="51"/>
    </row>
    <row r="950" spans="1:47" x14ac:dyDescent="0.25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  <c r="AM950" s="51"/>
      <c r="AN950" s="51"/>
      <c r="AO950" s="51"/>
      <c r="AP950" s="51"/>
      <c r="AQ950" s="51"/>
      <c r="AR950" s="51"/>
      <c r="AS950" s="51"/>
      <c r="AT950" s="51"/>
      <c r="AU950" s="51"/>
    </row>
    <row r="951" spans="1:47" x14ac:dyDescent="0.25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  <c r="AM951" s="51"/>
      <c r="AN951" s="51"/>
      <c r="AO951" s="51"/>
      <c r="AP951" s="51"/>
      <c r="AQ951" s="51"/>
      <c r="AR951" s="51"/>
      <c r="AS951" s="51"/>
      <c r="AT951" s="51"/>
      <c r="AU951" s="51"/>
    </row>
    <row r="952" spans="1:47" x14ac:dyDescent="0.25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  <c r="AM952" s="51"/>
      <c r="AN952" s="51"/>
      <c r="AO952" s="51"/>
      <c r="AP952" s="51"/>
      <c r="AQ952" s="51"/>
      <c r="AR952" s="51"/>
      <c r="AS952" s="51"/>
      <c r="AT952" s="51"/>
      <c r="AU952" s="51"/>
    </row>
    <row r="953" spans="1:47" x14ac:dyDescent="0.25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  <c r="AM953" s="51"/>
      <c r="AN953" s="51"/>
      <c r="AO953" s="51"/>
      <c r="AP953" s="51"/>
      <c r="AQ953" s="51"/>
      <c r="AR953" s="51"/>
      <c r="AS953" s="51"/>
      <c r="AT953" s="51"/>
      <c r="AU953" s="51"/>
    </row>
    <row r="954" spans="1:47" x14ac:dyDescent="0.25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  <c r="AM954" s="51"/>
      <c r="AN954" s="51"/>
      <c r="AO954" s="51"/>
      <c r="AP954" s="51"/>
      <c r="AQ954" s="51"/>
      <c r="AR954" s="51"/>
      <c r="AS954" s="51"/>
      <c r="AT954" s="51"/>
      <c r="AU954" s="51"/>
    </row>
    <row r="955" spans="1:47" x14ac:dyDescent="0.2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  <c r="AM955" s="51"/>
      <c r="AN955" s="51"/>
      <c r="AO955" s="51"/>
      <c r="AP955" s="51"/>
      <c r="AQ955" s="51"/>
      <c r="AR955" s="51"/>
      <c r="AS955" s="51"/>
      <c r="AT955" s="51"/>
      <c r="AU955" s="51"/>
    </row>
    <row r="956" spans="1:47" x14ac:dyDescent="0.25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  <c r="AM956" s="51"/>
      <c r="AN956" s="51"/>
      <c r="AO956" s="51"/>
      <c r="AP956" s="51"/>
      <c r="AQ956" s="51"/>
      <c r="AR956" s="51"/>
      <c r="AS956" s="51"/>
      <c r="AT956" s="51"/>
      <c r="AU956" s="51"/>
    </row>
    <row r="957" spans="1:47" x14ac:dyDescent="0.25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  <c r="AM957" s="51"/>
      <c r="AN957" s="51"/>
      <c r="AO957" s="51"/>
      <c r="AP957" s="51"/>
      <c r="AQ957" s="51"/>
      <c r="AR957" s="51"/>
      <c r="AS957" s="51"/>
      <c r="AT957" s="51"/>
      <c r="AU957" s="51"/>
    </row>
    <row r="958" spans="1:47" x14ac:dyDescent="0.25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  <c r="AM958" s="51"/>
      <c r="AN958" s="51"/>
      <c r="AO958" s="51"/>
      <c r="AP958" s="51"/>
      <c r="AQ958" s="51"/>
      <c r="AR958" s="51"/>
      <c r="AS958" s="51"/>
      <c r="AT958" s="51"/>
      <c r="AU958" s="51"/>
    </row>
    <row r="959" spans="1:47" x14ac:dyDescent="0.25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  <c r="AM959" s="51"/>
      <c r="AN959" s="51"/>
      <c r="AO959" s="51"/>
      <c r="AP959" s="51"/>
      <c r="AQ959" s="51"/>
      <c r="AR959" s="51"/>
      <c r="AS959" s="51"/>
      <c r="AT959" s="51"/>
      <c r="AU959" s="51"/>
    </row>
    <row r="960" spans="1:47" x14ac:dyDescent="0.25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  <c r="AM960" s="51"/>
      <c r="AN960" s="51"/>
      <c r="AO960" s="51"/>
      <c r="AP960" s="51"/>
      <c r="AQ960" s="51"/>
      <c r="AR960" s="51"/>
      <c r="AS960" s="51"/>
      <c r="AT960" s="51"/>
      <c r="AU960" s="51"/>
    </row>
    <row r="961" spans="1:47" x14ac:dyDescent="0.25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  <c r="AM961" s="51"/>
      <c r="AN961" s="51"/>
      <c r="AO961" s="51"/>
      <c r="AP961" s="51"/>
      <c r="AQ961" s="51"/>
      <c r="AR961" s="51"/>
      <c r="AS961" s="51"/>
      <c r="AT961" s="51"/>
      <c r="AU961" s="51"/>
    </row>
    <row r="962" spans="1:47" x14ac:dyDescent="0.25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  <c r="AM962" s="51"/>
      <c r="AN962" s="51"/>
      <c r="AO962" s="51"/>
      <c r="AP962" s="51"/>
      <c r="AQ962" s="51"/>
      <c r="AR962" s="51"/>
      <c r="AS962" s="51"/>
      <c r="AT962" s="51"/>
      <c r="AU962" s="51"/>
    </row>
    <row r="963" spans="1:47" x14ac:dyDescent="0.25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  <c r="AM963" s="51"/>
      <c r="AN963" s="51"/>
      <c r="AO963" s="51"/>
      <c r="AP963" s="51"/>
      <c r="AQ963" s="51"/>
      <c r="AR963" s="51"/>
      <c r="AS963" s="51"/>
      <c r="AT963" s="51"/>
      <c r="AU963" s="51"/>
    </row>
    <row r="964" spans="1:47" x14ac:dyDescent="0.25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  <c r="AM964" s="51"/>
      <c r="AN964" s="51"/>
      <c r="AO964" s="51"/>
      <c r="AP964" s="51"/>
      <c r="AQ964" s="51"/>
      <c r="AR964" s="51"/>
      <c r="AS964" s="51"/>
      <c r="AT964" s="51"/>
      <c r="AU964" s="51"/>
    </row>
    <row r="965" spans="1:47" x14ac:dyDescent="0.2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  <c r="AM965" s="51"/>
      <c r="AN965" s="51"/>
      <c r="AO965" s="51"/>
      <c r="AP965" s="51"/>
      <c r="AQ965" s="51"/>
      <c r="AR965" s="51"/>
      <c r="AS965" s="51"/>
      <c r="AT965" s="51"/>
      <c r="AU965" s="51"/>
    </row>
    <row r="966" spans="1:47" x14ac:dyDescent="0.25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  <c r="AM966" s="51"/>
      <c r="AN966" s="51"/>
      <c r="AO966" s="51"/>
      <c r="AP966" s="51"/>
      <c r="AQ966" s="51"/>
      <c r="AR966" s="51"/>
      <c r="AS966" s="51"/>
      <c r="AT966" s="51"/>
      <c r="AU966" s="51"/>
    </row>
    <row r="967" spans="1:47" x14ac:dyDescent="0.25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  <c r="AM967" s="51"/>
      <c r="AN967" s="51"/>
      <c r="AO967" s="51"/>
      <c r="AP967" s="51"/>
      <c r="AQ967" s="51"/>
      <c r="AR967" s="51"/>
      <c r="AS967" s="51"/>
      <c r="AT967" s="51"/>
      <c r="AU967" s="51"/>
    </row>
    <row r="968" spans="1:47" x14ac:dyDescent="0.25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  <c r="AM968" s="51"/>
      <c r="AN968" s="51"/>
      <c r="AO968" s="51"/>
      <c r="AP968" s="51"/>
      <c r="AQ968" s="51"/>
      <c r="AR968" s="51"/>
      <c r="AS968" s="51"/>
      <c r="AT968" s="51"/>
      <c r="AU968" s="51"/>
    </row>
    <row r="969" spans="1:47" x14ac:dyDescent="0.25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  <c r="AM969" s="51"/>
      <c r="AN969" s="51"/>
      <c r="AO969" s="51"/>
      <c r="AP969" s="51"/>
      <c r="AQ969" s="51"/>
      <c r="AR969" s="51"/>
      <c r="AS969" s="51"/>
      <c r="AT969" s="51"/>
      <c r="AU969" s="51"/>
    </row>
    <row r="970" spans="1:47" x14ac:dyDescent="0.25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  <c r="AM970" s="51"/>
      <c r="AN970" s="51"/>
      <c r="AO970" s="51"/>
      <c r="AP970" s="51"/>
      <c r="AQ970" s="51"/>
      <c r="AR970" s="51"/>
      <c r="AS970" s="51"/>
      <c r="AT970" s="51"/>
      <c r="AU970" s="51"/>
    </row>
    <row r="971" spans="1:47" x14ac:dyDescent="0.25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  <c r="AM971" s="51"/>
      <c r="AN971" s="51"/>
      <c r="AO971" s="51"/>
      <c r="AP971" s="51"/>
      <c r="AQ971" s="51"/>
      <c r="AR971" s="51"/>
      <c r="AS971" s="51"/>
      <c r="AT971" s="51"/>
      <c r="AU971" s="51"/>
    </row>
    <row r="972" spans="1:47" x14ac:dyDescent="0.25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  <c r="AM972" s="51"/>
      <c r="AN972" s="51"/>
      <c r="AO972" s="51"/>
      <c r="AP972" s="51"/>
      <c r="AQ972" s="51"/>
      <c r="AR972" s="51"/>
      <c r="AS972" s="51"/>
      <c r="AT972" s="51"/>
      <c r="AU972" s="51"/>
    </row>
    <row r="973" spans="1:47" x14ac:dyDescent="0.25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  <c r="AM973" s="51"/>
      <c r="AN973" s="51"/>
      <c r="AO973" s="51"/>
      <c r="AP973" s="51"/>
      <c r="AQ973" s="51"/>
      <c r="AR973" s="51"/>
      <c r="AS973" s="51"/>
      <c r="AT973" s="51"/>
      <c r="AU973" s="51"/>
    </row>
    <row r="974" spans="1:47" x14ac:dyDescent="0.25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  <c r="AM974" s="51"/>
      <c r="AN974" s="51"/>
      <c r="AO974" s="51"/>
      <c r="AP974" s="51"/>
      <c r="AQ974" s="51"/>
      <c r="AR974" s="51"/>
      <c r="AS974" s="51"/>
      <c r="AT974" s="51"/>
      <c r="AU974" s="51"/>
    </row>
    <row r="975" spans="1:47" x14ac:dyDescent="0.2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  <c r="AM975" s="51"/>
      <c r="AN975" s="51"/>
      <c r="AO975" s="51"/>
      <c r="AP975" s="51"/>
      <c r="AQ975" s="51"/>
      <c r="AR975" s="51"/>
      <c r="AS975" s="51"/>
      <c r="AT975" s="51"/>
      <c r="AU975" s="51"/>
    </row>
    <row r="976" spans="1:47" x14ac:dyDescent="0.25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  <c r="AM976" s="51"/>
      <c r="AN976" s="51"/>
      <c r="AO976" s="51"/>
      <c r="AP976" s="51"/>
      <c r="AQ976" s="51"/>
      <c r="AR976" s="51"/>
      <c r="AS976" s="51"/>
      <c r="AT976" s="51"/>
      <c r="AU976" s="51"/>
    </row>
    <row r="977" spans="1:47" x14ac:dyDescent="0.25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  <c r="AM977" s="51"/>
      <c r="AN977" s="51"/>
      <c r="AO977" s="51"/>
      <c r="AP977" s="51"/>
      <c r="AQ977" s="51"/>
      <c r="AR977" s="51"/>
      <c r="AS977" s="51"/>
      <c r="AT977" s="51"/>
      <c r="AU977" s="51"/>
    </row>
    <row r="978" spans="1:47" x14ac:dyDescent="0.25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  <c r="AM978" s="51"/>
      <c r="AN978" s="51"/>
      <c r="AO978" s="51"/>
      <c r="AP978" s="51"/>
      <c r="AQ978" s="51"/>
      <c r="AR978" s="51"/>
      <c r="AS978" s="51"/>
      <c r="AT978" s="51"/>
      <c r="AU978" s="51"/>
    </row>
    <row r="979" spans="1:47" x14ac:dyDescent="0.25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  <c r="AM979" s="51"/>
      <c r="AN979" s="51"/>
      <c r="AO979" s="51"/>
      <c r="AP979" s="51"/>
      <c r="AQ979" s="51"/>
      <c r="AR979" s="51"/>
      <c r="AS979" s="51"/>
      <c r="AT979" s="51"/>
      <c r="AU979" s="51"/>
    </row>
    <row r="980" spans="1:47" x14ac:dyDescent="0.25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  <c r="AM980" s="51"/>
      <c r="AN980" s="51"/>
      <c r="AO980" s="51"/>
      <c r="AP980" s="51"/>
      <c r="AQ980" s="51"/>
      <c r="AR980" s="51"/>
      <c r="AS980" s="51"/>
      <c r="AT980" s="51"/>
      <c r="AU980" s="51"/>
    </row>
    <row r="981" spans="1:47" x14ac:dyDescent="0.25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  <c r="AM981" s="51"/>
      <c r="AN981" s="51"/>
      <c r="AO981" s="51"/>
      <c r="AP981" s="51"/>
      <c r="AQ981" s="51"/>
      <c r="AR981" s="51"/>
      <c r="AS981" s="51"/>
      <c r="AT981" s="51"/>
      <c r="AU981" s="51"/>
    </row>
    <row r="982" spans="1:47" x14ac:dyDescent="0.25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  <c r="AM982" s="51"/>
      <c r="AN982" s="51"/>
      <c r="AO982" s="51"/>
      <c r="AP982" s="51"/>
      <c r="AQ982" s="51"/>
      <c r="AR982" s="51"/>
      <c r="AS982" s="51"/>
      <c r="AT982" s="51"/>
      <c r="AU982" s="51"/>
    </row>
    <row r="983" spans="1:47" x14ac:dyDescent="0.25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  <c r="AM983" s="51"/>
      <c r="AN983" s="51"/>
      <c r="AO983" s="51"/>
      <c r="AP983" s="51"/>
      <c r="AQ983" s="51"/>
      <c r="AR983" s="51"/>
      <c r="AS983" s="51"/>
      <c r="AT983" s="51"/>
      <c r="AU983" s="51"/>
    </row>
    <row r="984" spans="1:47" x14ac:dyDescent="0.25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  <c r="AM984" s="51"/>
      <c r="AN984" s="51"/>
      <c r="AO984" s="51"/>
      <c r="AP984" s="51"/>
      <c r="AQ984" s="51"/>
      <c r="AR984" s="51"/>
      <c r="AS984" s="51"/>
      <c r="AT984" s="51"/>
      <c r="AU984" s="51"/>
    </row>
    <row r="985" spans="1:47" x14ac:dyDescent="0.2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  <c r="AM985" s="51"/>
      <c r="AN985" s="51"/>
      <c r="AO985" s="51"/>
      <c r="AP985" s="51"/>
      <c r="AQ985" s="51"/>
      <c r="AR985" s="51"/>
      <c r="AS985" s="51"/>
      <c r="AT985" s="51"/>
      <c r="AU985" s="51"/>
    </row>
    <row r="986" spans="1:47" x14ac:dyDescent="0.25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  <c r="AM986" s="51"/>
      <c r="AN986" s="51"/>
      <c r="AO986" s="51"/>
      <c r="AP986" s="51"/>
      <c r="AQ986" s="51"/>
      <c r="AR986" s="51"/>
      <c r="AS986" s="51"/>
      <c r="AT986" s="51"/>
      <c r="AU986" s="51"/>
    </row>
    <row r="987" spans="1:47" x14ac:dyDescent="0.25">
      <c r="A987" s="51"/>
      <c r="B987" s="51"/>
      <c r="C987" s="51"/>
      <c r="D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  <c r="AM987" s="51"/>
      <c r="AN987" s="51"/>
      <c r="AO987" s="51"/>
      <c r="AP987" s="51"/>
      <c r="AQ987" s="51"/>
      <c r="AR987" s="51"/>
      <c r="AS987" s="51"/>
      <c r="AT987" s="51"/>
      <c r="AU987" s="51"/>
    </row>
    <row r="988" spans="1:47" x14ac:dyDescent="0.25">
      <c r="A988" s="51"/>
      <c r="B988" s="51"/>
      <c r="C988" s="51"/>
      <c r="D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  <c r="AM988" s="51"/>
      <c r="AN988" s="51"/>
      <c r="AO988" s="51"/>
      <c r="AP988" s="51"/>
      <c r="AQ988" s="51"/>
      <c r="AR988" s="51"/>
      <c r="AS988" s="51"/>
      <c r="AT988" s="51"/>
      <c r="AU988" s="51"/>
    </row>
    <row r="989" spans="1:47" x14ac:dyDescent="0.25">
      <c r="A989" s="51"/>
      <c r="B989" s="51"/>
      <c r="C989" s="51"/>
      <c r="D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  <c r="AM989" s="51"/>
      <c r="AN989" s="51"/>
      <c r="AO989" s="51"/>
      <c r="AP989" s="51"/>
      <c r="AQ989" s="51"/>
      <c r="AR989" s="51"/>
      <c r="AS989" s="51"/>
      <c r="AT989" s="51"/>
      <c r="AU989" s="51"/>
    </row>
    <row r="990" spans="1:47" x14ac:dyDescent="0.25">
      <c r="A990" s="51"/>
      <c r="B990" s="51"/>
      <c r="C990" s="51"/>
      <c r="D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51"/>
      <c r="AG990" s="51"/>
      <c r="AH990" s="51"/>
      <c r="AI990" s="51"/>
      <c r="AJ990" s="51"/>
      <c r="AK990" s="51"/>
      <c r="AL990" s="51"/>
      <c r="AM990" s="51"/>
      <c r="AN990" s="51"/>
      <c r="AO990" s="51"/>
      <c r="AP990" s="51"/>
      <c r="AQ990" s="51"/>
      <c r="AR990" s="51"/>
      <c r="AS990" s="51"/>
      <c r="AT990" s="51"/>
      <c r="AU990" s="51"/>
    </row>
    <row r="991" spans="1:47" x14ac:dyDescent="0.25">
      <c r="A991" s="51"/>
      <c r="B991" s="51"/>
      <c r="C991" s="51"/>
      <c r="D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  <c r="AG991" s="51"/>
      <c r="AH991" s="51"/>
      <c r="AI991" s="51"/>
      <c r="AJ991" s="51"/>
      <c r="AK991" s="51"/>
      <c r="AL991" s="51"/>
      <c r="AM991" s="51"/>
      <c r="AN991" s="51"/>
      <c r="AO991" s="51"/>
      <c r="AP991" s="51"/>
      <c r="AQ991" s="51"/>
      <c r="AR991" s="51"/>
      <c r="AS991" s="51"/>
      <c r="AT991" s="51"/>
      <c r="AU991" s="51"/>
    </row>
    <row r="992" spans="1:47" x14ac:dyDescent="0.25">
      <c r="A992" s="51"/>
      <c r="B992" s="51"/>
      <c r="C992" s="51"/>
      <c r="D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51"/>
      <c r="AG992" s="51"/>
      <c r="AH992" s="51"/>
      <c r="AI992" s="51"/>
      <c r="AJ992" s="51"/>
      <c r="AK992" s="51"/>
      <c r="AL992" s="51"/>
      <c r="AM992" s="51"/>
      <c r="AN992" s="51"/>
      <c r="AO992" s="51"/>
      <c r="AP992" s="51"/>
      <c r="AQ992" s="51"/>
      <c r="AR992" s="51"/>
      <c r="AS992" s="51"/>
      <c r="AT992" s="51"/>
      <c r="AU992" s="51"/>
    </row>
    <row r="993" spans="1:47" x14ac:dyDescent="0.25">
      <c r="A993" s="51"/>
      <c r="B993" s="51"/>
      <c r="C993" s="51"/>
      <c r="D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51"/>
      <c r="AG993" s="51"/>
      <c r="AH993" s="51"/>
      <c r="AI993" s="51"/>
      <c r="AJ993" s="51"/>
      <c r="AK993" s="51"/>
      <c r="AL993" s="51"/>
      <c r="AM993" s="51"/>
      <c r="AN993" s="51"/>
      <c r="AO993" s="51"/>
      <c r="AP993" s="51"/>
      <c r="AQ993" s="51"/>
      <c r="AR993" s="51"/>
      <c r="AS993" s="51"/>
      <c r="AT993" s="51"/>
      <c r="AU993" s="51"/>
    </row>
    <row r="994" spans="1:47" x14ac:dyDescent="0.25">
      <c r="A994" s="51"/>
      <c r="B994" s="51"/>
      <c r="C994" s="51"/>
      <c r="D994" s="51"/>
      <c r="O994" s="51"/>
      <c r="P994" s="51"/>
      <c r="Q994" s="51"/>
    </row>
    <row r="995" spans="1:47" x14ac:dyDescent="0.25">
      <c r="O995" s="51"/>
      <c r="P995" s="51"/>
      <c r="Q995" s="51"/>
    </row>
  </sheetData>
  <pageMargins left="0.75" right="0.75" top="1" bottom="1" header="0.5" footer="0.5"/>
  <pageSetup scale="16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4" name="Button 3">
              <controlPr defaultSize="0" print="0" autoFill="0" autoPict="0" macro="[0]!NEWDAY">
                <anchor moveWithCells="1" sizeWithCells="1">
                  <from>
                    <xdr:col>15</xdr:col>
                    <xdr:colOff>45720</xdr:colOff>
                    <xdr:row>6</xdr:row>
                    <xdr:rowOff>53340</xdr:rowOff>
                  </from>
                  <to>
                    <xdr:col>17</xdr:col>
                    <xdr:colOff>297180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Button 4">
              <controlPr defaultSize="0" print="0" autoFill="0" autoPict="0" macro="[0]!REFRESHANDPRINTALL">
                <anchor moveWithCells="1" sizeWithCells="1">
                  <from>
                    <xdr:col>15</xdr:col>
                    <xdr:colOff>22860</xdr:colOff>
                    <xdr:row>1</xdr:row>
                    <xdr:rowOff>144780</xdr:rowOff>
                  </from>
                  <to>
                    <xdr:col>18</xdr:col>
                    <xdr:colOff>297180</xdr:colOff>
                    <xdr:row>5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BE375"/>
  <sheetViews>
    <sheetView workbookViewId="0">
      <selection activeCell="C11" sqref="C11:K26"/>
    </sheetView>
  </sheetViews>
  <sheetFormatPr defaultColWidth="9.109375" defaultRowHeight="12" x14ac:dyDescent="0.25"/>
  <cols>
    <col min="1" max="1" width="9.109375" style="298"/>
    <col min="2" max="2" width="11.5546875" style="303" bestFit="1" customWidth="1"/>
    <col min="3" max="4" width="9.109375" style="301"/>
    <col min="5" max="6" width="11.44140625" style="301" customWidth="1"/>
    <col min="7" max="7" width="10.5546875" style="301" customWidth="1"/>
    <col min="8" max="9" width="9.109375" style="301"/>
    <col min="10" max="10" width="13.109375" style="301" bestFit="1" customWidth="1"/>
    <col min="11" max="11" width="13" style="301" bestFit="1" customWidth="1"/>
    <col min="12" max="12" width="10.33203125" style="301" customWidth="1"/>
    <col min="13" max="13" width="9.6640625" style="301" bestFit="1" customWidth="1"/>
    <col min="14" max="14" width="11.88671875" style="301" bestFit="1" customWidth="1"/>
    <col min="15" max="15" width="10.109375" style="301" bestFit="1" customWidth="1"/>
    <col min="16" max="16" width="11.33203125" style="298" bestFit="1" customWidth="1"/>
    <col min="17" max="17" width="11.109375" style="298" bestFit="1" customWidth="1"/>
    <col min="18" max="18" width="11.33203125" style="298" customWidth="1"/>
    <col min="19" max="19" width="15.33203125" style="298" bestFit="1" customWidth="1"/>
    <col min="20" max="20" width="15" style="298" customWidth="1"/>
    <col min="21" max="21" width="14.33203125" style="298" customWidth="1"/>
    <col min="22" max="24" width="10.88671875" style="298" customWidth="1"/>
    <col min="25" max="38" width="9.109375" style="298"/>
    <col min="39" max="39" width="9.6640625" style="298" bestFit="1" customWidth="1"/>
    <col min="40" max="42" width="9.109375" style="298"/>
    <col min="43" max="43" width="13.109375" style="298" bestFit="1" customWidth="1"/>
    <col min="44" max="44" width="13.109375" style="298" customWidth="1"/>
    <col min="45" max="45" width="9.5546875" style="298" bestFit="1" customWidth="1"/>
    <col min="46" max="16384" width="9.109375" style="298"/>
  </cols>
  <sheetData>
    <row r="1" spans="1:57" x14ac:dyDescent="0.25">
      <c r="A1" s="298" t="s">
        <v>183</v>
      </c>
      <c r="B1" s="299" t="s">
        <v>184</v>
      </c>
      <c r="C1" s="300" t="s">
        <v>185</v>
      </c>
    </row>
    <row r="2" spans="1:57" x14ac:dyDescent="0.25">
      <c r="A2" s="298" t="s">
        <v>186</v>
      </c>
      <c r="B2" s="299" t="s">
        <v>184</v>
      </c>
      <c r="C2" s="300" t="s">
        <v>187</v>
      </c>
    </row>
    <row r="3" spans="1:57" x14ac:dyDescent="0.25">
      <c r="A3" s="298" t="s">
        <v>188</v>
      </c>
      <c r="B3" s="299" t="s">
        <v>189</v>
      </c>
      <c r="C3" s="300" t="s">
        <v>190</v>
      </c>
    </row>
    <row r="4" spans="1:57" ht="13.2" x14ac:dyDescent="0.25">
      <c r="B4" s="299"/>
      <c r="C4" s="300"/>
      <c r="AT4" s="309"/>
      <c r="AU4" s="309"/>
      <c r="AV4" s="309"/>
    </row>
    <row r="5" spans="1:57" ht="13.2" x14ac:dyDescent="0.25">
      <c r="A5" s="298" t="s">
        <v>191</v>
      </c>
      <c r="B5" s="302">
        <v>36633</v>
      </c>
      <c r="C5" s="300" t="s">
        <v>192</v>
      </c>
      <c r="AT5" s="311"/>
      <c r="AU5" s="311"/>
      <c r="AV5" s="311"/>
    </row>
    <row r="6" spans="1:57" ht="13.2" x14ac:dyDescent="0.25">
      <c r="B6" s="299"/>
      <c r="C6" s="300"/>
      <c r="AT6" s="311"/>
      <c r="AU6" s="311"/>
      <c r="AV6" s="311"/>
    </row>
    <row r="7" spans="1:57" x14ac:dyDescent="0.25">
      <c r="B7" s="299"/>
      <c r="C7" s="300"/>
    </row>
    <row r="8" spans="1:57" x14ac:dyDescent="0.25">
      <c r="C8" s="304"/>
    </row>
    <row r="10" spans="1:57" x14ac:dyDescent="0.25">
      <c r="C10" s="301">
        <v>1</v>
      </c>
      <c r="D10" s="301">
        <v>2</v>
      </c>
      <c r="E10" s="301">
        <v>3</v>
      </c>
      <c r="F10" s="301">
        <v>4</v>
      </c>
      <c r="G10" s="301">
        <v>5</v>
      </c>
      <c r="H10" s="301">
        <v>6</v>
      </c>
      <c r="I10" s="301">
        <v>7</v>
      </c>
      <c r="J10" s="301">
        <v>8</v>
      </c>
      <c r="K10" s="301">
        <v>9</v>
      </c>
      <c r="L10" s="301">
        <v>10</v>
      </c>
      <c r="M10" s="301">
        <v>11</v>
      </c>
      <c r="N10" s="301">
        <v>12</v>
      </c>
      <c r="O10" s="301">
        <v>13</v>
      </c>
      <c r="P10" s="301">
        <v>14</v>
      </c>
      <c r="Q10" s="301">
        <v>15</v>
      </c>
      <c r="R10" s="301">
        <v>16</v>
      </c>
      <c r="S10" s="301">
        <v>17</v>
      </c>
      <c r="T10" s="301">
        <v>18</v>
      </c>
      <c r="U10" s="301">
        <v>19</v>
      </c>
      <c r="V10" s="301">
        <v>20</v>
      </c>
      <c r="W10" s="301">
        <v>21</v>
      </c>
      <c r="X10" s="301">
        <v>22</v>
      </c>
      <c r="Y10" s="301">
        <v>23</v>
      </c>
      <c r="Z10" s="301">
        <v>24</v>
      </c>
      <c r="AA10" s="301">
        <v>25</v>
      </c>
      <c r="AB10" s="301">
        <v>26</v>
      </c>
      <c r="AC10" s="301">
        <v>27</v>
      </c>
      <c r="AD10" s="301">
        <v>28</v>
      </c>
      <c r="AE10" s="301">
        <v>29</v>
      </c>
      <c r="AF10" s="301">
        <v>30</v>
      </c>
      <c r="AG10" s="301">
        <v>31</v>
      </c>
      <c r="AH10" s="301">
        <v>32</v>
      </c>
      <c r="AI10" s="301">
        <v>33</v>
      </c>
      <c r="AJ10" s="301">
        <v>34</v>
      </c>
      <c r="AK10" s="301">
        <v>35</v>
      </c>
      <c r="AL10" s="301">
        <v>36</v>
      </c>
      <c r="AM10" s="301">
        <v>37</v>
      </c>
      <c r="AN10" s="301"/>
      <c r="AO10" s="301"/>
      <c r="AP10" s="301"/>
      <c r="AQ10" s="301"/>
      <c r="AR10" s="301"/>
    </row>
    <row r="11" spans="1:57" x14ac:dyDescent="0.25">
      <c r="B11" s="305" t="s">
        <v>126</v>
      </c>
      <c r="C11" s="306">
        <f t="shared" ref="C11:AT11" si="0">EffDt</f>
        <v>36633</v>
      </c>
      <c r="D11" s="306">
        <f t="shared" si="0"/>
        <v>36633</v>
      </c>
      <c r="E11" s="306">
        <f t="shared" si="0"/>
        <v>36633</v>
      </c>
      <c r="F11" s="306">
        <f t="shared" si="0"/>
        <v>36633</v>
      </c>
      <c r="G11" s="306">
        <f t="shared" si="0"/>
        <v>36633</v>
      </c>
      <c r="H11" s="306">
        <f t="shared" si="0"/>
        <v>36633</v>
      </c>
      <c r="I11" s="306">
        <f t="shared" si="0"/>
        <v>36633</v>
      </c>
      <c r="J11" s="306">
        <f t="shared" si="0"/>
        <v>36633</v>
      </c>
      <c r="K11" s="306">
        <f t="shared" si="0"/>
        <v>36633</v>
      </c>
      <c r="L11" s="306">
        <f t="shared" si="0"/>
        <v>36633</v>
      </c>
      <c r="M11" s="306">
        <f t="shared" si="0"/>
        <v>36633</v>
      </c>
      <c r="N11" s="306">
        <f t="shared" si="0"/>
        <v>36633</v>
      </c>
      <c r="O11" s="306">
        <f t="shared" si="0"/>
        <v>36633</v>
      </c>
      <c r="P11" s="306">
        <f t="shared" si="0"/>
        <v>36633</v>
      </c>
      <c r="Q11" s="306">
        <f t="shared" si="0"/>
        <v>36633</v>
      </c>
      <c r="R11" s="306">
        <f t="shared" si="0"/>
        <v>36633</v>
      </c>
      <c r="S11" s="306">
        <f t="shared" si="0"/>
        <v>36633</v>
      </c>
      <c r="T11" s="306">
        <f t="shared" si="0"/>
        <v>36633</v>
      </c>
      <c r="U11" s="306">
        <f t="shared" si="0"/>
        <v>36633</v>
      </c>
      <c r="V11" s="306">
        <f t="shared" si="0"/>
        <v>36633</v>
      </c>
      <c r="W11" s="306">
        <f t="shared" si="0"/>
        <v>36633</v>
      </c>
      <c r="X11" s="306">
        <f t="shared" si="0"/>
        <v>36633</v>
      </c>
      <c r="Y11" s="306">
        <f t="shared" si="0"/>
        <v>36633</v>
      </c>
      <c r="Z11" s="306">
        <f t="shared" si="0"/>
        <v>36633</v>
      </c>
      <c r="AA11" s="306">
        <f t="shared" si="0"/>
        <v>36633</v>
      </c>
      <c r="AB11" s="306">
        <f t="shared" si="0"/>
        <v>36633</v>
      </c>
      <c r="AC11" s="306">
        <f t="shared" si="0"/>
        <v>36633</v>
      </c>
      <c r="AD11" s="306">
        <f t="shared" si="0"/>
        <v>36633</v>
      </c>
      <c r="AE11" s="306">
        <f t="shared" si="0"/>
        <v>36633</v>
      </c>
      <c r="AF11" s="306">
        <f t="shared" si="0"/>
        <v>36633</v>
      </c>
      <c r="AG11" s="306">
        <f t="shared" si="0"/>
        <v>36633</v>
      </c>
      <c r="AH11" s="306">
        <f t="shared" si="0"/>
        <v>36633</v>
      </c>
      <c r="AI11" s="306">
        <f t="shared" si="0"/>
        <v>36633</v>
      </c>
      <c r="AJ11" s="306">
        <f t="shared" si="0"/>
        <v>36633</v>
      </c>
      <c r="AK11" s="306">
        <f t="shared" si="0"/>
        <v>36633</v>
      </c>
      <c r="AL11" s="306">
        <f t="shared" si="0"/>
        <v>36633</v>
      </c>
      <c r="AM11" s="306">
        <f>WORKDAY(AL11,-1)</f>
        <v>36630</v>
      </c>
      <c r="AN11" s="306"/>
      <c r="AO11" s="306">
        <f t="shared" si="0"/>
        <v>36633</v>
      </c>
      <c r="AP11" s="306">
        <f t="shared" si="0"/>
        <v>36633</v>
      </c>
      <c r="AQ11" s="306">
        <f t="shared" si="0"/>
        <v>36633</v>
      </c>
      <c r="AR11" s="306"/>
      <c r="AS11" s="306">
        <f>EffDt-1</f>
        <v>36632</v>
      </c>
      <c r="AT11" s="306">
        <f t="shared" si="0"/>
        <v>36633</v>
      </c>
    </row>
    <row r="12" spans="1:57" x14ac:dyDescent="0.25">
      <c r="B12" s="305" t="s">
        <v>127</v>
      </c>
      <c r="C12" s="299">
        <f t="shared" ref="C12:AM12" si="1">EOMONTH(C11,0)+1</f>
        <v>36647</v>
      </c>
      <c r="D12" s="299">
        <f t="shared" si="1"/>
        <v>36647</v>
      </c>
      <c r="E12" s="299">
        <f t="shared" si="1"/>
        <v>36647</v>
      </c>
      <c r="F12" s="299">
        <f t="shared" si="1"/>
        <v>36647</v>
      </c>
      <c r="G12" s="299">
        <f t="shared" si="1"/>
        <v>36647</v>
      </c>
      <c r="H12" s="299">
        <f t="shared" si="1"/>
        <v>36647</v>
      </c>
      <c r="I12" s="299">
        <f t="shared" si="1"/>
        <v>36647</v>
      </c>
      <c r="J12" s="299">
        <f t="shared" si="1"/>
        <v>36647</v>
      </c>
      <c r="K12" s="299">
        <f t="shared" si="1"/>
        <v>36647</v>
      </c>
      <c r="L12" s="299">
        <f t="shared" si="1"/>
        <v>36647</v>
      </c>
      <c r="M12" s="299">
        <f t="shared" si="1"/>
        <v>36647</v>
      </c>
      <c r="N12" s="299">
        <f t="shared" si="1"/>
        <v>36647</v>
      </c>
      <c r="O12" s="299">
        <f t="shared" si="1"/>
        <v>36647</v>
      </c>
      <c r="P12" s="299">
        <f t="shared" si="1"/>
        <v>36647</v>
      </c>
      <c r="Q12" s="299">
        <f t="shared" si="1"/>
        <v>36647</v>
      </c>
      <c r="R12" s="299">
        <f t="shared" si="1"/>
        <v>36647</v>
      </c>
      <c r="S12" s="299">
        <f t="shared" si="1"/>
        <v>36647</v>
      </c>
      <c r="T12" s="299">
        <f t="shared" si="1"/>
        <v>36647</v>
      </c>
      <c r="U12" s="299">
        <f t="shared" si="1"/>
        <v>36647</v>
      </c>
      <c r="V12" s="299">
        <f t="shared" si="1"/>
        <v>36647</v>
      </c>
      <c r="W12" s="299">
        <f t="shared" si="1"/>
        <v>36647</v>
      </c>
      <c r="X12" s="299">
        <f t="shared" si="1"/>
        <v>36647</v>
      </c>
      <c r="Y12" s="299">
        <f t="shared" si="1"/>
        <v>36647</v>
      </c>
      <c r="Z12" s="299">
        <f t="shared" si="1"/>
        <v>36647</v>
      </c>
      <c r="AA12" s="299">
        <f t="shared" si="1"/>
        <v>36647</v>
      </c>
      <c r="AB12" s="299">
        <f t="shared" si="1"/>
        <v>36647</v>
      </c>
      <c r="AC12" s="299">
        <f t="shared" si="1"/>
        <v>36647</v>
      </c>
      <c r="AD12" s="299">
        <f t="shared" si="1"/>
        <v>36647</v>
      </c>
      <c r="AE12" s="299">
        <f t="shared" si="1"/>
        <v>36647</v>
      </c>
      <c r="AF12" s="299">
        <f t="shared" si="1"/>
        <v>36647</v>
      </c>
      <c r="AG12" s="299">
        <f t="shared" si="1"/>
        <v>36647</v>
      </c>
      <c r="AH12" s="299">
        <f t="shared" si="1"/>
        <v>36647</v>
      </c>
      <c r="AI12" s="299">
        <f t="shared" si="1"/>
        <v>36647</v>
      </c>
      <c r="AJ12" s="299">
        <f t="shared" si="1"/>
        <v>36647</v>
      </c>
      <c r="AK12" s="299">
        <f t="shared" si="1"/>
        <v>36647</v>
      </c>
      <c r="AL12" s="299">
        <f t="shared" si="1"/>
        <v>36647</v>
      </c>
      <c r="AM12" s="299">
        <f t="shared" si="1"/>
        <v>36647</v>
      </c>
      <c r="AN12" s="299"/>
      <c r="AO12" s="299">
        <f>EOMONTH(AO11,0)+1</f>
        <v>36647</v>
      </c>
      <c r="AP12" s="299">
        <f>EOMONTH(AP11,0)+1</f>
        <v>36647</v>
      </c>
      <c r="AQ12" s="299">
        <f>EOMONTH(AQ11,0)+1</f>
        <v>36647</v>
      </c>
      <c r="AR12" s="299"/>
    </row>
    <row r="13" spans="1:57" ht="13.2" x14ac:dyDescent="0.25">
      <c r="B13" s="305" t="s">
        <v>134</v>
      </c>
      <c r="C13" s="301" t="s">
        <v>135</v>
      </c>
      <c r="D13" s="307" t="s">
        <v>135</v>
      </c>
      <c r="E13" s="307" t="s">
        <v>136</v>
      </c>
      <c r="F13" s="307" t="s">
        <v>251</v>
      </c>
      <c r="G13" s="307" t="s">
        <v>0</v>
      </c>
      <c r="H13" s="307" t="s">
        <v>6</v>
      </c>
      <c r="I13" s="307" t="s">
        <v>74</v>
      </c>
      <c r="J13" s="307" t="s">
        <v>10</v>
      </c>
      <c r="K13" s="307" t="s">
        <v>45</v>
      </c>
      <c r="L13" s="308" t="s">
        <v>44</v>
      </c>
      <c r="M13" s="307" t="s">
        <v>9</v>
      </c>
      <c r="N13" s="307" t="s">
        <v>46</v>
      </c>
      <c r="O13" s="307" t="s">
        <v>47</v>
      </c>
      <c r="P13" s="307" t="s">
        <v>48</v>
      </c>
      <c r="Q13" s="307" t="s">
        <v>97</v>
      </c>
      <c r="R13" s="307" t="s">
        <v>98</v>
      </c>
      <c r="S13" s="307" t="s">
        <v>99</v>
      </c>
      <c r="T13" s="307" t="s">
        <v>100</v>
      </c>
      <c r="U13" s="307" t="s">
        <v>7</v>
      </c>
      <c r="V13" s="309" t="s">
        <v>122</v>
      </c>
      <c r="W13" s="309" t="s">
        <v>240</v>
      </c>
      <c r="X13" s="309" t="s">
        <v>260</v>
      </c>
      <c r="Y13" s="309" t="s">
        <v>193</v>
      </c>
      <c r="Z13" s="309" t="s">
        <v>193</v>
      </c>
      <c r="AA13" s="307" t="s">
        <v>0</v>
      </c>
      <c r="AB13" s="309" t="s">
        <v>7</v>
      </c>
      <c r="AC13" s="309" t="s">
        <v>9</v>
      </c>
      <c r="AD13" s="309" t="s">
        <v>74</v>
      </c>
      <c r="AE13" s="309" t="s">
        <v>10</v>
      </c>
      <c r="AF13" s="309" t="s">
        <v>46</v>
      </c>
      <c r="AG13" s="309" t="s">
        <v>48</v>
      </c>
      <c r="AH13" s="309" t="s">
        <v>6</v>
      </c>
      <c r="AI13" s="309" t="s">
        <v>122</v>
      </c>
      <c r="AJ13" s="309" t="s">
        <v>240</v>
      </c>
      <c r="AK13" s="309" t="s">
        <v>100</v>
      </c>
      <c r="AL13" s="310" t="s">
        <v>251</v>
      </c>
      <c r="AM13" s="307" t="s">
        <v>136</v>
      </c>
      <c r="AN13" s="310"/>
      <c r="AO13" s="309" t="s">
        <v>45</v>
      </c>
      <c r="AP13" s="309" t="s">
        <v>44</v>
      </c>
      <c r="AQ13" s="309" t="s">
        <v>47</v>
      </c>
      <c r="AR13" s="309"/>
      <c r="AS13" s="337" t="s">
        <v>195</v>
      </c>
      <c r="AT13" s="337" t="s">
        <v>196</v>
      </c>
      <c r="AU13" s="307"/>
      <c r="AV13" s="309"/>
      <c r="AW13" s="309"/>
      <c r="AX13" s="309"/>
      <c r="AY13" s="309"/>
      <c r="AZ13" s="309"/>
      <c r="BA13" s="309"/>
      <c r="BB13" s="309"/>
      <c r="BC13" s="309"/>
      <c r="BD13" s="309"/>
      <c r="BE13" s="309"/>
    </row>
    <row r="14" spans="1:57" ht="13.2" x14ac:dyDescent="0.25">
      <c r="B14" s="305" t="s">
        <v>128</v>
      </c>
      <c r="C14" s="301" t="s">
        <v>123</v>
      </c>
      <c r="D14" s="301" t="s">
        <v>129</v>
      </c>
      <c r="E14" s="301" t="s">
        <v>130</v>
      </c>
      <c r="F14" s="301" t="s">
        <v>123</v>
      </c>
      <c r="G14" s="301" t="s">
        <v>123</v>
      </c>
      <c r="H14" s="301" t="s">
        <v>123</v>
      </c>
      <c r="I14" s="301" t="s">
        <v>123</v>
      </c>
      <c r="J14" s="301" t="s">
        <v>123</v>
      </c>
      <c r="K14" s="301" t="s">
        <v>123</v>
      </c>
      <c r="L14" s="301" t="s">
        <v>123</v>
      </c>
      <c r="M14" s="301" t="s">
        <v>123</v>
      </c>
      <c r="N14" s="301" t="s">
        <v>123</v>
      </c>
      <c r="O14" s="301" t="s">
        <v>123</v>
      </c>
      <c r="P14" s="301" t="s">
        <v>123</v>
      </c>
      <c r="Q14" s="301" t="s">
        <v>123</v>
      </c>
      <c r="R14" s="301" t="s">
        <v>123</v>
      </c>
      <c r="S14" s="301" t="s">
        <v>123</v>
      </c>
      <c r="T14" s="301" t="s">
        <v>123</v>
      </c>
      <c r="U14" s="301" t="s">
        <v>123</v>
      </c>
      <c r="V14" s="311" t="s">
        <v>123</v>
      </c>
      <c r="W14" s="311" t="s">
        <v>123</v>
      </c>
      <c r="X14" s="311" t="s">
        <v>123</v>
      </c>
      <c r="Y14" s="311" t="s">
        <v>123</v>
      </c>
      <c r="Z14" s="311" t="s">
        <v>123</v>
      </c>
      <c r="AA14" s="301" t="s">
        <v>129</v>
      </c>
      <c r="AB14" s="311" t="s">
        <v>129</v>
      </c>
      <c r="AC14" s="311" t="s">
        <v>129</v>
      </c>
      <c r="AD14" s="311" t="s">
        <v>129</v>
      </c>
      <c r="AE14" s="311" t="s">
        <v>129</v>
      </c>
      <c r="AF14" s="311" t="s">
        <v>129</v>
      </c>
      <c r="AG14" s="311" t="s">
        <v>129</v>
      </c>
      <c r="AH14" s="311" t="s">
        <v>129</v>
      </c>
      <c r="AI14" s="311" t="s">
        <v>129</v>
      </c>
      <c r="AJ14" s="311" t="s">
        <v>129</v>
      </c>
      <c r="AK14" s="311" t="s">
        <v>129</v>
      </c>
      <c r="AL14" s="301" t="s">
        <v>129</v>
      </c>
      <c r="AM14" s="301" t="s">
        <v>130</v>
      </c>
      <c r="AN14" s="301"/>
      <c r="AO14" s="311" t="s">
        <v>129</v>
      </c>
      <c r="AP14" s="311" t="s">
        <v>129</v>
      </c>
      <c r="AQ14" s="311" t="s">
        <v>129</v>
      </c>
      <c r="AR14" s="311"/>
      <c r="AU14" s="301"/>
      <c r="AV14" s="311"/>
      <c r="AW14" s="311"/>
      <c r="AX14" s="311"/>
      <c r="AY14" s="311"/>
      <c r="AZ14" s="311"/>
      <c r="BA14" s="311"/>
      <c r="BB14" s="311"/>
      <c r="BC14" s="311"/>
      <c r="BD14" s="311"/>
      <c r="BE14" s="311"/>
    </row>
    <row r="15" spans="1:57" ht="13.2" x14ac:dyDescent="0.25">
      <c r="B15" s="305" t="s">
        <v>131</v>
      </c>
      <c r="C15" s="301" t="s">
        <v>1</v>
      </c>
      <c r="D15" s="301" t="s">
        <v>1</v>
      </c>
      <c r="E15" s="301" t="s">
        <v>133</v>
      </c>
      <c r="F15" s="301" t="s">
        <v>124</v>
      </c>
      <c r="G15" s="301" t="s">
        <v>124</v>
      </c>
      <c r="H15" s="301" t="s">
        <v>124</v>
      </c>
      <c r="I15" s="301" t="s">
        <v>124</v>
      </c>
      <c r="J15" s="301" t="s">
        <v>124</v>
      </c>
      <c r="K15" s="301" t="s">
        <v>124</v>
      </c>
      <c r="L15" s="301" t="s">
        <v>124</v>
      </c>
      <c r="M15" s="301" t="s">
        <v>124</v>
      </c>
      <c r="N15" s="301" t="s">
        <v>124</v>
      </c>
      <c r="O15" s="301" t="s">
        <v>124</v>
      </c>
      <c r="P15" s="301" t="s">
        <v>124</v>
      </c>
      <c r="Q15" s="301" t="s">
        <v>124</v>
      </c>
      <c r="R15" s="301" t="s">
        <v>124</v>
      </c>
      <c r="S15" s="301" t="s">
        <v>124</v>
      </c>
      <c r="T15" s="301" t="s">
        <v>124</v>
      </c>
      <c r="U15" s="301" t="s">
        <v>124</v>
      </c>
      <c r="V15" s="311" t="s">
        <v>124</v>
      </c>
      <c r="W15" s="311" t="s">
        <v>124</v>
      </c>
      <c r="X15" s="311" t="s">
        <v>124</v>
      </c>
      <c r="Y15" s="311" t="s">
        <v>124</v>
      </c>
      <c r="Z15" s="311" t="s">
        <v>132</v>
      </c>
      <c r="AA15" s="301" t="s">
        <v>1</v>
      </c>
      <c r="AB15" s="311" t="s">
        <v>1</v>
      </c>
      <c r="AC15" s="311" t="s">
        <v>1</v>
      </c>
      <c r="AD15" s="311" t="s">
        <v>1</v>
      </c>
      <c r="AE15" s="311" t="s">
        <v>1</v>
      </c>
      <c r="AF15" s="311" t="s">
        <v>1</v>
      </c>
      <c r="AG15" s="311" t="s">
        <v>1</v>
      </c>
      <c r="AH15" s="311" t="s">
        <v>1</v>
      </c>
      <c r="AI15" s="311" t="s">
        <v>1</v>
      </c>
      <c r="AJ15" s="311" t="s">
        <v>1</v>
      </c>
      <c r="AK15" s="311" t="s">
        <v>1</v>
      </c>
      <c r="AL15" s="301" t="s">
        <v>1</v>
      </c>
      <c r="AM15" s="301" t="s">
        <v>133</v>
      </c>
      <c r="AN15" s="301"/>
      <c r="AO15" s="311" t="s">
        <v>1</v>
      </c>
      <c r="AP15" s="311" t="s">
        <v>1</v>
      </c>
      <c r="AQ15" s="311" t="s">
        <v>1</v>
      </c>
      <c r="AR15" s="311"/>
      <c r="AU15" s="301"/>
      <c r="AV15" s="311"/>
      <c r="AW15" s="311"/>
      <c r="AX15" s="311"/>
      <c r="AY15" s="311"/>
      <c r="AZ15" s="311"/>
      <c r="BA15" s="311"/>
      <c r="BB15" s="311"/>
      <c r="BC15" s="311"/>
      <c r="BD15" s="311"/>
      <c r="BE15" s="311"/>
    </row>
    <row r="16" spans="1:57" x14ac:dyDescent="0.25">
      <c r="B16" s="303">
        <f>EOMONTH(EffDt,0)+1</f>
        <v>36647</v>
      </c>
      <c r="C16" s="301">
        <v>3.1579999999999999</v>
      </c>
      <c r="D16" s="301">
        <v>0.41</v>
      </c>
      <c r="E16" s="301">
        <v>6.2683518517613002E-2</v>
      </c>
      <c r="F16" s="301">
        <v>-0.11</v>
      </c>
      <c r="G16" s="301">
        <v>5.0000000000000001E-3</v>
      </c>
      <c r="H16" s="301">
        <v>-0.11</v>
      </c>
      <c r="I16" s="301">
        <v>0.05</v>
      </c>
      <c r="J16" s="301">
        <v>0.16500000000000001</v>
      </c>
      <c r="K16" s="301">
        <v>-6.25E-2</v>
      </c>
      <c r="L16" s="301">
        <v>-3.2500000000000001E-2</v>
      </c>
      <c r="M16" s="301">
        <v>-0.34499999999999997</v>
      </c>
      <c r="N16" s="301">
        <v>2.5000000000000001E-3</v>
      </c>
      <c r="O16" s="301">
        <v>-5.0000000000000001E-3</v>
      </c>
      <c r="P16" s="298">
        <v>-2.5000000000000001E-2</v>
      </c>
      <c r="Q16" s="298">
        <v>-5.5E-2</v>
      </c>
      <c r="R16" s="298">
        <v>-3.2500000000000001E-2</v>
      </c>
      <c r="S16" s="298">
        <v>-7.7499999999999999E-2</v>
      </c>
      <c r="T16" s="298">
        <v>-0.18</v>
      </c>
      <c r="U16" s="298">
        <v>0.29499999999999998</v>
      </c>
      <c r="V16" s="298">
        <v>2.5000000000000001E-3</v>
      </c>
      <c r="W16" s="298">
        <v>-0.3</v>
      </c>
      <c r="X16" s="298">
        <v>-0.02</v>
      </c>
      <c r="Y16" s="313">
        <v>-6.25E-2</v>
      </c>
      <c r="Z16" s="313">
        <v>-7.4999999999999997E-3</v>
      </c>
      <c r="AA16" s="445">
        <v>0.41</v>
      </c>
      <c r="AB16" s="445">
        <v>0.40200000000000002</v>
      </c>
      <c r="AC16" s="445">
        <v>0.377</v>
      </c>
      <c r="AD16" s="445">
        <v>0.41</v>
      </c>
      <c r="AE16" s="445">
        <v>0.40200000000000002</v>
      </c>
      <c r="AF16" s="445">
        <v>0.41</v>
      </c>
      <c r="AG16" s="445">
        <v>0.41</v>
      </c>
      <c r="AH16" s="445">
        <v>0.41</v>
      </c>
      <c r="AI16" s="446">
        <v>0.41</v>
      </c>
      <c r="AJ16" s="446">
        <v>0.377</v>
      </c>
      <c r="AK16" s="446">
        <v>0.41</v>
      </c>
      <c r="AL16" s="445">
        <v>0.41</v>
      </c>
      <c r="AM16" s="312">
        <v>6.2586250879322999E-2</v>
      </c>
      <c r="AN16" s="312"/>
      <c r="AO16" s="313">
        <f>AB16</f>
        <v>0.40200000000000002</v>
      </c>
      <c r="AP16" s="313">
        <f>AB16</f>
        <v>0.40200000000000002</v>
      </c>
      <c r="AQ16" s="316">
        <f>AB16</f>
        <v>0.40200000000000002</v>
      </c>
      <c r="AR16" s="315">
        <f>B16</f>
        <v>36647</v>
      </c>
      <c r="AS16" s="313">
        <f t="shared" ref="AS16:AS79" si="2">(1+$AM16/2)^(-2*($B16-$AS$11)/365.25)</f>
        <v>0.99747231896068234</v>
      </c>
      <c r="AT16" s="313">
        <f t="shared" ref="AT16:AT79" si="3">(1+$AM16/2)^(-2*($B16-$AT$11)/365.25)</f>
        <v>0.99764063207686926</v>
      </c>
      <c r="AV16" s="315">
        <f>B16</f>
        <v>36647</v>
      </c>
      <c r="AW16" s="298">
        <v>4</v>
      </c>
    </row>
    <row r="17" spans="2:49" x14ac:dyDescent="0.25">
      <c r="B17" s="303">
        <f t="shared" ref="B17:B80" si="4">EOMONTH(B16,0)+1</f>
        <v>36678</v>
      </c>
      <c r="C17" s="301">
        <v>3.1720000000000002</v>
      </c>
      <c r="D17" s="301">
        <v>0.38250000000000001</v>
      </c>
      <c r="E17" s="301">
        <v>6.3039999833066004E-2</v>
      </c>
      <c r="F17" s="301">
        <v>-0.1125</v>
      </c>
      <c r="G17" s="301">
        <v>1.4999999999999999E-2</v>
      </c>
      <c r="H17" s="301">
        <v>-0.1125</v>
      </c>
      <c r="I17" s="301">
        <v>0.05</v>
      </c>
      <c r="J17" s="301">
        <v>0.16750000000000001</v>
      </c>
      <c r="K17" s="301">
        <v>-5.7500000000000002E-2</v>
      </c>
      <c r="L17" s="301">
        <v>-2.75E-2</v>
      </c>
      <c r="M17" s="301">
        <v>-0.34</v>
      </c>
      <c r="N17" s="301">
        <v>7.4999999999999997E-3</v>
      </c>
      <c r="O17" s="301">
        <v>0</v>
      </c>
      <c r="P17" s="298">
        <v>-2.5000000000000001E-2</v>
      </c>
      <c r="Q17" s="298">
        <v>-5.5E-2</v>
      </c>
      <c r="R17" s="298">
        <v>-2.5000000000000001E-2</v>
      </c>
      <c r="S17" s="298">
        <v>-6.7500000000000004E-2</v>
      </c>
      <c r="T17" s="298">
        <v>-0.16</v>
      </c>
      <c r="U17" s="298">
        <v>0.3075</v>
      </c>
      <c r="V17" s="298">
        <v>5.0000000000000001E-3</v>
      </c>
      <c r="W17" s="298">
        <v>-0.28749999999999998</v>
      </c>
      <c r="X17" s="298">
        <v>-2.2499999999999999E-2</v>
      </c>
      <c r="Y17" s="313">
        <v>-4.4999999999999998E-2</v>
      </c>
      <c r="Z17" s="313">
        <v>-7.4999999999999997E-3</v>
      </c>
      <c r="AA17" s="445">
        <v>0.38300000000000001</v>
      </c>
      <c r="AB17" s="445">
        <v>0.375</v>
      </c>
      <c r="AC17" s="445">
        <v>0.375</v>
      </c>
      <c r="AD17" s="445">
        <v>0.38300000000000001</v>
      </c>
      <c r="AE17" s="445">
        <v>0.375</v>
      </c>
      <c r="AF17" s="445">
        <v>0.38300000000000001</v>
      </c>
      <c r="AG17" s="445">
        <v>0.38300000000000001</v>
      </c>
      <c r="AH17" s="445">
        <v>0.38300000000000001</v>
      </c>
      <c r="AI17" s="446">
        <v>0.38300000000000001</v>
      </c>
      <c r="AJ17" s="446">
        <v>0.375</v>
      </c>
      <c r="AK17" s="446">
        <v>0.38300000000000001</v>
      </c>
      <c r="AL17" s="445">
        <v>0.38300000000000001</v>
      </c>
      <c r="AM17" s="312">
        <v>6.3014700465000004E-2</v>
      </c>
      <c r="AN17" s="312"/>
      <c r="AO17" s="313">
        <f t="shared" ref="AO17:AO80" si="5">AB17</f>
        <v>0.375</v>
      </c>
      <c r="AP17" s="313">
        <f t="shared" ref="AP17:AP80" si="6">AB17</f>
        <v>0.375</v>
      </c>
      <c r="AQ17" s="316">
        <f t="shared" ref="AQ17:AQ80" si="7">AB17</f>
        <v>0.375</v>
      </c>
      <c r="AR17" s="315">
        <f t="shared" ref="AR17:AR80" si="8">B17</f>
        <v>36678</v>
      </c>
      <c r="AS17" s="313">
        <f t="shared" si="2"/>
        <v>0.99221676235499423</v>
      </c>
      <c r="AT17" s="313">
        <f t="shared" si="3"/>
        <v>0.99238531730846091</v>
      </c>
      <c r="AV17" s="315">
        <f t="shared" ref="AV17:AV80" si="9">B17</f>
        <v>36678</v>
      </c>
      <c r="AW17" s="298">
        <v>5</v>
      </c>
    </row>
    <row r="18" spans="2:49" x14ac:dyDescent="0.25">
      <c r="B18" s="303">
        <f t="shared" si="4"/>
        <v>36708</v>
      </c>
      <c r="C18" s="301">
        <v>3.181</v>
      </c>
      <c r="D18" s="301">
        <v>0.39500000000000002</v>
      </c>
      <c r="E18" s="301">
        <v>6.3695649345076003E-2</v>
      </c>
      <c r="F18" s="301">
        <v>-0.1125</v>
      </c>
      <c r="G18" s="301">
        <v>2.2499999999999999E-2</v>
      </c>
      <c r="H18" s="301">
        <v>-0.1125</v>
      </c>
      <c r="I18" s="301">
        <v>5.2499999999999998E-2</v>
      </c>
      <c r="J18" s="301">
        <v>0.17</v>
      </c>
      <c r="K18" s="301">
        <v>-5.7500000000000002E-2</v>
      </c>
      <c r="L18" s="301">
        <v>-2.75E-2</v>
      </c>
      <c r="M18" s="301">
        <v>-0.32250000000000001</v>
      </c>
      <c r="N18" s="301">
        <v>7.4999999999999997E-3</v>
      </c>
      <c r="O18" s="301">
        <v>0</v>
      </c>
      <c r="P18" s="298">
        <v>-2.5000000000000001E-2</v>
      </c>
      <c r="Q18" s="298">
        <v>-5.5E-2</v>
      </c>
      <c r="R18" s="298">
        <v>-2.5000000000000001E-2</v>
      </c>
      <c r="S18" s="298">
        <v>-6.7500000000000004E-2</v>
      </c>
      <c r="T18" s="298">
        <v>-0.13</v>
      </c>
      <c r="U18" s="298">
        <v>0.34499999999999997</v>
      </c>
      <c r="V18" s="298">
        <v>5.0000000000000001E-3</v>
      </c>
      <c r="W18" s="298">
        <v>-0.24249999999999999</v>
      </c>
      <c r="X18" s="298">
        <v>-2.2499999999999999E-2</v>
      </c>
      <c r="Y18" s="313">
        <v>6.5000000000000002E-2</v>
      </c>
      <c r="Z18" s="313">
        <v>-7.4999999999999997E-3</v>
      </c>
      <c r="AA18" s="445">
        <v>0.39500000000000002</v>
      </c>
      <c r="AB18" s="445">
        <v>0.38700000000000001</v>
      </c>
      <c r="AC18" s="445">
        <v>0.38700000000000001</v>
      </c>
      <c r="AD18" s="445">
        <v>0.39500000000000002</v>
      </c>
      <c r="AE18" s="445">
        <v>0.38700000000000001</v>
      </c>
      <c r="AF18" s="445">
        <v>0.39500000000000002</v>
      </c>
      <c r="AG18" s="445">
        <v>0.39500000000000002</v>
      </c>
      <c r="AH18" s="445">
        <v>0.39500000000000002</v>
      </c>
      <c r="AI18" s="446">
        <v>0.39500000000000002</v>
      </c>
      <c r="AJ18" s="446">
        <v>0.38700000000000001</v>
      </c>
      <c r="AK18" s="446">
        <v>0.39500000000000002</v>
      </c>
      <c r="AL18" s="445">
        <v>0.39500000000000002</v>
      </c>
      <c r="AM18" s="312">
        <v>6.3649858745369006E-2</v>
      </c>
      <c r="AN18" s="312"/>
      <c r="AO18" s="313">
        <f t="shared" si="5"/>
        <v>0.38700000000000001</v>
      </c>
      <c r="AP18" s="313">
        <f t="shared" si="6"/>
        <v>0.38700000000000001</v>
      </c>
      <c r="AQ18" s="316">
        <f t="shared" si="7"/>
        <v>0.38700000000000001</v>
      </c>
      <c r="AR18" s="315">
        <f t="shared" si="8"/>
        <v>36708</v>
      </c>
      <c r="AS18" s="338">
        <f t="shared" si="2"/>
        <v>0.98704695052675029</v>
      </c>
      <c r="AT18" s="339">
        <f t="shared" si="3"/>
        <v>0.98721629129021171</v>
      </c>
      <c r="AV18" s="315">
        <f t="shared" si="9"/>
        <v>36708</v>
      </c>
      <c r="AW18" s="298">
        <v>6</v>
      </c>
    </row>
    <row r="19" spans="2:49" x14ac:dyDescent="0.25">
      <c r="B19" s="303">
        <f t="shared" si="4"/>
        <v>36739</v>
      </c>
      <c r="C19" s="301">
        <v>3.1829999999999998</v>
      </c>
      <c r="D19" s="301">
        <v>0.41249999999999998</v>
      </c>
      <c r="E19" s="301">
        <v>6.4500399973534003E-2</v>
      </c>
      <c r="F19" s="301">
        <v>-0.11</v>
      </c>
      <c r="G19" s="301">
        <v>2.5000000000000001E-2</v>
      </c>
      <c r="H19" s="301">
        <v>-0.11</v>
      </c>
      <c r="I19" s="301">
        <v>5.5E-2</v>
      </c>
      <c r="J19" s="301">
        <v>0.16750000000000001</v>
      </c>
      <c r="K19" s="301">
        <v>-5.7500000000000002E-2</v>
      </c>
      <c r="L19" s="301">
        <v>-2.75E-2</v>
      </c>
      <c r="M19" s="301">
        <v>-0.32250000000000001</v>
      </c>
      <c r="N19" s="301">
        <v>7.4999999999999997E-3</v>
      </c>
      <c r="O19" s="301">
        <v>0</v>
      </c>
      <c r="P19" s="298">
        <v>-2.5000000000000001E-2</v>
      </c>
      <c r="Q19" s="298">
        <v>-5.5E-2</v>
      </c>
      <c r="R19" s="298">
        <v>-2.5000000000000001E-2</v>
      </c>
      <c r="S19" s="298">
        <v>-6.7500000000000004E-2</v>
      </c>
      <c r="T19" s="298">
        <v>-0.13</v>
      </c>
      <c r="U19" s="298">
        <v>0.34499999999999997</v>
      </c>
      <c r="V19" s="298">
        <v>5.0000000000000001E-3</v>
      </c>
      <c r="W19" s="298">
        <v>-0.24</v>
      </c>
      <c r="X19" s="298">
        <v>-2.2499999999999999E-2</v>
      </c>
      <c r="Y19" s="313">
        <v>0.11</v>
      </c>
      <c r="Z19" s="313">
        <v>-7.4999999999999997E-3</v>
      </c>
      <c r="AA19" s="445">
        <v>0.41299999999999998</v>
      </c>
      <c r="AB19" s="445">
        <v>0.40400000000000003</v>
      </c>
      <c r="AC19" s="445">
        <v>0.40400000000000003</v>
      </c>
      <c r="AD19" s="445">
        <v>0.41299999999999998</v>
      </c>
      <c r="AE19" s="445">
        <v>0.40400000000000003</v>
      </c>
      <c r="AF19" s="445">
        <v>0.41299999999999998</v>
      </c>
      <c r="AG19" s="445">
        <v>0.41299999999999998</v>
      </c>
      <c r="AH19" s="445">
        <v>0.41299999999999998</v>
      </c>
      <c r="AI19" s="446">
        <v>0.41299999999999998</v>
      </c>
      <c r="AJ19" s="446">
        <v>0.40400000000000003</v>
      </c>
      <c r="AK19" s="446">
        <v>0.41299999999999998</v>
      </c>
      <c r="AL19" s="445">
        <v>0.41299999999999998</v>
      </c>
      <c r="AM19" s="312">
        <v>6.4474341076841996E-2</v>
      </c>
      <c r="AN19" s="312"/>
      <c r="AO19" s="313">
        <f t="shared" si="5"/>
        <v>0.40400000000000003</v>
      </c>
      <c r="AP19" s="313">
        <f t="shared" si="6"/>
        <v>0.40400000000000003</v>
      </c>
      <c r="AQ19" s="316">
        <f t="shared" si="7"/>
        <v>0.40400000000000003</v>
      </c>
      <c r="AR19" s="315">
        <f t="shared" si="8"/>
        <v>36739</v>
      </c>
      <c r="AS19" s="313">
        <f t="shared" si="2"/>
        <v>0.98158201766215747</v>
      </c>
      <c r="AT19" s="313">
        <f t="shared" si="3"/>
        <v>0.98175256818087597</v>
      </c>
      <c r="AV19" s="315">
        <f t="shared" si="9"/>
        <v>36739</v>
      </c>
      <c r="AW19" s="298">
        <v>7</v>
      </c>
    </row>
    <row r="20" spans="2:49" x14ac:dyDescent="0.25">
      <c r="B20" s="303">
        <f t="shared" si="4"/>
        <v>36770</v>
      </c>
      <c r="C20" s="301">
        <v>3.173</v>
      </c>
      <c r="D20" s="301">
        <v>0.42</v>
      </c>
      <c r="E20" s="301">
        <v>6.5221012015626995E-2</v>
      </c>
      <c r="F20" s="301">
        <v>-0.1075</v>
      </c>
      <c r="G20" s="301">
        <v>1.7500000000000002E-2</v>
      </c>
      <c r="H20" s="301">
        <v>-0.1075</v>
      </c>
      <c r="I20" s="301">
        <v>5.2499999999999998E-2</v>
      </c>
      <c r="J20" s="301">
        <v>0.16750000000000001</v>
      </c>
      <c r="K20" s="301">
        <v>-0.06</v>
      </c>
      <c r="L20" s="301">
        <v>-0.03</v>
      </c>
      <c r="M20" s="301">
        <v>-0.32250000000000001</v>
      </c>
      <c r="N20" s="301">
        <v>5.0000000000000001E-3</v>
      </c>
      <c r="O20" s="301">
        <v>-5.0000000000000001E-3</v>
      </c>
      <c r="P20" s="298">
        <v>-2.5000000000000001E-2</v>
      </c>
      <c r="Q20" s="298">
        <v>-5.5E-2</v>
      </c>
      <c r="R20" s="298">
        <v>-2.75E-2</v>
      </c>
      <c r="S20" s="298">
        <v>-7.2499999999999995E-2</v>
      </c>
      <c r="T20" s="298">
        <v>-0.13</v>
      </c>
      <c r="U20" s="298">
        <v>0.315</v>
      </c>
      <c r="V20" s="298">
        <v>5.0000000000000001E-3</v>
      </c>
      <c r="W20" s="298">
        <v>-0.24249999999999999</v>
      </c>
      <c r="X20" s="298">
        <v>-2.5000000000000001E-2</v>
      </c>
      <c r="Y20" s="313">
        <v>8.7499999999999994E-2</v>
      </c>
      <c r="Z20" s="313">
        <v>-7.4999999999999997E-3</v>
      </c>
      <c r="AA20" s="445">
        <v>0.42</v>
      </c>
      <c r="AB20" s="445">
        <v>0.41199999999999998</v>
      </c>
      <c r="AC20" s="445">
        <v>0.41199999999999998</v>
      </c>
      <c r="AD20" s="445">
        <v>0.42</v>
      </c>
      <c r="AE20" s="445">
        <v>0.41199999999999998</v>
      </c>
      <c r="AF20" s="445">
        <v>0.42</v>
      </c>
      <c r="AG20" s="445">
        <v>0.42</v>
      </c>
      <c r="AH20" s="445">
        <v>0.42</v>
      </c>
      <c r="AI20" s="446">
        <v>0.42</v>
      </c>
      <c r="AJ20" s="446">
        <v>0.41199999999999998</v>
      </c>
      <c r="AK20" s="446">
        <v>0.42</v>
      </c>
      <c r="AL20" s="445">
        <v>0.42</v>
      </c>
      <c r="AM20" s="312">
        <v>6.5225433954021E-2</v>
      </c>
      <c r="AN20" s="312"/>
      <c r="AO20" s="313">
        <f t="shared" si="5"/>
        <v>0.41199999999999998</v>
      </c>
      <c r="AP20" s="313">
        <f t="shared" si="6"/>
        <v>0.41199999999999998</v>
      </c>
      <c r="AQ20" s="316">
        <f t="shared" si="7"/>
        <v>0.41199999999999998</v>
      </c>
      <c r="AR20" s="315">
        <f t="shared" si="8"/>
        <v>36770</v>
      </c>
      <c r="AS20" s="313">
        <f t="shared" si="2"/>
        <v>0.97604130233493369</v>
      </c>
      <c r="AT20" s="313">
        <f t="shared" si="3"/>
        <v>0.97621283456597041</v>
      </c>
      <c r="AV20" s="315">
        <f t="shared" si="9"/>
        <v>36770</v>
      </c>
      <c r="AW20" s="298">
        <v>8</v>
      </c>
    </row>
    <row r="21" spans="2:49" x14ac:dyDescent="0.25">
      <c r="B21" s="303">
        <f t="shared" si="4"/>
        <v>36800</v>
      </c>
      <c r="C21" s="301">
        <v>3.18</v>
      </c>
      <c r="D21" s="301">
        <v>0.42249999999999999</v>
      </c>
      <c r="E21" s="301">
        <v>6.5817989695161006E-2</v>
      </c>
      <c r="F21" s="301">
        <v>-0.1075</v>
      </c>
      <c r="G21" s="301">
        <v>7.4999999999999997E-3</v>
      </c>
      <c r="H21" s="301">
        <v>-0.1075</v>
      </c>
      <c r="I21" s="301">
        <v>5.5E-2</v>
      </c>
      <c r="J21" s="301">
        <v>0.16500000000000001</v>
      </c>
      <c r="K21" s="301">
        <v>-0.06</v>
      </c>
      <c r="L21" s="301">
        <v>-0.03</v>
      </c>
      <c r="M21" s="301">
        <v>-0.29749999999999999</v>
      </c>
      <c r="N21" s="301">
        <v>5.0000000000000001E-3</v>
      </c>
      <c r="O21" s="301">
        <v>-5.0000000000000001E-3</v>
      </c>
      <c r="P21" s="298">
        <v>-2.5000000000000001E-2</v>
      </c>
      <c r="Q21" s="298">
        <v>-5.5E-2</v>
      </c>
      <c r="R21" s="298">
        <v>-2.75E-2</v>
      </c>
      <c r="S21" s="298">
        <v>-7.2499999999999995E-2</v>
      </c>
      <c r="T21" s="298">
        <v>-0.1525</v>
      </c>
      <c r="U21" s="298">
        <v>0.34499999999999997</v>
      </c>
      <c r="V21" s="298">
        <v>5.0000000000000001E-3</v>
      </c>
      <c r="W21" s="298">
        <v>-0.28249999999999997</v>
      </c>
      <c r="X21" s="298">
        <v>-2.5000000000000001E-2</v>
      </c>
      <c r="Y21" s="313">
        <v>2.75E-2</v>
      </c>
      <c r="Z21" s="313">
        <v>-7.4999999999999997E-3</v>
      </c>
      <c r="AA21" s="445">
        <v>0.42299999999999999</v>
      </c>
      <c r="AB21" s="445">
        <v>0.41399999999999998</v>
      </c>
      <c r="AC21" s="445">
        <v>0.41399999999999998</v>
      </c>
      <c r="AD21" s="445">
        <v>0.42299999999999999</v>
      </c>
      <c r="AE21" s="445">
        <v>0.41399999999999998</v>
      </c>
      <c r="AF21" s="445">
        <v>0.42299999999999999</v>
      </c>
      <c r="AG21" s="445">
        <v>0.42299999999999999</v>
      </c>
      <c r="AH21" s="445">
        <v>0.42299999999999999</v>
      </c>
      <c r="AI21" s="446">
        <v>0.42299999999999999</v>
      </c>
      <c r="AJ21" s="446">
        <v>0.41399999999999998</v>
      </c>
      <c r="AK21" s="446">
        <v>0.42299999999999999</v>
      </c>
      <c r="AL21" s="445">
        <v>0.42299999999999999</v>
      </c>
      <c r="AM21" s="312">
        <v>6.5854112767071996E-2</v>
      </c>
      <c r="AN21" s="312"/>
      <c r="AO21" s="313">
        <f t="shared" si="5"/>
        <v>0.41399999999999998</v>
      </c>
      <c r="AP21" s="313">
        <f t="shared" si="6"/>
        <v>0.41399999999999998</v>
      </c>
      <c r="AQ21" s="316">
        <f t="shared" si="7"/>
        <v>0.41399999999999998</v>
      </c>
      <c r="AR21" s="315">
        <f t="shared" si="8"/>
        <v>36800</v>
      </c>
      <c r="AS21" s="313">
        <f t="shared" si="2"/>
        <v>0.97063751887307281</v>
      </c>
      <c r="AT21" s="313">
        <f t="shared" si="3"/>
        <v>0.97080971939183847</v>
      </c>
      <c r="AV21" s="315">
        <f t="shared" si="9"/>
        <v>36800</v>
      </c>
      <c r="AW21" s="298">
        <v>9</v>
      </c>
    </row>
    <row r="22" spans="2:49" x14ac:dyDescent="0.25">
      <c r="B22" s="303">
        <f t="shared" si="4"/>
        <v>36831</v>
      </c>
      <c r="C22" s="301">
        <v>3.2650000000000001</v>
      </c>
      <c r="D22" s="301">
        <v>0.42749999999999999</v>
      </c>
      <c r="E22" s="301">
        <v>6.6244373635737999E-2</v>
      </c>
      <c r="F22" s="301">
        <v>-0.11</v>
      </c>
      <c r="G22" s="301">
        <v>-2.75E-2</v>
      </c>
      <c r="H22" s="301">
        <v>-0.11</v>
      </c>
      <c r="I22" s="301">
        <v>0.1075</v>
      </c>
      <c r="J22" s="301">
        <v>0.19500000000000001</v>
      </c>
      <c r="K22" s="301">
        <v>-6.1499999999999999E-2</v>
      </c>
      <c r="L22" s="301">
        <v>-2.75E-2</v>
      </c>
      <c r="M22" s="301">
        <v>-0.26</v>
      </c>
      <c r="N22" s="301">
        <v>7.4999999999999997E-3</v>
      </c>
      <c r="O22" s="301">
        <v>-5.0000000000000001E-3</v>
      </c>
      <c r="P22" s="298">
        <v>-2.75E-2</v>
      </c>
      <c r="Q22" s="298">
        <v>-6.5000000000000002E-2</v>
      </c>
      <c r="R22" s="298">
        <v>-0.04</v>
      </c>
      <c r="S22" s="298">
        <v>-8.7499999999999994E-2</v>
      </c>
      <c r="T22" s="298">
        <v>-0.16500000000000001</v>
      </c>
      <c r="U22" s="298">
        <v>0.70750000000000002</v>
      </c>
      <c r="V22" s="298">
        <v>5.0000000000000001E-3</v>
      </c>
      <c r="W22" s="298">
        <v>-0.23499999999999999</v>
      </c>
      <c r="X22" s="298">
        <v>-2.2499999999999999E-2</v>
      </c>
      <c r="Y22" s="313">
        <v>2.75E-2</v>
      </c>
      <c r="Z22" s="313">
        <v>-7.4999999999999997E-3</v>
      </c>
      <c r="AA22" s="445">
        <v>0.42799999999999999</v>
      </c>
      <c r="AB22" s="445">
        <v>0.42799999999999999</v>
      </c>
      <c r="AC22" s="445">
        <v>0.42799999999999999</v>
      </c>
      <c r="AD22" s="445">
        <v>0.42799999999999999</v>
      </c>
      <c r="AE22" s="445">
        <v>0.42799999999999999</v>
      </c>
      <c r="AF22" s="445">
        <v>0.42799999999999999</v>
      </c>
      <c r="AG22" s="445">
        <v>0.42799999999999999</v>
      </c>
      <c r="AH22" s="445">
        <v>0.42799999999999999</v>
      </c>
      <c r="AI22" s="446">
        <v>0.42799999999999999</v>
      </c>
      <c r="AJ22" s="446">
        <v>0.42799999999999999</v>
      </c>
      <c r="AK22" s="446">
        <v>0.42799999999999999</v>
      </c>
      <c r="AL22" s="445">
        <v>0.42799999999999999</v>
      </c>
      <c r="AM22" s="312">
        <v>6.6317250099527006E-2</v>
      </c>
      <c r="AN22" s="312"/>
      <c r="AO22" s="313">
        <f t="shared" si="5"/>
        <v>0.42799999999999999</v>
      </c>
      <c r="AP22" s="313">
        <f t="shared" si="6"/>
        <v>0.42799999999999999</v>
      </c>
      <c r="AQ22" s="316">
        <f t="shared" si="7"/>
        <v>0.42799999999999999</v>
      </c>
      <c r="AR22" s="315">
        <f t="shared" si="8"/>
        <v>36831</v>
      </c>
      <c r="AS22" s="313">
        <f t="shared" si="2"/>
        <v>0.96507866611637483</v>
      </c>
      <c r="AT22" s="313">
        <f t="shared" si="3"/>
        <v>0.96525106523036353</v>
      </c>
      <c r="AV22" s="315">
        <f t="shared" si="9"/>
        <v>36831</v>
      </c>
      <c r="AW22" s="298">
        <v>10</v>
      </c>
    </row>
    <row r="23" spans="2:49" x14ac:dyDescent="0.25">
      <c r="B23" s="303">
        <f t="shared" si="4"/>
        <v>36861</v>
      </c>
      <c r="C23" s="301">
        <v>3.3519999999999999</v>
      </c>
      <c r="D23" s="301">
        <v>0.43</v>
      </c>
      <c r="E23" s="301">
        <v>6.6657003312999993E-2</v>
      </c>
      <c r="F23" s="301">
        <v>-0.1125</v>
      </c>
      <c r="G23" s="301">
        <v>-5.2499999999999998E-2</v>
      </c>
      <c r="H23" s="301">
        <v>-0.1125</v>
      </c>
      <c r="I23" s="301">
        <v>0.11749999999999999</v>
      </c>
      <c r="J23" s="301">
        <v>0.27250000000000002</v>
      </c>
      <c r="K23" s="301">
        <v>-6.1499999999999999E-2</v>
      </c>
      <c r="L23" s="301">
        <v>-2.75E-2</v>
      </c>
      <c r="M23" s="301">
        <v>-0.23499999999999999</v>
      </c>
      <c r="N23" s="301">
        <v>7.4999999999999997E-3</v>
      </c>
      <c r="O23" s="301">
        <v>-5.0000000000000001E-3</v>
      </c>
      <c r="P23" s="298">
        <v>-2.75E-2</v>
      </c>
      <c r="Q23" s="298">
        <v>-6.5000000000000002E-2</v>
      </c>
      <c r="R23" s="298">
        <v>-0.04</v>
      </c>
      <c r="S23" s="298">
        <v>-0.10249999999999999</v>
      </c>
      <c r="T23" s="298">
        <v>-0.16500000000000001</v>
      </c>
      <c r="U23" s="298">
        <v>1.27</v>
      </c>
      <c r="V23" s="298">
        <v>5.0000000000000001E-3</v>
      </c>
      <c r="W23" s="298">
        <v>-0.23499999999999999</v>
      </c>
      <c r="X23" s="298">
        <v>-2.2499999999999999E-2</v>
      </c>
      <c r="Y23" s="313">
        <v>1.4999999999999999E-2</v>
      </c>
      <c r="Z23" s="313">
        <v>-7.4999999999999997E-3</v>
      </c>
      <c r="AA23" s="445">
        <v>0.43</v>
      </c>
      <c r="AB23" s="445">
        <v>0.47299999999999998</v>
      </c>
      <c r="AC23" s="445">
        <v>0.43</v>
      </c>
      <c r="AD23" s="445">
        <v>0.43</v>
      </c>
      <c r="AE23" s="445">
        <v>0.43</v>
      </c>
      <c r="AF23" s="445">
        <v>0.43</v>
      </c>
      <c r="AG23" s="445">
        <v>0.43</v>
      </c>
      <c r="AH23" s="445">
        <v>0.43</v>
      </c>
      <c r="AI23" s="446">
        <v>0.43</v>
      </c>
      <c r="AJ23" s="446">
        <v>0.43</v>
      </c>
      <c r="AK23" s="446">
        <v>0.43</v>
      </c>
      <c r="AL23" s="445">
        <v>0.43</v>
      </c>
      <c r="AM23" s="312">
        <v>6.6765447585680995E-2</v>
      </c>
      <c r="AN23" s="312"/>
      <c r="AO23" s="313">
        <f t="shared" si="5"/>
        <v>0.47299999999999998</v>
      </c>
      <c r="AP23" s="313">
        <f t="shared" si="6"/>
        <v>0.47299999999999998</v>
      </c>
      <c r="AQ23" s="316">
        <f t="shared" si="7"/>
        <v>0.47299999999999998</v>
      </c>
      <c r="AR23" s="315">
        <f t="shared" si="8"/>
        <v>36861</v>
      </c>
      <c r="AS23" s="313">
        <f t="shared" si="2"/>
        <v>0.95965996408414389</v>
      </c>
      <c r="AT23" s="313">
        <f t="shared" si="3"/>
        <v>0.95983253509851496</v>
      </c>
      <c r="AV23" s="315">
        <f t="shared" si="9"/>
        <v>36861</v>
      </c>
      <c r="AW23" s="298">
        <v>11</v>
      </c>
    </row>
    <row r="24" spans="2:49" x14ac:dyDescent="0.25">
      <c r="B24" s="303">
        <f t="shared" si="4"/>
        <v>36892</v>
      </c>
      <c r="C24" s="301">
        <v>3.3650000000000002</v>
      </c>
      <c r="D24" s="301">
        <v>0.4325</v>
      </c>
      <c r="E24" s="301">
        <v>6.7045194353832993E-2</v>
      </c>
      <c r="F24" s="301">
        <v>-0.115</v>
      </c>
      <c r="G24" s="301">
        <v>-5.5E-2</v>
      </c>
      <c r="H24" s="301">
        <v>-0.115</v>
      </c>
      <c r="I24" s="301">
        <v>0.125</v>
      </c>
      <c r="J24" s="301">
        <v>0.31</v>
      </c>
      <c r="K24" s="301">
        <v>-6.5500000000000003E-2</v>
      </c>
      <c r="L24" s="301">
        <v>-2.75E-2</v>
      </c>
      <c r="M24" s="301">
        <v>-0.23499999999999999</v>
      </c>
      <c r="N24" s="301">
        <v>7.4999999999999997E-3</v>
      </c>
      <c r="O24" s="301">
        <v>-5.0000000000000001E-3</v>
      </c>
      <c r="P24" s="298">
        <v>-2.75E-2</v>
      </c>
      <c r="Q24" s="298">
        <v>-6.5000000000000002E-2</v>
      </c>
      <c r="R24" s="298">
        <v>-0.04</v>
      </c>
      <c r="S24" s="298">
        <v>-0.1125</v>
      </c>
      <c r="T24" s="298">
        <v>-0.16500000000000001</v>
      </c>
      <c r="U24" s="298">
        <v>1.53</v>
      </c>
      <c r="V24" s="298">
        <v>5.0000000000000001E-3</v>
      </c>
      <c r="W24" s="298">
        <v>-0.22500000000000001</v>
      </c>
      <c r="X24" s="298">
        <v>-2.2499999999999999E-2</v>
      </c>
      <c r="Y24" s="313">
        <v>2.2499999999999999E-2</v>
      </c>
      <c r="Z24" s="313">
        <v>-7.4999999999999997E-3</v>
      </c>
      <c r="AA24" s="445">
        <v>0.433</v>
      </c>
      <c r="AB24" s="445">
        <v>0.433</v>
      </c>
      <c r="AC24" s="445">
        <v>0.433</v>
      </c>
      <c r="AD24" s="445">
        <v>0.433</v>
      </c>
      <c r="AE24" s="445">
        <v>0.433</v>
      </c>
      <c r="AF24" s="445">
        <v>0.433</v>
      </c>
      <c r="AG24" s="445">
        <v>0.433</v>
      </c>
      <c r="AH24" s="445">
        <v>0.433</v>
      </c>
      <c r="AI24" s="446">
        <v>0.433</v>
      </c>
      <c r="AJ24" s="446">
        <v>0.433</v>
      </c>
      <c r="AK24" s="446">
        <v>0.433</v>
      </c>
      <c r="AL24" s="445">
        <v>0.433</v>
      </c>
      <c r="AM24" s="312">
        <v>6.7199546407634994E-2</v>
      </c>
      <c r="AN24" s="312"/>
      <c r="AO24" s="313">
        <f t="shared" si="5"/>
        <v>0.433</v>
      </c>
      <c r="AP24" s="313">
        <f t="shared" si="6"/>
        <v>0.433</v>
      </c>
      <c r="AQ24" s="316">
        <f t="shared" si="7"/>
        <v>0.433</v>
      </c>
      <c r="AR24" s="315">
        <f t="shared" si="8"/>
        <v>36892</v>
      </c>
      <c r="AS24" s="313">
        <f t="shared" si="2"/>
        <v>0.95404032781790127</v>
      </c>
      <c r="AT24" s="313">
        <f t="shared" si="3"/>
        <v>0.95421298560872259</v>
      </c>
      <c r="AV24" s="315">
        <f t="shared" si="9"/>
        <v>36892</v>
      </c>
      <c r="AW24" s="298">
        <v>12</v>
      </c>
    </row>
    <row r="25" spans="2:49" x14ac:dyDescent="0.25">
      <c r="B25" s="303">
        <f t="shared" si="4"/>
        <v>36923</v>
      </c>
      <c r="C25" s="301">
        <v>3.1909999999999998</v>
      </c>
      <c r="D25" s="301">
        <v>0.42249999999999999</v>
      </c>
      <c r="E25" s="301">
        <v>6.7372913158926004E-2</v>
      </c>
      <c r="F25" s="301">
        <v>-0.1075</v>
      </c>
      <c r="G25" s="301">
        <v>-3.5000000000000003E-2</v>
      </c>
      <c r="H25" s="301">
        <v>-0.1075</v>
      </c>
      <c r="I25" s="301">
        <v>0.1275</v>
      </c>
      <c r="J25" s="301">
        <v>0.31</v>
      </c>
      <c r="K25" s="301">
        <v>-6.1499999999999999E-2</v>
      </c>
      <c r="L25" s="301">
        <v>-2.75E-2</v>
      </c>
      <c r="M25" s="301">
        <v>-0.26</v>
      </c>
      <c r="N25" s="301">
        <v>7.4999999999999997E-3</v>
      </c>
      <c r="O25" s="301">
        <v>-5.0000000000000001E-3</v>
      </c>
      <c r="P25" s="298">
        <v>-2.75E-2</v>
      </c>
      <c r="Q25" s="298">
        <v>-6.5000000000000002E-2</v>
      </c>
      <c r="R25" s="298">
        <v>-0.04</v>
      </c>
      <c r="S25" s="298">
        <v>-0.1</v>
      </c>
      <c r="T25" s="298">
        <v>-0.16500000000000001</v>
      </c>
      <c r="U25" s="298">
        <v>1.49</v>
      </c>
      <c r="V25" s="298">
        <v>5.0000000000000001E-3</v>
      </c>
      <c r="W25" s="298">
        <v>-0.22500000000000001</v>
      </c>
      <c r="X25" s="298">
        <v>-2.2499999999999999E-2</v>
      </c>
      <c r="Y25" s="313">
        <v>0.04</v>
      </c>
      <c r="Z25" s="313">
        <v>-7.4999999999999997E-3</v>
      </c>
      <c r="AA25" s="445">
        <v>0.42299999999999999</v>
      </c>
      <c r="AB25" s="445">
        <v>0.46500000000000002</v>
      </c>
      <c r="AC25" s="445">
        <v>0.42299999999999999</v>
      </c>
      <c r="AD25" s="445">
        <v>0.42299999999999999</v>
      </c>
      <c r="AE25" s="445">
        <v>0.42299999999999999</v>
      </c>
      <c r="AF25" s="445">
        <v>0.42299999999999999</v>
      </c>
      <c r="AG25" s="445">
        <v>0.42299999999999999</v>
      </c>
      <c r="AH25" s="445">
        <v>0.42299999999999999</v>
      </c>
      <c r="AI25" s="446">
        <v>0.42299999999999999</v>
      </c>
      <c r="AJ25" s="446">
        <v>0.42299999999999999</v>
      </c>
      <c r="AK25" s="446">
        <v>0.42299999999999999</v>
      </c>
      <c r="AL25" s="445">
        <v>0.42299999999999999</v>
      </c>
      <c r="AM25" s="312">
        <v>6.7587667422978004E-2</v>
      </c>
      <c r="AN25" s="312"/>
      <c r="AO25" s="313">
        <f t="shared" si="5"/>
        <v>0.46500000000000002</v>
      </c>
      <c r="AP25" s="313">
        <f t="shared" si="6"/>
        <v>0.46500000000000002</v>
      </c>
      <c r="AQ25" s="316">
        <f t="shared" si="7"/>
        <v>0.46500000000000002</v>
      </c>
      <c r="AR25" s="315">
        <f t="shared" si="8"/>
        <v>36923</v>
      </c>
      <c r="AS25" s="313">
        <f t="shared" si="2"/>
        <v>0.94841964974145332</v>
      </c>
      <c r="AT25" s="313">
        <f t="shared" si="3"/>
        <v>0.94859226545938991</v>
      </c>
      <c r="AV25" s="315">
        <f t="shared" si="9"/>
        <v>36923</v>
      </c>
      <c r="AW25" s="298">
        <v>13</v>
      </c>
    </row>
    <row r="26" spans="2:49" x14ac:dyDescent="0.25">
      <c r="B26" s="303">
        <f t="shared" si="4"/>
        <v>36951</v>
      </c>
      <c r="C26" s="301">
        <v>3.0169999999999999</v>
      </c>
      <c r="D26" s="301">
        <v>0.375</v>
      </c>
      <c r="E26" s="301">
        <v>6.7668917271508006E-2</v>
      </c>
      <c r="F26" s="301">
        <v>-0.105</v>
      </c>
      <c r="G26" s="301">
        <v>-0.03</v>
      </c>
      <c r="H26" s="301">
        <v>-0.105</v>
      </c>
      <c r="I26" s="301">
        <v>0.13500000000000001</v>
      </c>
      <c r="J26" s="301">
        <v>0.23749999999999999</v>
      </c>
      <c r="K26" s="301">
        <v>-6.3E-2</v>
      </c>
      <c r="L26" s="301">
        <v>-2.75E-2</v>
      </c>
      <c r="M26" s="301">
        <v>-0.26</v>
      </c>
      <c r="N26" s="301">
        <v>7.4999999999999997E-3</v>
      </c>
      <c r="O26" s="301">
        <v>-5.0000000000000001E-3</v>
      </c>
      <c r="P26" s="298">
        <v>-2.75E-2</v>
      </c>
      <c r="Q26" s="298">
        <v>-6.5000000000000002E-2</v>
      </c>
      <c r="R26" s="298">
        <v>-0.04</v>
      </c>
      <c r="S26" s="298">
        <v>-8.7499999999999994E-2</v>
      </c>
      <c r="T26" s="298">
        <v>-0.16500000000000001</v>
      </c>
      <c r="U26" s="298">
        <v>0.86</v>
      </c>
      <c r="V26" s="298">
        <v>5.0000000000000001E-3</v>
      </c>
      <c r="W26" s="298">
        <v>-0.22500000000000001</v>
      </c>
      <c r="X26" s="298">
        <v>-2.2499999999999999E-2</v>
      </c>
      <c r="Y26" s="313">
        <v>0.04</v>
      </c>
      <c r="Z26" s="313">
        <v>-7.4999999999999997E-3</v>
      </c>
      <c r="AA26" s="445">
        <v>0.375</v>
      </c>
      <c r="AB26" s="445">
        <v>0.41299999999999998</v>
      </c>
      <c r="AC26" s="445">
        <v>0.375</v>
      </c>
      <c r="AD26" s="445">
        <v>0.375</v>
      </c>
      <c r="AE26" s="445">
        <v>0.375</v>
      </c>
      <c r="AF26" s="445">
        <v>0.375</v>
      </c>
      <c r="AG26" s="445">
        <v>0.375</v>
      </c>
      <c r="AH26" s="445">
        <v>0.375</v>
      </c>
      <c r="AI26" s="446">
        <v>0.375</v>
      </c>
      <c r="AJ26" s="446">
        <v>0.375</v>
      </c>
      <c r="AK26" s="446">
        <v>0.375</v>
      </c>
      <c r="AL26" s="445">
        <v>0.375</v>
      </c>
      <c r="AM26" s="312">
        <v>6.7938228382925001E-2</v>
      </c>
      <c r="AN26" s="312"/>
      <c r="AO26" s="313">
        <f t="shared" si="5"/>
        <v>0.41299999999999998</v>
      </c>
      <c r="AP26" s="313">
        <f t="shared" si="6"/>
        <v>0.41299999999999998</v>
      </c>
      <c r="AQ26" s="316">
        <f t="shared" si="7"/>
        <v>0.41299999999999998</v>
      </c>
      <c r="AR26" s="315">
        <f t="shared" si="8"/>
        <v>36951</v>
      </c>
      <c r="AS26" s="313">
        <f t="shared" si="2"/>
        <v>0.94331974800190177</v>
      </c>
      <c r="AT26" s="313">
        <f t="shared" si="3"/>
        <v>0.94349231139194134</v>
      </c>
      <c r="AV26" s="315">
        <f t="shared" si="9"/>
        <v>36951</v>
      </c>
      <c r="AW26" s="298">
        <v>14</v>
      </c>
    </row>
    <row r="27" spans="2:49" x14ac:dyDescent="0.25">
      <c r="B27" s="303">
        <f t="shared" si="4"/>
        <v>36982</v>
      </c>
      <c r="C27" s="301">
        <v>2.8610000000000002</v>
      </c>
      <c r="D27" s="301">
        <v>0.3</v>
      </c>
      <c r="E27" s="301">
        <v>6.7951442923936997E-2</v>
      </c>
      <c r="F27" s="301">
        <v>-0.1075</v>
      </c>
      <c r="G27" s="301">
        <v>1.4999999999999999E-2</v>
      </c>
      <c r="H27" s="301">
        <v>-0.1075</v>
      </c>
      <c r="I27" s="301">
        <v>6.5000000000000002E-2</v>
      </c>
      <c r="J27" s="301">
        <v>0.16500000000000001</v>
      </c>
      <c r="K27" s="301">
        <v>-7.8E-2</v>
      </c>
      <c r="L27" s="301">
        <v>-0.03</v>
      </c>
      <c r="M27" s="301">
        <v>-0.28749999999999998</v>
      </c>
      <c r="N27" s="301">
        <v>5.0000000000000001E-3</v>
      </c>
      <c r="O27" s="301">
        <v>-7.4999999999999997E-3</v>
      </c>
      <c r="P27" s="298">
        <v>-2.75E-2</v>
      </c>
      <c r="Q27" s="298">
        <v>-5.5E-2</v>
      </c>
      <c r="R27" s="298">
        <v>-2.7699999999999999E-2</v>
      </c>
      <c r="S27" s="298">
        <v>-7.2499999999999995E-2</v>
      </c>
      <c r="T27" s="298">
        <v>-0.115</v>
      </c>
      <c r="U27" s="298">
        <v>0.37</v>
      </c>
      <c r="V27" s="298">
        <v>5.0000000000000001E-3</v>
      </c>
      <c r="W27" s="298">
        <v>-0.20250000000000001</v>
      </c>
      <c r="X27" s="298">
        <v>-2.2499999999999999E-2</v>
      </c>
      <c r="Y27" s="313">
        <v>4.2500000000000003E-2</v>
      </c>
      <c r="Z27" s="313">
        <v>5.0000000000000001E-3</v>
      </c>
      <c r="AA27" s="445">
        <v>0.3</v>
      </c>
      <c r="AB27" s="445">
        <v>0.29399999999999998</v>
      </c>
      <c r="AC27" s="445">
        <v>0.3</v>
      </c>
      <c r="AD27" s="445">
        <v>0.3</v>
      </c>
      <c r="AE27" s="445">
        <v>0.29399999999999998</v>
      </c>
      <c r="AF27" s="445">
        <v>0.3</v>
      </c>
      <c r="AG27" s="445">
        <v>0.3</v>
      </c>
      <c r="AH27" s="445">
        <v>0.3</v>
      </c>
      <c r="AI27" s="446">
        <v>0.3</v>
      </c>
      <c r="AJ27" s="446">
        <v>0.3</v>
      </c>
      <c r="AK27" s="446">
        <v>0.3</v>
      </c>
      <c r="AL27" s="445">
        <v>0.3</v>
      </c>
      <c r="AM27" s="312">
        <v>6.8276243673053003E-2</v>
      </c>
      <c r="AN27" s="312"/>
      <c r="AO27" s="313">
        <f t="shared" si="5"/>
        <v>0.29399999999999998</v>
      </c>
      <c r="AP27" s="313">
        <f t="shared" si="6"/>
        <v>0.29399999999999998</v>
      </c>
      <c r="AQ27" s="316">
        <f t="shared" si="7"/>
        <v>0.29399999999999998</v>
      </c>
      <c r="AR27" s="315">
        <f t="shared" si="8"/>
        <v>36982</v>
      </c>
      <c r="AS27" s="313">
        <f t="shared" si="2"/>
        <v>0.93769214430514269</v>
      </c>
      <c r="AT27" s="313">
        <f t="shared" si="3"/>
        <v>0.93786451757602063</v>
      </c>
      <c r="AV27" s="315">
        <f t="shared" si="9"/>
        <v>36982</v>
      </c>
      <c r="AW27" s="298">
        <v>15</v>
      </c>
    </row>
    <row r="28" spans="2:49" x14ac:dyDescent="0.25">
      <c r="B28" s="303">
        <f t="shared" si="4"/>
        <v>37012</v>
      </c>
      <c r="C28" s="301">
        <v>2.81</v>
      </c>
      <c r="D28" s="301">
        <v>0.26500000000000001</v>
      </c>
      <c r="E28" s="301">
        <v>6.8146586684140004E-2</v>
      </c>
      <c r="F28" s="301">
        <v>-0.1075</v>
      </c>
      <c r="G28" s="301">
        <v>1.4999999999999999E-2</v>
      </c>
      <c r="H28" s="301">
        <v>-0.1075</v>
      </c>
      <c r="I28" s="301">
        <v>5.2499999999999998E-2</v>
      </c>
      <c r="J28" s="301">
        <v>0.16</v>
      </c>
      <c r="K28" s="301">
        <v>-6.0499999999999998E-2</v>
      </c>
      <c r="L28" s="301">
        <v>-0.03</v>
      </c>
      <c r="M28" s="301">
        <v>-0.28749999999999998</v>
      </c>
      <c r="N28" s="301">
        <v>5.0000000000000001E-3</v>
      </c>
      <c r="O28" s="301">
        <v>-7.4999999999999997E-3</v>
      </c>
      <c r="P28" s="298">
        <v>-2.75E-2</v>
      </c>
      <c r="Q28" s="298">
        <v>-5.5E-2</v>
      </c>
      <c r="R28" s="298">
        <v>-2.7949999999999999E-2</v>
      </c>
      <c r="S28" s="298">
        <v>-7.2499999999999995E-2</v>
      </c>
      <c r="T28" s="298">
        <v>-0.115</v>
      </c>
      <c r="U28" s="298">
        <v>0.2525</v>
      </c>
      <c r="V28" s="298">
        <v>5.0000000000000001E-3</v>
      </c>
      <c r="W28" s="298">
        <v>-0.20250000000000001</v>
      </c>
      <c r="X28" s="298">
        <v>-1.9E-2</v>
      </c>
      <c r="Y28" s="313">
        <v>5.2499999999999998E-2</v>
      </c>
      <c r="Z28" s="313">
        <v>5.0000000000000001E-3</v>
      </c>
      <c r="AA28" s="445">
        <v>0.26500000000000001</v>
      </c>
      <c r="AB28" s="445">
        <v>0.26</v>
      </c>
      <c r="AC28" s="445">
        <v>0.26500000000000001</v>
      </c>
      <c r="AD28" s="445">
        <v>0.26500000000000001</v>
      </c>
      <c r="AE28" s="445">
        <v>0.26</v>
      </c>
      <c r="AF28" s="445">
        <v>0.26500000000000001</v>
      </c>
      <c r="AG28" s="445">
        <v>0.26500000000000001</v>
      </c>
      <c r="AH28" s="445">
        <v>0.26500000000000001</v>
      </c>
      <c r="AI28" s="446">
        <v>0.26500000000000001</v>
      </c>
      <c r="AJ28" s="446">
        <v>0.26500000000000001</v>
      </c>
      <c r="AK28" s="446">
        <v>0.26500000000000001</v>
      </c>
      <c r="AL28" s="445">
        <v>0.26500000000000001</v>
      </c>
      <c r="AM28" s="312">
        <v>6.8516498196470002E-2</v>
      </c>
      <c r="AN28" s="312"/>
      <c r="AO28" s="313">
        <f t="shared" si="5"/>
        <v>0.26</v>
      </c>
      <c r="AP28" s="313">
        <f t="shared" si="6"/>
        <v>0.26</v>
      </c>
      <c r="AQ28" s="316">
        <f t="shared" si="7"/>
        <v>0.26</v>
      </c>
      <c r="AR28" s="315">
        <f t="shared" si="8"/>
        <v>37012</v>
      </c>
      <c r="AS28" s="313">
        <f t="shared" si="2"/>
        <v>0.93231029313274683</v>
      </c>
      <c r="AT28" s="313">
        <f t="shared" si="3"/>
        <v>0.93248227015976048</v>
      </c>
      <c r="AV28" s="315">
        <f t="shared" si="9"/>
        <v>37012</v>
      </c>
      <c r="AW28" s="298">
        <v>16</v>
      </c>
    </row>
    <row r="29" spans="2:49" x14ac:dyDescent="0.25">
      <c r="B29" s="303">
        <f t="shared" si="4"/>
        <v>37043</v>
      </c>
      <c r="C29" s="301">
        <v>2.8119999999999998</v>
      </c>
      <c r="D29" s="301">
        <v>0.25750000000000001</v>
      </c>
      <c r="E29" s="301">
        <v>6.8348235249589995E-2</v>
      </c>
      <c r="F29" s="301">
        <v>-0.1075</v>
      </c>
      <c r="G29" s="301">
        <v>0.02</v>
      </c>
      <c r="H29" s="301">
        <v>-0.1075</v>
      </c>
      <c r="I29" s="301">
        <v>4.7500000000000001E-2</v>
      </c>
      <c r="J29" s="301">
        <v>0.16</v>
      </c>
      <c r="K29" s="301">
        <v>-5.5500000000000001E-2</v>
      </c>
      <c r="L29" s="301">
        <v>-0.03</v>
      </c>
      <c r="M29" s="301">
        <v>-0.28749999999999998</v>
      </c>
      <c r="N29" s="301">
        <v>5.0000000000000001E-3</v>
      </c>
      <c r="O29" s="301">
        <v>-7.4999999999999997E-3</v>
      </c>
      <c r="P29" s="298">
        <v>-2.5000000000000001E-2</v>
      </c>
      <c r="Q29" s="298">
        <v>-5.5E-2</v>
      </c>
      <c r="R29" s="298">
        <v>-2.7949999999999999E-2</v>
      </c>
      <c r="S29" s="298">
        <v>-6.7500000000000004E-2</v>
      </c>
      <c r="T29" s="298">
        <v>-0.115</v>
      </c>
      <c r="U29" s="298">
        <v>0.2525</v>
      </c>
      <c r="V29" s="298">
        <v>5.0000000000000001E-3</v>
      </c>
      <c r="W29" s="298">
        <v>-0.20250000000000001</v>
      </c>
      <c r="X29" s="298">
        <v>-2.1499999999999998E-2</v>
      </c>
      <c r="Y29" s="313">
        <v>7.4999999999999997E-2</v>
      </c>
      <c r="Z29" s="313">
        <v>5.0000000000000001E-3</v>
      </c>
      <c r="AA29" s="445">
        <v>0.25800000000000001</v>
      </c>
      <c r="AB29" s="445">
        <v>0.252</v>
      </c>
      <c r="AC29" s="445">
        <v>0.25800000000000001</v>
      </c>
      <c r="AD29" s="445">
        <v>0.25800000000000001</v>
      </c>
      <c r="AE29" s="445">
        <v>0.252</v>
      </c>
      <c r="AF29" s="445">
        <v>0.25800000000000001</v>
      </c>
      <c r="AG29" s="445">
        <v>0.25800000000000001</v>
      </c>
      <c r="AH29" s="445">
        <v>0.25800000000000001</v>
      </c>
      <c r="AI29" s="446">
        <v>0.25800000000000001</v>
      </c>
      <c r="AJ29" s="446">
        <v>0.25800000000000001</v>
      </c>
      <c r="AK29" s="446">
        <v>0.25800000000000001</v>
      </c>
      <c r="AL29" s="445">
        <v>0.25800000000000001</v>
      </c>
      <c r="AM29" s="312">
        <v>6.8764761224065996E-2</v>
      </c>
      <c r="AN29" s="312"/>
      <c r="AO29" s="313">
        <f t="shared" si="5"/>
        <v>0.252</v>
      </c>
      <c r="AP29" s="313">
        <f t="shared" si="6"/>
        <v>0.252</v>
      </c>
      <c r="AQ29" s="316">
        <f t="shared" si="7"/>
        <v>0.252</v>
      </c>
      <c r="AR29" s="315">
        <f t="shared" si="8"/>
        <v>37043</v>
      </c>
      <c r="AS29" s="313">
        <f t="shared" si="2"/>
        <v>0.92674437000675713</v>
      </c>
      <c r="AT29" s="313">
        <f t="shared" si="3"/>
        <v>0.92691592945102863</v>
      </c>
      <c r="AV29" s="315">
        <f t="shared" si="9"/>
        <v>37043</v>
      </c>
      <c r="AW29" s="298">
        <v>17</v>
      </c>
    </row>
    <row r="30" spans="2:49" x14ac:dyDescent="0.25">
      <c r="B30" s="303">
        <f t="shared" si="4"/>
        <v>37073</v>
      </c>
      <c r="C30" s="301">
        <v>2.8130000000000002</v>
      </c>
      <c r="D30" s="301">
        <v>0.255</v>
      </c>
      <c r="E30" s="301">
        <v>6.8534823747616005E-2</v>
      </c>
      <c r="F30" s="301">
        <v>-0.1075</v>
      </c>
      <c r="G30" s="301">
        <v>2.2499999999999999E-2</v>
      </c>
      <c r="H30" s="301">
        <v>-0.1075</v>
      </c>
      <c r="I30" s="301">
        <v>0.04</v>
      </c>
      <c r="J30" s="301">
        <v>0.16</v>
      </c>
      <c r="K30" s="301">
        <v>-5.5500000000000001E-2</v>
      </c>
      <c r="L30" s="301">
        <v>-0.03</v>
      </c>
      <c r="M30" s="301">
        <v>-0.28749999999999998</v>
      </c>
      <c r="N30" s="301">
        <v>5.0000000000000001E-3</v>
      </c>
      <c r="O30" s="301">
        <v>-7.4999999999999997E-3</v>
      </c>
      <c r="P30" s="298">
        <v>-2.5000000000000001E-2</v>
      </c>
      <c r="Q30" s="298">
        <v>-5.5E-2</v>
      </c>
      <c r="R30" s="298">
        <v>-2.7949999999999999E-2</v>
      </c>
      <c r="S30" s="298">
        <v>-6.7500000000000004E-2</v>
      </c>
      <c r="T30" s="298">
        <v>-0.115</v>
      </c>
      <c r="U30" s="298">
        <v>0.25750000000000001</v>
      </c>
      <c r="V30" s="298">
        <v>5.0000000000000001E-3</v>
      </c>
      <c r="W30" s="298">
        <v>-0.20250000000000001</v>
      </c>
      <c r="X30" s="298">
        <v>-2.1499999999999998E-2</v>
      </c>
      <c r="Y30" s="313">
        <v>0.19</v>
      </c>
      <c r="Z30" s="313">
        <v>5.0000000000000001E-3</v>
      </c>
      <c r="AA30" s="445">
        <v>0.255</v>
      </c>
      <c r="AB30" s="445">
        <v>0.25</v>
      </c>
      <c r="AC30" s="445">
        <v>0.255</v>
      </c>
      <c r="AD30" s="445">
        <v>0.255</v>
      </c>
      <c r="AE30" s="445">
        <v>0.25</v>
      </c>
      <c r="AF30" s="445">
        <v>0.255</v>
      </c>
      <c r="AG30" s="445">
        <v>0.255</v>
      </c>
      <c r="AH30" s="445">
        <v>0.255</v>
      </c>
      <c r="AI30" s="446">
        <v>0.255</v>
      </c>
      <c r="AJ30" s="446">
        <v>0.255</v>
      </c>
      <c r="AK30" s="446">
        <v>0.255</v>
      </c>
      <c r="AL30" s="445">
        <v>0.255</v>
      </c>
      <c r="AM30" s="312">
        <v>6.9000464437051004E-2</v>
      </c>
      <c r="AN30" s="312"/>
      <c r="AO30" s="313">
        <f t="shared" si="5"/>
        <v>0.25</v>
      </c>
      <c r="AP30" s="313">
        <f t="shared" si="6"/>
        <v>0.25</v>
      </c>
      <c r="AQ30" s="316">
        <f t="shared" si="7"/>
        <v>0.25</v>
      </c>
      <c r="AR30" s="315">
        <f t="shared" si="8"/>
        <v>37073</v>
      </c>
      <c r="AS30" s="313">
        <f t="shared" si="2"/>
        <v>0.9213588147322368</v>
      </c>
      <c r="AT30" s="313">
        <f t="shared" si="3"/>
        <v>0.92152995208150079</v>
      </c>
      <c r="AV30" s="315">
        <f t="shared" si="9"/>
        <v>37073</v>
      </c>
      <c r="AW30" s="298">
        <v>18</v>
      </c>
    </row>
    <row r="31" spans="2:49" x14ac:dyDescent="0.25">
      <c r="B31" s="303">
        <f t="shared" si="4"/>
        <v>37104</v>
      </c>
      <c r="C31" s="301">
        <v>2.8130000000000002</v>
      </c>
      <c r="D31" s="301">
        <v>0.255</v>
      </c>
      <c r="E31" s="301">
        <v>6.8711482572367005E-2</v>
      </c>
      <c r="F31" s="301">
        <v>-0.1075</v>
      </c>
      <c r="G31" s="301">
        <v>2.5000000000000001E-2</v>
      </c>
      <c r="H31" s="301">
        <v>-0.1075</v>
      </c>
      <c r="I31" s="301">
        <v>3.7499999999999999E-2</v>
      </c>
      <c r="J31" s="301">
        <v>0.16</v>
      </c>
      <c r="K31" s="301">
        <v>-5.5500000000000001E-2</v>
      </c>
      <c r="L31" s="301">
        <v>-0.03</v>
      </c>
      <c r="M31" s="301">
        <v>-0.28749999999999998</v>
      </c>
      <c r="N31" s="301">
        <v>5.0000000000000001E-3</v>
      </c>
      <c r="O31" s="301">
        <v>-7.4999999999999997E-3</v>
      </c>
      <c r="P31" s="298">
        <v>-2.5000000000000001E-2</v>
      </c>
      <c r="Q31" s="298">
        <v>-5.5E-2</v>
      </c>
      <c r="R31" s="298">
        <v>-2.7949999999999999E-2</v>
      </c>
      <c r="S31" s="298">
        <v>-6.7500000000000004E-2</v>
      </c>
      <c r="T31" s="298">
        <v>-0.115</v>
      </c>
      <c r="U31" s="298">
        <v>0.25750000000000001</v>
      </c>
      <c r="V31" s="298">
        <v>5.0000000000000001E-3</v>
      </c>
      <c r="W31" s="298">
        <v>-0.20250000000000001</v>
      </c>
      <c r="X31" s="298">
        <v>-2.1499999999999998E-2</v>
      </c>
      <c r="Y31" s="313">
        <v>0.25</v>
      </c>
      <c r="Z31" s="313">
        <v>5.0000000000000001E-3</v>
      </c>
      <c r="AA31" s="445">
        <v>0.255</v>
      </c>
      <c r="AB31" s="445">
        <v>0.25</v>
      </c>
      <c r="AC31" s="445">
        <v>0.255</v>
      </c>
      <c r="AD31" s="445">
        <v>0.255</v>
      </c>
      <c r="AE31" s="445">
        <v>0.25</v>
      </c>
      <c r="AF31" s="445">
        <v>0.255</v>
      </c>
      <c r="AG31" s="445">
        <v>0.255</v>
      </c>
      <c r="AH31" s="445">
        <v>0.255</v>
      </c>
      <c r="AI31" s="446">
        <v>0.255</v>
      </c>
      <c r="AJ31" s="446">
        <v>0.255</v>
      </c>
      <c r="AK31" s="446">
        <v>0.255</v>
      </c>
      <c r="AL31" s="445">
        <v>0.255</v>
      </c>
      <c r="AM31" s="312">
        <v>6.9235449822753994E-2</v>
      </c>
      <c r="AN31" s="312"/>
      <c r="AO31" s="313">
        <f t="shared" si="5"/>
        <v>0.25</v>
      </c>
      <c r="AP31" s="313">
        <f t="shared" si="6"/>
        <v>0.25</v>
      </c>
      <c r="AQ31" s="316">
        <f t="shared" si="7"/>
        <v>0.25</v>
      </c>
      <c r="AR31" s="315">
        <f t="shared" si="8"/>
        <v>37104</v>
      </c>
      <c r="AS31" s="313">
        <f t="shared" si="2"/>
        <v>0.91580044650274339</v>
      </c>
      <c r="AT31" s="313">
        <f t="shared" si="3"/>
        <v>0.91597112102481237</v>
      </c>
      <c r="AV31" s="315">
        <f t="shared" si="9"/>
        <v>37104</v>
      </c>
      <c r="AW31" s="298">
        <v>19</v>
      </c>
    </row>
    <row r="32" spans="2:49" x14ac:dyDescent="0.25">
      <c r="B32" s="303">
        <f t="shared" si="4"/>
        <v>37135</v>
      </c>
      <c r="C32" s="301">
        <v>2.8130000000000002</v>
      </c>
      <c r="D32" s="301">
        <v>0.25750000000000001</v>
      </c>
      <c r="E32" s="301">
        <v>6.8888141407443995E-2</v>
      </c>
      <c r="F32" s="301">
        <v>-0.1075</v>
      </c>
      <c r="G32" s="301">
        <v>1.7500000000000002E-2</v>
      </c>
      <c r="H32" s="301">
        <v>-0.1075</v>
      </c>
      <c r="I32" s="301">
        <v>3.7499999999999999E-2</v>
      </c>
      <c r="J32" s="301">
        <v>0.155</v>
      </c>
      <c r="K32" s="301">
        <v>-5.8000000000000003E-2</v>
      </c>
      <c r="L32" s="301">
        <v>-0.03</v>
      </c>
      <c r="M32" s="301">
        <v>-0.28749999999999998</v>
      </c>
      <c r="N32" s="301">
        <v>5.0000000000000001E-3</v>
      </c>
      <c r="O32" s="301">
        <v>-7.4999999999999997E-3</v>
      </c>
      <c r="P32" s="298">
        <v>-2.5000000000000001E-2</v>
      </c>
      <c r="Q32" s="298">
        <v>-5.5E-2</v>
      </c>
      <c r="R32" s="298">
        <v>-2.5250000000000002E-2</v>
      </c>
      <c r="S32" s="298">
        <v>-7.2499999999999995E-2</v>
      </c>
      <c r="T32" s="298">
        <v>-0.115</v>
      </c>
      <c r="U32" s="298">
        <v>0.2525</v>
      </c>
      <c r="V32" s="298">
        <v>5.0000000000000001E-3</v>
      </c>
      <c r="W32" s="298">
        <v>-0.20250000000000001</v>
      </c>
      <c r="X32" s="298">
        <v>-2.4E-2</v>
      </c>
      <c r="Y32" s="313">
        <v>0.22</v>
      </c>
      <c r="Z32" s="313">
        <v>5.0000000000000001E-3</v>
      </c>
      <c r="AA32" s="445">
        <v>0.25800000000000001</v>
      </c>
      <c r="AB32" s="445">
        <v>0.252</v>
      </c>
      <c r="AC32" s="445">
        <v>0.25800000000000001</v>
      </c>
      <c r="AD32" s="445">
        <v>0.25800000000000001</v>
      </c>
      <c r="AE32" s="445">
        <v>0.252</v>
      </c>
      <c r="AF32" s="445">
        <v>0.25800000000000001</v>
      </c>
      <c r="AG32" s="445">
        <v>0.25800000000000001</v>
      </c>
      <c r="AH32" s="445">
        <v>0.25800000000000001</v>
      </c>
      <c r="AI32" s="446">
        <v>0.25800000000000001</v>
      </c>
      <c r="AJ32" s="446">
        <v>0.25800000000000001</v>
      </c>
      <c r="AK32" s="446">
        <v>0.25800000000000001</v>
      </c>
      <c r="AL32" s="445">
        <v>0.25800000000000001</v>
      </c>
      <c r="AM32" s="312">
        <v>6.9470435226721999E-2</v>
      </c>
      <c r="AN32" s="312"/>
      <c r="AO32" s="313">
        <f t="shared" si="5"/>
        <v>0.252</v>
      </c>
      <c r="AP32" s="313">
        <f t="shared" si="6"/>
        <v>0.252</v>
      </c>
      <c r="AQ32" s="316">
        <f t="shared" si="7"/>
        <v>0.252</v>
      </c>
      <c r="AR32" s="315">
        <f t="shared" si="8"/>
        <v>37135</v>
      </c>
      <c r="AS32" s="313">
        <f t="shared" si="2"/>
        <v>0.91024054756160766</v>
      </c>
      <c r="AT32" s="313">
        <f t="shared" si="3"/>
        <v>0.91041075199197874</v>
      </c>
      <c r="AV32" s="315">
        <f t="shared" si="9"/>
        <v>37135</v>
      </c>
      <c r="AW32" s="298">
        <v>20</v>
      </c>
    </row>
    <row r="33" spans="2:49" x14ac:dyDescent="0.25">
      <c r="B33" s="303">
        <f t="shared" si="4"/>
        <v>37165</v>
      </c>
      <c r="C33" s="301">
        <v>2.8330000000000002</v>
      </c>
      <c r="D33" s="301">
        <v>0.26250000000000001</v>
      </c>
      <c r="E33" s="301">
        <v>6.9044059331132002E-2</v>
      </c>
      <c r="F33" s="301">
        <v>-0.1075</v>
      </c>
      <c r="G33" s="301">
        <v>7.4999999999999997E-3</v>
      </c>
      <c r="H33" s="301">
        <v>-0.1075</v>
      </c>
      <c r="I33" s="301">
        <v>5.2499999999999998E-2</v>
      </c>
      <c r="J33" s="301">
        <v>0.16</v>
      </c>
      <c r="K33" s="301">
        <v>-5.8000000000000003E-2</v>
      </c>
      <c r="L33" s="301">
        <v>-0.03</v>
      </c>
      <c r="M33" s="301">
        <v>-0.28749999999999998</v>
      </c>
      <c r="N33" s="301">
        <v>5.0000000000000001E-3</v>
      </c>
      <c r="O33" s="301">
        <v>-7.4999999999999997E-3</v>
      </c>
      <c r="P33" s="298">
        <v>-2.5000000000000001E-2</v>
      </c>
      <c r="Q33" s="298">
        <v>-5.5E-2</v>
      </c>
      <c r="R33" s="298">
        <v>-2.5250000000000002E-2</v>
      </c>
      <c r="S33" s="298">
        <v>-7.2499999999999995E-2</v>
      </c>
      <c r="T33" s="298">
        <v>-0.115</v>
      </c>
      <c r="U33" s="298">
        <v>0.255</v>
      </c>
      <c r="V33" s="298">
        <v>5.0000000000000001E-3</v>
      </c>
      <c r="W33" s="298">
        <v>-0.20250000000000001</v>
      </c>
      <c r="X33" s="298">
        <v>-2.4E-2</v>
      </c>
      <c r="Y33" s="313">
        <v>0.1525</v>
      </c>
      <c r="Z33" s="313">
        <v>5.0000000000000001E-3</v>
      </c>
      <c r="AA33" s="445">
        <v>0.26300000000000001</v>
      </c>
      <c r="AB33" s="445">
        <v>0.25700000000000001</v>
      </c>
      <c r="AC33" s="445">
        <v>0.26300000000000001</v>
      </c>
      <c r="AD33" s="445">
        <v>0.26300000000000001</v>
      </c>
      <c r="AE33" s="445">
        <v>0.25700000000000001</v>
      </c>
      <c r="AF33" s="445">
        <v>0.26300000000000001</v>
      </c>
      <c r="AG33" s="445">
        <v>0.26300000000000001</v>
      </c>
      <c r="AH33" s="445">
        <v>0.26300000000000001</v>
      </c>
      <c r="AI33" s="446">
        <v>0.26300000000000001</v>
      </c>
      <c r="AJ33" s="446">
        <v>0.26300000000000001</v>
      </c>
      <c r="AK33" s="446">
        <v>0.26300000000000001</v>
      </c>
      <c r="AL33" s="445">
        <v>0.26300000000000001</v>
      </c>
      <c r="AM33" s="312">
        <v>6.9672448481415003E-2</v>
      </c>
      <c r="AN33" s="312"/>
      <c r="AO33" s="313">
        <f t="shared" si="5"/>
        <v>0.25700000000000001</v>
      </c>
      <c r="AP33" s="313">
        <f t="shared" si="6"/>
        <v>0.25700000000000001</v>
      </c>
      <c r="AQ33" s="316">
        <f t="shared" si="7"/>
        <v>0.25700000000000001</v>
      </c>
      <c r="AR33" s="315">
        <f t="shared" si="8"/>
        <v>37165</v>
      </c>
      <c r="AS33" s="313">
        <f t="shared" si="2"/>
        <v>0.90489135956443278</v>
      </c>
      <c r="AT33" s="313">
        <f t="shared" si="3"/>
        <v>0.90506104750419725</v>
      </c>
      <c r="AV33" s="315">
        <f t="shared" si="9"/>
        <v>37165</v>
      </c>
      <c r="AW33" s="298">
        <v>21</v>
      </c>
    </row>
    <row r="34" spans="2:49" x14ac:dyDescent="0.25">
      <c r="B34" s="303">
        <f t="shared" si="4"/>
        <v>37196</v>
      </c>
      <c r="C34" s="301">
        <v>2.9420000000000002</v>
      </c>
      <c r="D34" s="301">
        <v>0.26400000000000001</v>
      </c>
      <c r="E34" s="301">
        <v>6.9180473626196004E-2</v>
      </c>
      <c r="F34" s="301">
        <v>-0.12</v>
      </c>
      <c r="G34" s="301">
        <v>-3.2500000000000001E-2</v>
      </c>
      <c r="H34" s="301">
        <v>-0.12</v>
      </c>
      <c r="I34" s="301">
        <v>9.5000000000000001E-2</v>
      </c>
      <c r="J34" s="301">
        <v>0.22750000000000001</v>
      </c>
      <c r="K34" s="301">
        <v>-6.6500000000000004E-2</v>
      </c>
      <c r="L34" s="301">
        <v>-2.75E-2</v>
      </c>
      <c r="M34" s="301">
        <v>-0.23499999999999999</v>
      </c>
      <c r="N34" s="301">
        <v>7.4999999999999997E-3</v>
      </c>
      <c r="O34" s="301">
        <v>-5.0000000000000001E-3</v>
      </c>
      <c r="P34" s="298">
        <v>-2.8000000000000001E-2</v>
      </c>
      <c r="Q34" s="298">
        <v>-6.25E-2</v>
      </c>
      <c r="R34" s="298">
        <v>-4.2500000000000003E-2</v>
      </c>
      <c r="S34" s="298">
        <v>-8.7499999999999994E-2</v>
      </c>
      <c r="T34" s="298">
        <v>-0.155</v>
      </c>
      <c r="U34" s="298">
        <v>0.71250000000000002</v>
      </c>
      <c r="V34" s="298">
        <v>5.0000000000000001E-3</v>
      </c>
      <c r="W34" s="298">
        <v>-0.20250000000000001</v>
      </c>
      <c r="X34" s="298">
        <v>-2.1499999999999998E-2</v>
      </c>
      <c r="Y34" s="313">
        <v>7.4999999999999997E-2</v>
      </c>
      <c r="Z34" s="313">
        <v>1.4500000000000001E-2</v>
      </c>
      <c r="AA34" s="445">
        <v>0.26400000000000001</v>
      </c>
      <c r="AB34" s="445">
        <v>0.28999999999999998</v>
      </c>
      <c r="AC34" s="445">
        <v>0.26400000000000001</v>
      </c>
      <c r="AD34" s="445">
        <v>0.26400000000000001</v>
      </c>
      <c r="AE34" s="445">
        <v>0.26400000000000001</v>
      </c>
      <c r="AF34" s="445">
        <v>0.26400000000000001</v>
      </c>
      <c r="AG34" s="445">
        <v>0.26400000000000001</v>
      </c>
      <c r="AH34" s="445">
        <v>0.26400000000000001</v>
      </c>
      <c r="AI34" s="446">
        <v>0.26400000000000001</v>
      </c>
      <c r="AJ34" s="446">
        <v>0.26400000000000001</v>
      </c>
      <c r="AK34" s="446">
        <v>0.26400000000000001</v>
      </c>
      <c r="AL34" s="445">
        <v>0.26400000000000001</v>
      </c>
      <c r="AM34" s="312">
        <v>6.9839496181280006E-2</v>
      </c>
      <c r="AN34" s="312"/>
      <c r="AO34" s="313">
        <f t="shared" si="5"/>
        <v>0.28999999999999998</v>
      </c>
      <c r="AP34" s="313">
        <f t="shared" si="6"/>
        <v>0.28999999999999998</v>
      </c>
      <c r="AQ34" s="316">
        <f t="shared" si="7"/>
        <v>0.28999999999999998</v>
      </c>
      <c r="AR34" s="315">
        <f t="shared" si="8"/>
        <v>37196</v>
      </c>
      <c r="AS34" s="313">
        <f t="shared" si="2"/>
        <v>0.89942257220960464</v>
      </c>
      <c r="AT34" s="313">
        <f t="shared" si="3"/>
        <v>0.8995916321894124</v>
      </c>
      <c r="AV34" s="315">
        <f t="shared" si="9"/>
        <v>37196</v>
      </c>
      <c r="AW34" s="298">
        <v>22</v>
      </c>
    </row>
    <row r="35" spans="2:49" x14ac:dyDescent="0.25">
      <c r="B35" s="303">
        <f t="shared" si="4"/>
        <v>37226</v>
      </c>
      <c r="C35" s="301">
        <v>3.044</v>
      </c>
      <c r="D35" s="301">
        <v>0.26900000000000002</v>
      </c>
      <c r="E35" s="301">
        <v>6.9312487465989003E-2</v>
      </c>
      <c r="F35" s="301">
        <v>-0.1225</v>
      </c>
      <c r="G35" s="301">
        <v>-5.5E-2</v>
      </c>
      <c r="H35" s="301">
        <v>-0.1225</v>
      </c>
      <c r="I35" s="301">
        <v>0.13500000000000001</v>
      </c>
      <c r="J35" s="301">
        <v>0.28499999999999998</v>
      </c>
      <c r="K35" s="301">
        <v>-6.6500000000000004E-2</v>
      </c>
      <c r="L35" s="301">
        <v>-2.75E-2</v>
      </c>
      <c r="M35" s="301">
        <v>-0.23499999999999999</v>
      </c>
      <c r="N35" s="301">
        <v>7.4999999999999997E-3</v>
      </c>
      <c r="O35" s="301">
        <v>-5.0000000000000001E-3</v>
      </c>
      <c r="P35" s="298">
        <v>-2.5499999999999998E-2</v>
      </c>
      <c r="Q35" s="298">
        <v>-6.25E-2</v>
      </c>
      <c r="R35" s="298">
        <v>-4.2500000000000003E-2</v>
      </c>
      <c r="S35" s="298">
        <v>-0.10249999999999999</v>
      </c>
      <c r="T35" s="298">
        <v>-0.155</v>
      </c>
      <c r="U35" s="298">
        <v>1.2</v>
      </c>
      <c r="V35" s="298">
        <v>5.0000000000000001E-3</v>
      </c>
      <c r="W35" s="298">
        <v>-0.20250000000000001</v>
      </c>
      <c r="X35" s="298">
        <v>-2.1499999999999998E-2</v>
      </c>
      <c r="Y35" s="313">
        <v>7.4999999999999997E-2</v>
      </c>
      <c r="Z35" s="313">
        <v>1.4500000000000001E-2</v>
      </c>
      <c r="AA35" s="445">
        <v>0.26900000000000002</v>
      </c>
      <c r="AB35" s="445">
        <v>0.29599999999999999</v>
      </c>
      <c r="AC35" s="445">
        <v>0.26900000000000002</v>
      </c>
      <c r="AD35" s="445">
        <v>0.26900000000000002</v>
      </c>
      <c r="AE35" s="445">
        <v>0.26900000000000002</v>
      </c>
      <c r="AF35" s="445">
        <v>0.26900000000000002</v>
      </c>
      <c r="AG35" s="445">
        <v>0.26900000000000002</v>
      </c>
      <c r="AH35" s="445">
        <v>0.26900000000000002</v>
      </c>
      <c r="AI35" s="446">
        <v>0.26900000000000002</v>
      </c>
      <c r="AJ35" s="446">
        <v>0.26900000000000002</v>
      </c>
      <c r="AK35" s="446">
        <v>0.26900000000000002</v>
      </c>
      <c r="AL35" s="445">
        <v>0.26900000000000002</v>
      </c>
      <c r="AM35" s="312">
        <v>7.0001155254449998E-2</v>
      </c>
      <c r="AN35" s="312"/>
      <c r="AO35" s="313">
        <f t="shared" si="5"/>
        <v>0.29599999999999999</v>
      </c>
      <c r="AP35" s="313">
        <f t="shared" si="6"/>
        <v>0.29599999999999999</v>
      </c>
      <c r="AQ35" s="316">
        <f t="shared" si="7"/>
        <v>0.29599999999999999</v>
      </c>
      <c r="AR35" s="315">
        <f t="shared" si="8"/>
        <v>37226</v>
      </c>
      <c r="AS35" s="313">
        <f t="shared" si="2"/>
        <v>0.89413835934222241</v>
      </c>
      <c r="AT35" s="313">
        <f t="shared" si="3"/>
        <v>0.89430680852310807</v>
      </c>
      <c r="AV35" s="315">
        <f t="shared" si="9"/>
        <v>37226</v>
      </c>
      <c r="AW35" s="298">
        <v>23</v>
      </c>
    </row>
    <row r="36" spans="2:49" x14ac:dyDescent="0.25">
      <c r="B36" s="303">
        <f t="shared" si="4"/>
        <v>37257</v>
      </c>
      <c r="C36" s="301">
        <v>3.0640000000000001</v>
      </c>
      <c r="D36" s="301">
        <v>0.27150000000000002</v>
      </c>
      <c r="E36" s="301">
        <v>6.9444274797342997E-2</v>
      </c>
      <c r="F36" s="301">
        <v>-0.125</v>
      </c>
      <c r="G36" s="301">
        <v>-5.7500000000000002E-2</v>
      </c>
      <c r="H36" s="301">
        <v>-0.125</v>
      </c>
      <c r="I36" s="301">
        <v>0.14749999999999999</v>
      </c>
      <c r="J36" s="301">
        <v>0.34</v>
      </c>
      <c r="K36" s="301">
        <v>-7.0499999999999993E-2</v>
      </c>
      <c r="L36" s="301">
        <v>-2.5499999999999998E-2</v>
      </c>
      <c r="M36" s="301">
        <v>-0.23499999999999999</v>
      </c>
      <c r="N36" s="301">
        <v>7.4999999999999997E-3</v>
      </c>
      <c r="O36" s="301">
        <v>-5.0000000000000001E-3</v>
      </c>
      <c r="P36" s="298">
        <v>-2.5499999999999998E-2</v>
      </c>
      <c r="Q36" s="298">
        <v>-6.25E-2</v>
      </c>
      <c r="R36" s="298">
        <v>-4.2500000000000003E-2</v>
      </c>
      <c r="S36" s="298">
        <v>-0.1125</v>
      </c>
      <c r="T36" s="298">
        <v>-0.155</v>
      </c>
      <c r="U36" s="298">
        <v>1.4450000000000001</v>
      </c>
      <c r="V36" s="298">
        <v>5.0000000000000001E-3</v>
      </c>
      <c r="W36" s="298">
        <v>-0.20250000000000001</v>
      </c>
      <c r="X36" s="298">
        <v>-2.1499999999999998E-2</v>
      </c>
      <c r="Y36" s="313">
        <v>7.4999999999999997E-2</v>
      </c>
      <c r="Z36" s="313">
        <v>1.4500000000000001E-2</v>
      </c>
      <c r="AA36" s="445">
        <v>0.27200000000000002</v>
      </c>
      <c r="AB36" s="445">
        <v>0.27200000000000002</v>
      </c>
      <c r="AC36" s="445">
        <v>0.27200000000000002</v>
      </c>
      <c r="AD36" s="445">
        <v>0.27200000000000002</v>
      </c>
      <c r="AE36" s="445">
        <v>0.27200000000000002</v>
      </c>
      <c r="AF36" s="445">
        <v>0.27200000000000002</v>
      </c>
      <c r="AG36" s="445">
        <v>0.27200000000000002</v>
      </c>
      <c r="AH36" s="445">
        <v>0.27200000000000002</v>
      </c>
      <c r="AI36" s="446">
        <v>0.27200000000000002</v>
      </c>
      <c r="AJ36" s="446">
        <v>0.27200000000000002</v>
      </c>
      <c r="AK36" s="446">
        <v>0.27200000000000002</v>
      </c>
      <c r="AL36" s="445">
        <v>0.27200000000000002</v>
      </c>
      <c r="AM36" s="312">
        <v>7.0157483229356998E-2</v>
      </c>
      <c r="AN36" s="312"/>
      <c r="AO36" s="313">
        <f t="shared" si="5"/>
        <v>0.27200000000000002</v>
      </c>
      <c r="AP36" s="313">
        <f t="shared" si="6"/>
        <v>0.27200000000000002</v>
      </c>
      <c r="AQ36" s="316">
        <f t="shared" si="7"/>
        <v>0.27200000000000002</v>
      </c>
      <c r="AR36" s="315">
        <f t="shared" si="8"/>
        <v>37257</v>
      </c>
      <c r="AS36" s="313">
        <f t="shared" si="2"/>
        <v>0.88870243142452143</v>
      </c>
      <c r="AT36" s="313">
        <f t="shared" si="3"/>
        <v>0.88887022407560634</v>
      </c>
      <c r="AV36" s="315">
        <f t="shared" si="9"/>
        <v>37257</v>
      </c>
      <c r="AW36" s="298">
        <v>24</v>
      </c>
    </row>
    <row r="37" spans="2:49" x14ac:dyDescent="0.25">
      <c r="B37" s="303">
        <f t="shared" si="4"/>
        <v>37288</v>
      </c>
      <c r="C37" s="301">
        <v>2.9449999999999998</v>
      </c>
      <c r="D37" s="301">
        <v>0.26650000000000001</v>
      </c>
      <c r="E37" s="301">
        <v>6.9569655552267004E-2</v>
      </c>
      <c r="F37" s="301">
        <v>-0.1275</v>
      </c>
      <c r="G37" s="301">
        <v>-0.04</v>
      </c>
      <c r="H37" s="301">
        <v>-0.1275</v>
      </c>
      <c r="I37" s="301">
        <v>0.125</v>
      </c>
      <c r="J37" s="301">
        <v>0.33750000000000002</v>
      </c>
      <c r="K37" s="301">
        <v>-6.6500000000000004E-2</v>
      </c>
      <c r="L37" s="301">
        <v>-2.5499999999999998E-2</v>
      </c>
      <c r="M37" s="301">
        <v>-0.23499999999999999</v>
      </c>
      <c r="N37" s="301">
        <v>7.4999999999999997E-3</v>
      </c>
      <c r="O37" s="301">
        <v>-5.0000000000000001E-3</v>
      </c>
      <c r="P37" s="298">
        <v>-2.5499999999999998E-2</v>
      </c>
      <c r="Q37" s="298">
        <v>-6.25E-2</v>
      </c>
      <c r="R37" s="298">
        <v>-4.2500000000000003E-2</v>
      </c>
      <c r="S37" s="298">
        <v>-0.1</v>
      </c>
      <c r="T37" s="298">
        <v>-0.155</v>
      </c>
      <c r="U37" s="298">
        <v>1.42</v>
      </c>
      <c r="V37" s="298">
        <v>5.0000000000000001E-3</v>
      </c>
      <c r="W37" s="298">
        <v>-0.20250000000000001</v>
      </c>
      <c r="X37" s="298">
        <v>-2.1499999999999998E-2</v>
      </c>
      <c r="Y37" s="313">
        <v>7.4999999999999997E-2</v>
      </c>
      <c r="Z37" s="313">
        <v>1.4500000000000001E-2</v>
      </c>
      <c r="AA37" s="445">
        <v>0.26700000000000002</v>
      </c>
      <c r="AB37" s="445">
        <v>0.29299999999999998</v>
      </c>
      <c r="AC37" s="445">
        <v>0.26700000000000002</v>
      </c>
      <c r="AD37" s="445">
        <v>0.26700000000000002</v>
      </c>
      <c r="AE37" s="445">
        <v>0.26700000000000002</v>
      </c>
      <c r="AF37" s="445">
        <v>0.26700000000000002</v>
      </c>
      <c r="AG37" s="445">
        <v>0.26700000000000002</v>
      </c>
      <c r="AH37" s="445">
        <v>0.26700000000000002</v>
      </c>
      <c r="AI37" s="446">
        <v>0.26700000000000002</v>
      </c>
      <c r="AJ37" s="446">
        <v>0.26700000000000002</v>
      </c>
      <c r="AK37" s="446">
        <v>0.26700000000000002</v>
      </c>
      <c r="AL37" s="445">
        <v>0.26700000000000002</v>
      </c>
      <c r="AM37" s="312">
        <v>7.0298968490405997E-2</v>
      </c>
      <c r="AN37" s="312"/>
      <c r="AO37" s="313">
        <f t="shared" si="5"/>
        <v>0.29299999999999998</v>
      </c>
      <c r="AP37" s="313">
        <f t="shared" si="6"/>
        <v>0.29299999999999998</v>
      </c>
      <c r="AQ37" s="316">
        <f t="shared" si="7"/>
        <v>0.29299999999999998</v>
      </c>
      <c r="AR37" s="315">
        <f t="shared" si="8"/>
        <v>37288</v>
      </c>
      <c r="AS37" s="313">
        <f t="shared" si="2"/>
        <v>0.88329967085237271</v>
      </c>
      <c r="AT37" s="313">
        <f t="shared" si="3"/>
        <v>0.88346677404327512</v>
      </c>
      <c r="AV37" s="315">
        <f t="shared" si="9"/>
        <v>37288</v>
      </c>
      <c r="AW37" s="298">
        <v>25</v>
      </c>
    </row>
    <row r="38" spans="2:49" x14ac:dyDescent="0.25">
      <c r="B38" s="303">
        <f t="shared" si="4"/>
        <v>37316</v>
      </c>
      <c r="C38" s="301">
        <v>2.8069999999999999</v>
      </c>
      <c r="D38" s="301">
        <v>0.24399999999999999</v>
      </c>
      <c r="E38" s="301">
        <v>6.9682902690216E-2</v>
      </c>
      <c r="F38" s="301">
        <v>-0.13</v>
      </c>
      <c r="G38" s="301">
        <v>-2.75E-2</v>
      </c>
      <c r="H38" s="301">
        <v>-0.13</v>
      </c>
      <c r="I38" s="301">
        <v>0.1225</v>
      </c>
      <c r="J38" s="301">
        <v>0.2475</v>
      </c>
      <c r="K38" s="301">
        <v>-6.8000000000000005E-2</v>
      </c>
      <c r="L38" s="301">
        <v>-2.5499999999999998E-2</v>
      </c>
      <c r="M38" s="301">
        <v>-0.23499999999999999</v>
      </c>
      <c r="N38" s="301">
        <v>7.4999999999999997E-3</v>
      </c>
      <c r="O38" s="301">
        <v>-5.0000000000000001E-3</v>
      </c>
      <c r="P38" s="298">
        <v>-2.5499999999999998E-2</v>
      </c>
      <c r="Q38" s="298">
        <v>-6.25E-2</v>
      </c>
      <c r="R38" s="298">
        <v>-4.2500000000000003E-2</v>
      </c>
      <c r="S38" s="298">
        <v>-8.7499999999999994E-2</v>
      </c>
      <c r="T38" s="298">
        <v>-0.155</v>
      </c>
      <c r="U38" s="298">
        <v>0.875</v>
      </c>
      <c r="V38" s="298">
        <v>5.0000000000000001E-3</v>
      </c>
      <c r="W38" s="298">
        <v>-0.20250000000000001</v>
      </c>
      <c r="X38" s="298">
        <v>-2.1499999999999998E-2</v>
      </c>
      <c r="Y38" s="313">
        <v>7.4999999999999997E-2</v>
      </c>
      <c r="Z38" s="313">
        <v>1.4500000000000001E-2</v>
      </c>
      <c r="AA38" s="445">
        <v>0.24399999999999999</v>
      </c>
      <c r="AB38" s="445">
        <v>0.26800000000000002</v>
      </c>
      <c r="AC38" s="445">
        <v>0.24399999999999999</v>
      </c>
      <c r="AD38" s="445">
        <v>0.24399999999999999</v>
      </c>
      <c r="AE38" s="445">
        <v>0.24399999999999999</v>
      </c>
      <c r="AF38" s="445">
        <v>0.24399999999999999</v>
      </c>
      <c r="AG38" s="445">
        <v>0.24399999999999999</v>
      </c>
      <c r="AH38" s="445">
        <v>0.24399999999999999</v>
      </c>
      <c r="AI38" s="446">
        <v>0.24399999999999999</v>
      </c>
      <c r="AJ38" s="446">
        <v>0.24399999999999999</v>
      </c>
      <c r="AK38" s="446">
        <v>0.24399999999999999</v>
      </c>
      <c r="AL38" s="445">
        <v>0.24399999999999999</v>
      </c>
      <c r="AM38" s="312">
        <v>7.0426761635106E-2</v>
      </c>
      <c r="AN38" s="312"/>
      <c r="AO38" s="313">
        <f t="shared" si="5"/>
        <v>0.26800000000000002</v>
      </c>
      <c r="AP38" s="313">
        <f t="shared" si="6"/>
        <v>0.26800000000000002</v>
      </c>
      <c r="AQ38" s="316">
        <f t="shared" si="7"/>
        <v>0.26800000000000002</v>
      </c>
      <c r="AR38" s="315">
        <f t="shared" si="8"/>
        <v>37316</v>
      </c>
      <c r="AS38" s="313">
        <f t="shared" si="2"/>
        <v>0.87843048984261163</v>
      </c>
      <c r="AT38" s="313">
        <f t="shared" si="3"/>
        <v>0.8785969688336619</v>
      </c>
      <c r="AV38" s="315">
        <f t="shared" si="9"/>
        <v>37316</v>
      </c>
      <c r="AW38" s="298">
        <v>26</v>
      </c>
    </row>
    <row r="39" spans="2:49" x14ac:dyDescent="0.25">
      <c r="B39" s="303">
        <f t="shared" si="4"/>
        <v>37347</v>
      </c>
      <c r="C39" s="301">
        <v>2.71</v>
      </c>
      <c r="D39" s="301">
        <v>0.21299999999999999</v>
      </c>
      <c r="E39" s="301">
        <v>6.9787178345320999E-2</v>
      </c>
      <c r="F39" s="301">
        <v>-0.12</v>
      </c>
      <c r="G39" s="301">
        <v>1.4999999999999999E-2</v>
      </c>
      <c r="H39" s="301">
        <v>-0.12</v>
      </c>
      <c r="I39" s="301">
        <v>6.25E-2</v>
      </c>
      <c r="J39" s="301">
        <v>0.17</v>
      </c>
      <c r="K39" s="301">
        <v>-7.8E-2</v>
      </c>
      <c r="L39" s="301">
        <v>-2.8000000000000001E-2</v>
      </c>
      <c r="M39" s="301">
        <v>-0.29249999999999998</v>
      </c>
      <c r="N39" s="301">
        <v>6.0000000000000001E-3</v>
      </c>
      <c r="O39" s="301">
        <v>-7.4999999999999997E-3</v>
      </c>
      <c r="P39" s="298">
        <v>-2.75E-2</v>
      </c>
      <c r="Q39" s="298">
        <v>-0.06</v>
      </c>
      <c r="R39" s="298">
        <v>-2.52E-2</v>
      </c>
      <c r="S39" s="298">
        <v>-7.0000000000000007E-2</v>
      </c>
      <c r="T39" s="298">
        <v>-0.1125</v>
      </c>
      <c r="U39" s="298">
        <v>0.37</v>
      </c>
      <c r="V39" s="298">
        <v>6.0000000000000001E-3</v>
      </c>
      <c r="W39" s="298">
        <v>-0.18</v>
      </c>
      <c r="X39" s="298">
        <v>-2.1499999999999998E-2</v>
      </c>
      <c r="Y39" s="313">
        <v>0.18</v>
      </c>
      <c r="Z39" s="313">
        <v>7.0000000000000001E-3</v>
      </c>
      <c r="AA39" s="445">
        <v>0.21299999999999999</v>
      </c>
      <c r="AB39" s="445">
        <v>0.20899999999999999</v>
      </c>
      <c r="AC39" s="445">
        <v>0.21299999999999999</v>
      </c>
      <c r="AD39" s="445">
        <v>0.21299999999999999</v>
      </c>
      <c r="AE39" s="445">
        <v>0.20899999999999999</v>
      </c>
      <c r="AF39" s="445">
        <v>0.21299999999999999</v>
      </c>
      <c r="AG39" s="445">
        <v>0.21299999999999999</v>
      </c>
      <c r="AH39" s="445">
        <v>0.21299999999999999</v>
      </c>
      <c r="AI39" s="446">
        <v>0.21299999999999999</v>
      </c>
      <c r="AJ39" s="446">
        <v>0.21299999999999999</v>
      </c>
      <c r="AK39" s="446">
        <v>0.21299999999999999</v>
      </c>
      <c r="AL39" s="445">
        <v>0.21299999999999999</v>
      </c>
      <c r="AM39" s="312">
        <v>7.0544040739159999E-2</v>
      </c>
      <c r="AN39" s="312"/>
      <c r="AO39" s="313">
        <f t="shared" si="5"/>
        <v>0.20899999999999999</v>
      </c>
      <c r="AP39" s="313">
        <f t="shared" si="6"/>
        <v>0.20899999999999999</v>
      </c>
      <c r="AQ39" s="316">
        <f t="shared" si="7"/>
        <v>0.20899999999999999</v>
      </c>
      <c r="AR39" s="315">
        <f t="shared" si="8"/>
        <v>37347</v>
      </c>
      <c r="AS39" s="313">
        <f t="shared" si="2"/>
        <v>0.873091614583419</v>
      </c>
      <c r="AT39" s="313">
        <f t="shared" si="3"/>
        <v>0.87325735260883874</v>
      </c>
      <c r="AV39" s="315">
        <f t="shared" si="9"/>
        <v>37347</v>
      </c>
      <c r="AW39" s="298">
        <v>27</v>
      </c>
    </row>
    <row r="40" spans="2:49" x14ac:dyDescent="0.25">
      <c r="B40" s="303">
        <f t="shared" si="4"/>
        <v>37377</v>
      </c>
      <c r="C40" s="301">
        <v>2.6819999999999999</v>
      </c>
      <c r="D40" s="301">
        <v>0.21</v>
      </c>
      <c r="E40" s="301">
        <v>6.9857016283218998E-2</v>
      </c>
      <c r="F40" s="301">
        <v>-0.12</v>
      </c>
      <c r="G40" s="301">
        <v>1.4999999999999999E-2</v>
      </c>
      <c r="H40" s="301">
        <v>-0.12</v>
      </c>
      <c r="I40" s="301">
        <v>5.2499999999999998E-2</v>
      </c>
      <c r="J40" s="301">
        <v>0.155</v>
      </c>
      <c r="K40" s="301">
        <v>-6.0499999999999998E-2</v>
      </c>
      <c r="L40" s="301">
        <v>-2.8000000000000001E-2</v>
      </c>
      <c r="M40" s="301">
        <v>-0.29249999999999998</v>
      </c>
      <c r="N40" s="301">
        <v>6.0000000000000001E-3</v>
      </c>
      <c r="O40" s="301">
        <v>-7.4999999999999997E-3</v>
      </c>
      <c r="P40" s="298">
        <v>-2.75E-2</v>
      </c>
      <c r="Q40" s="298">
        <v>-0.06</v>
      </c>
      <c r="R40" s="298">
        <v>-2.545E-2</v>
      </c>
      <c r="S40" s="298">
        <v>-7.2499999999999995E-2</v>
      </c>
      <c r="T40" s="298">
        <v>-0.1125</v>
      </c>
      <c r="U40" s="298">
        <v>0.2525</v>
      </c>
      <c r="V40" s="298">
        <v>6.0000000000000001E-3</v>
      </c>
      <c r="W40" s="298">
        <v>-0.18</v>
      </c>
      <c r="X40" s="298">
        <v>-1.7999999999999999E-2</v>
      </c>
      <c r="Y40" s="313">
        <v>0.18</v>
      </c>
      <c r="Z40" s="313">
        <v>7.0000000000000001E-3</v>
      </c>
      <c r="AA40" s="445">
        <v>0.21</v>
      </c>
      <c r="AB40" s="445">
        <v>0.20599999999999999</v>
      </c>
      <c r="AC40" s="445">
        <v>0.21</v>
      </c>
      <c r="AD40" s="445">
        <v>0.21</v>
      </c>
      <c r="AE40" s="445">
        <v>0.20599999999999999</v>
      </c>
      <c r="AF40" s="445">
        <v>0.21</v>
      </c>
      <c r="AG40" s="445">
        <v>0.21</v>
      </c>
      <c r="AH40" s="445">
        <v>0.21</v>
      </c>
      <c r="AI40" s="446">
        <v>0.21</v>
      </c>
      <c r="AJ40" s="446">
        <v>0.21</v>
      </c>
      <c r="AK40" s="446">
        <v>0.21</v>
      </c>
      <c r="AL40" s="445">
        <v>0.21</v>
      </c>
      <c r="AM40" s="312">
        <v>7.0622178627959997E-2</v>
      </c>
      <c r="AN40" s="312"/>
      <c r="AO40" s="313">
        <f t="shared" si="5"/>
        <v>0.20599999999999999</v>
      </c>
      <c r="AP40" s="313">
        <f t="shared" si="6"/>
        <v>0.20599999999999999</v>
      </c>
      <c r="AQ40" s="316">
        <f t="shared" si="7"/>
        <v>0.20599999999999999</v>
      </c>
      <c r="AR40" s="315">
        <f t="shared" si="8"/>
        <v>37377</v>
      </c>
      <c r="AS40" s="313">
        <f t="shared" si="2"/>
        <v>0.86800043956482575</v>
      </c>
      <c r="AT40" s="313">
        <f t="shared" si="3"/>
        <v>0.86816539053342279</v>
      </c>
      <c r="AV40" s="315">
        <f t="shared" si="9"/>
        <v>37377</v>
      </c>
      <c r="AW40" s="298">
        <v>28</v>
      </c>
    </row>
    <row r="41" spans="2:49" x14ac:dyDescent="0.25">
      <c r="B41" s="303">
        <f t="shared" si="4"/>
        <v>37408</v>
      </c>
      <c r="C41" s="301">
        <v>2.6840000000000002</v>
      </c>
      <c r="D41" s="301">
        <v>0.20899999999999999</v>
      </c>
      <c r="E41" s="301">
        <v>6.9929182154074995E-2</v>
      </c>
      <c r="F41" s="301">
        <v>-0.12</v>
      </c>
      <c r="G41" s="301">
        <v>0.02</v>
      </c>
      <c r="H41" s="301">
        <v>-0.12</v>
      </c>
      <c r="I41" s="301">
        <v>4.7500000000000001E-2</v>
      </c>
      <c r="J41" s="301">
        <v>0.155</v>
      </c>
      <c r="K41" s="301">
        <v>-5.5500000000000001E-2</v>
      </c>
      <c r="L41" s="301">
        <v>-2.8000000000000001E-2</v>
      </c>
      <c r="M41" s="301">
        <v>-0.29249999999999998</v>
      </c>
      <c r="N41" s="301">
        <v>6.0000000000000001E-3</v>
      </c>
      <c r="O41" s="301">
        <v>-7.4999999999999997E-3</v>
      </c>
      <c r="P41" s="298">
        <v>-2.5000000000000001E-2</v>
      </c>
      <c r="Q41" s="298">
        <v>-0.06</v>
      </c>
      <c r="R41" s="298">
        <v>-2.545E-2</v>
      </c>
      <c r="S41" s="298">
        <v>-6.5000000000000002E-2</v>
      </c>
      <c r="T41" s="298">
        <v>-0.1125</v>
      </c>
      <c r="U41" s="298">
        <v>0.2525</v>
      </c>
      <c r="V41" s="298">
        <v>6.0000000000000001E-3</v>
      </c>
      <c r="W41" s="298">
        <v>-0.18</v>
      </c>
      <c r="X41" s="298">
        <v>-2.0500000000000001E-2</v>
      </c>
      <c r="Y41" s="313">
        <v>0.18</v>
      </c>
      <c r="Z41" s="313">
        <v>7.0000000000000001E-3</v>
      </c>
      <c r="AA41" s="445">
        <v>0.20899999999999999</v>
      </c>
      <c r="AB41" s="445">
        <v>0.20499999999999999</v>
      </c>
      <c r="AC41" s="445">
        <v>0.20899999999999999</v>
      </c>
      <c r="AD41" s="445">
        <v>0.20899999999999999</v>
      </c>
      <c r="AE41" s="445">
        <v>0.20499999999999999</v>
      </c>
      <c r="AF41" s="445">
        <v>0.20899999999999999</v>
      </c>
      <c r="AG41" s="445">
        <v>0.20899999999999999</v>
      </c>
      <c r="AH41" s="445">
        <v>0.20899999999999999</v>
      </c>
      <c r="AI41" s="446">
        <v>0.20899999999999999</v>
      </c>
      <c r="AJ41" s="446">
        <v>0.20899999999999999</v>
      </c>
      <c r="AK41" s="446">
        <v>0.20899999999999999</v>
      </c>
      <c r="AL41" s="445">
        <v>0.20899999999999999</v>
      </c>
      <c r="AM41" s="312">
        <v>7.0702921115172998E-2</v>
      </c>
      <c r="AN41" s="312"/>
      <c r="AO41" s="313">
        <f t="shared" si="5"/>
        <v>0.20499999999999999</v>
      </c>
      <c r="AP41" s="313">
        <f t="shared" si="6"/>
        <v>0.20499999999999999</v>
      </c>
      <c r="AQ41" s="316">
        <f t="shared" si="7"/>
        <v>0.20499999999999999</v>
      </c>
      <c r="AR41" s="315">
        <f t="shared" si="8"/>
        <v>37408</v>
      </c>
      <c r="AS41" s="313">
        <f t="shared" si="2"/>
        <v>0.86275951317493416</v>
      </c>
      <c r="AT41" s="313">
        <f t="shared" si="3"/>
        <v>0.86292365242993019</v>
      </c>
      <c r="AV41" s="315">
        <f t="shared" si="9"/>
        <v>37408</v>
      </c>
      <c r="AW41" s="298">
        <v>29</v>
      </c>
    </row>
    <row r="42" spans="2:49" x14ac:dyDescent="0.25">
      <c r="B42" s="303">
        <f t="shared" si="4"/>
        <v>37438</v>
      </c>
      <c r="C42" s="301">
        <v>2.6840000000000002</v>
      </c>
      <c r="D42" s="301">
        <v>0.20799999999999999</v>
      </c>
      <c r="E42" s="301">
        <v>6.9991549758777E-2</v>
      </c>
      <c r="F42" s="301">
        <v>-0.12</v>
      </c>
      <c r="G42" s="301">
        <v>2.2499999999999999E-2</v>
      </c>
      <c r="H42" s="301">
        <v>-0.12</v>
      </c>
      <c r="I42" s="301">
        <v>3.7499999999999999E-2</v>
      </c>
      <c r="J42" s="301">
        <v>0.155</v>
      </c>
      <c r="K42" s="301">
        <v>-5.5500000000000001E-2</v>
      </c>
      <c r="L42" s="301">
        <v>-2.8000000000000001E-2</v>
      </c>
      <c r="M42" s="301">
        <v>-0.29249999999999998</v>
      </c>
      <c r="N42" s="301">
        <v>6.0000000000000001E-3</v>
      </c>
      <c r="O42" s="301">
        <v>-7.4999999999999997E-3</v>
      </c>
      <c r="P42" s="298">
        <v>-2.5000000000000001E-2</v>
      </c>
      <c r="Q42" s="298">
        <v>-0.06</v>
      </c>
      <c r="R42" s="298">
        <v>-2.545E-2</v>
      </c>
      <c r="S42" s="298">
        <v>-6.5000000000000002E-2</v>
      </c>
      <c r="T42" s="298">
        <v>-0.1125</v>
      </c>
      <c r="U42" s="298">
        <v>0.25750000000000001</v>
      </c>
      <c r="V42" s="298">
        <v>6.0000000000000001E-3</v>
      </c>
      <c r="W42" s="298">
        <v>-0.18</v>
      </c>
      <c r="X42" s="298">
        <v>-2.0500000000000001E-2</v>
      </c>
      <c r="Y42" s="313">
        <v>0.18</v>
      </c>
      <c r="Z42" s="313">
        <v>7.0000000000000001E-3</v>
      </c>
      <c r="AA42" s="445">
        <v>0.20799999999999999</v>
      </c>
      <c r="AB42" s="445">
        <v>0.20399999999999999</v>
      </c>
      <c r="AC42" s="445">
        <v>0.20799999999999999</v>
      </c>
      <c r="AD42" s="445">
        <v>0.20799999999999999</v>
      </c>
      <c r="AE42" s="445">
        <v>0.20399999999999999</v>
      </c>
      <c r="AF42" s="445">
        <v>0.20799999999999999</v>
      </c>
      <c r="AG42" s="445">
        <v>0.20799999999999999</v>
      </c>
      <c r="AH42" s="445">
        <v>0.20799999999999999</v>
      </c>
      <c r="AI42" s="446">
        <v>0.20799999999999999</v>
      </c>
      <c r="AJ42" s="446">
        <v>0.20799999999999999</v>
      </c>
      <c r="AK42" s="446">
        <v>0.20799999999999999</v>
      </c>
      <c r="AL42" s="445">
        <v>0.20799999999999999</v>
      </c>
      <c r="AM42" s="312">
        <v>7.0772972634964001E-2</v>
      </c>
      <c r="AN42" s="312"/>
      <c r="AO42" s="313">
        <f t="shared" si="5"/>
        <v>0.20399999999999999</v>
      </c>
      <c r="AP42" s="313">
        <f t="shared" si="6"/>
        <v>0.20399999999999999</v>
      </c>
      <c r="AQ42" s="316">
        <f t="shared" si="7"/>
        <v>0.20399999999999999</v>
      </c>
      <c r="AR42" s="315">
        <f t="shared" si="8"/>
        <v>37438</v>
      </c>
      <c r="AS42" s="313">
        <f t="shared" si="2"/>
        <v>0.85772175721465349</v>
      </c>
      <c r="AT42" s="313">
        <f t="shared" si="3"/>
        <v>0.85788509695458903</v>
      </c>
      <c r="AV42" s="315">
        <f t="shared" si="9"/>
        <v>37438</v>
      </c>
      <c r="AW42" s="298">
        <v>30</v>
      </c>
    </row>
    <row r="43" spans="2:49" x14ac:dyDescent="0.25">
      <c r="B43" s="303">
        <f t="shared" si="4"/>
        <v>37469</v>
      </c>
      <c r="C43" s="301">
        <v>2.6869999999999998</v>
      </c>
      <c r="D43" s="301">
        <v>0.20699999999999999</v>
      </c>
      <c r="E43" s="301">
        <v>7.0043681864710994E-2</v>
      </c>
      <c r="F43" s="301">
        <v>-0.12</v>
      </c>
      <c r="G43" s="301">
        <v>2.5000000000000001E-2</v>
      </c>
      <c r="H43" s="301">
        <v>-0.12</v>
      </c>
      <c r="I43" s="301">
        <v>3.5000000000000003E-2</v>
      </c>
      <c r="J43" s="301">
        <v>0.155</v>
      </c>
      <c r="K43" s="301">
        <v>-5.5500000000000001E-2</v>
      </c>
      <c r="L43" s="301">
        <v>-2.8000000000000001E-2</v>
      </c>
      <c r="M43" s="301">
        <v>-0.29249999999999998</v>
      </c>
      <c r="N43" s="301">
        <v>6.0000000000000001E-3</v>
      </c>
      <c r="O43" s="301">
        <v>-7.4999999999999997E-3</v>
      </c>
      <c r="P43" s="298">
        <v>-2.5000000000000001E-2</v>
      </c>
      <c r="Q43" s="298">
        <v>-0.06</v>
      </c>
      <c r="R43" s="298">
        <v>-2.545E-2</v>
      </c>
      <c r="S43" s="298">
        <v>-6.5000000000000002E-2</v>
      </c>
      <c r="T43" s="298">
        <v>-0.1125</v>
      </c>
      <c r="U43" s="298">
        <v>0.25750000000000001</v>
      </c>
      <c r="V43" s="298">
        <v>6.0000000000000001E-3</v>
      </c>
      <c r="W43" s="298">
        <v>-0.18</v>
      </c>
      <c r="X43" s="298">
        <v>-2.0500000000000001E-2</v>
      </c>
      <c r="Y43" s="313">
        <v>0.18</v>
      </c>
      <c r="Z43" s="313">
        <v>7.0000000000000001E-3</v>
      </c>
      <c r="AA43" s="445">
        <v>0.20699999999999999</v>
      </c>
      <c r="AB43" s="445">
        <v>0.20300000000000001</v>
      </c>
      <c r="AC43" s="445">
        <v>0.20699999999999999</v>
      </c>
      <c r="AD43" s="445">
        <v>0.20699999999999999</v>
      </c>
      <c r="AE43" s="445">
        <v>0.20300000000000001</v>
      </c>
      <c r="AF43" s="445">
        <v>0.20699999999999999</v>
      </c>
      <c r="AG43" s="445">
        <v>0.20699999999999999</v>
      </c>
      <c r="AH43" s="445">
        <v>0.20699999999999999</v>
      </c>
      <c r="AI43" s="446">
        <v>0.20699999999999999</v>
      </c>
      <c r="AJ43" s="446">
        <v>0.20699999999999999</v>
      </c>
      <c r="AK43" s="446">
        <v>0.20699999999999999</v>
      </c>
      <c r="AL43" s="445">
        <v>0.20699999999999999</v>
      </c>
      <c r="AM43" s="312">
        <v>7.0832031380218999E-2</v>
      </c>
      <c r="AN43" s="312"/>
      <c r="AO43" s="313">
        <f t="shared" si="5"/>
        <v>0.20300000000000001</v>
      </c>
      <c r="AP43" s="313">
        <f t="shared" si="6"/>
        <v>0.20300000000000001</v>
      </c>
      <c r="AQ43" s="316">
        <f t="shared" si="7"/>
        <v>0.20300000000000001</v>
      </c>
      <c r="AR43" s="315">
        <f t="shared" si="8"/>
        <v>37469</v>
      </c>
      <c r="AS43" s="313">
        <f t="shared" si="2"/>
        <v>0.85256217515621224</v>
      </c>
      <c r="AT43" s="313">
        <f t="shared" si="3"/>
        <v>0.85272466550039128</v>
      </c>
      <c r="AV43" s="315">
        <f t="shared" si="9"/>
        <v>37469</v>
      </c>
      <c r="AW43" s="298">
        <v>31</v>
      </c>
    </row>
    <row r="44" spans="2:49" x14ac:dyDescent="0.25">
      <c r="B44" s="303">
        <f t="shared" si="4"/>
        <v>37500</v>
      </c>
      <c r="C44" s="301">
        <v>2.6909999999999998</v>
      </c>
      <c r="D44" s="301">
        <v>0.20599999999999999</v>
      </c>
      <c r="E44" s="301">
        <v>7.0095813971545004E-2</v>
      </c>
      <c r="F44" s="301">
        <v>-0.12</v>
      </c>
      <c r="G44" s="301">
        <v>1.7500000000000002E-2</v>
      </c>
      <c r="H44" s="301">
        <v>-0.12</v>
      </c>
      <c r="I44" s="301">
        <v>3.2500000000000001E-2</v>
      </c>
      <c r="J44" s="301">
        <v>0.155</v>
      </c>
      <c r="K44" s="301">
        <v>-5.8000000000000003E-2</v>
      </c>
      <c r="L44" s="301">
        <v>-2.8000000000000001E-2</v>
      </c>
      <c r="M44" s="301">
        <v>-0.29249999999999998</v>
      </c>
      <c r="N44" s="301">
        <v>6.0000000000000001E-3</v>
      </c>
      <c r="O44" s="301">
        <v>-7.4999999999999997E-3</v>
      </c>
      <c r="P44" s="298">
        <v>-2.5000000000000001E-2</v>
      </c>
      <c r="Q44" s="298">
        <v>-0.06</v>
      </c>
      <c r="R44" s="298">
        <v>-2.2749999999999999E-2</v>
      </c>
      <c r="S44" s="298">
        <v>-7.0000000000000007E-2</v>
      </c>
      <c r="T44" s="298">
        <v>-0.1125</v>
      </c>
      <c r="U44" s="298">
        <v>0.2525</v>
      </c>
      <c r="V44" s="298">
        <v>6.0000000000000001E-3</v>
      </c>
      <c r="W44" s="298">
        <v>-0.18</v>
      </c>
      <c r="X44" s="298">
        <v>-2.3E-2</v>
      </c>
      <c r="Y44" s="313">
        <v>0.18</v>
      </c>
      <c r="Z44" s="313">
        <v>7.0000000000000001E-3</v>
      </c>
      <c r="AA44" s="445">
        <v>0.20599999999999999</v>
      </c>
      <c r="AB44" s="445">
        <v>0.20200000000000001</v>
      </c>
      <c r="AC44" s="445">
        <v>0.20599999999999999</v>
      </c>
      <c r="AD44" s="445">
        <v>0.20599999999999999</v>
      </c>
      <c r="AE44" s="445">
        <v>0.20200000000000001</v>
      </c>
      <c r="AF44" s="445">
        <v>0.20599999999999999</v>
      </c>
      <c r="AG44" s="445">
        <v>0.20599999999999999</v>
      </c>
      <c r="AH44" s="445">
        <v>0.20599999999999999</v>
      </c>
      <c r="AI44" s="446">
        <v>0.20599999999999999</v>
      </c>
      <c r="AJ44" s="446">
        <v>0.20599999999999999</v>
      </c>
      <c r="AK44" s="446">
        <v>0.20599999999999999</v>
      </c>
      <c r="AL44" s="445">
        <v>0.20599999999999999</v>
      </c>
      <c r="AM44" s="312">
        <v>7.0891090126628004E-2</v>
      </c>
      <c r="AN44" s="312"/>
      <c r="AO44" s="313">
        <f t="shared" si="5"/>
        <v>0.20200000000000001</v>
      </c>
      <c r="AP44" s="313">
        <f t="shared" si="6"/>
        <v>0.20200000000000001</v>
      </c>
      <c r="AQ44" s="316">
        <f t="shared" si="7"/>
        <v>0.20200000000000001</v>
      </c>
      <c r="AR44" s="315">
        <f t="shared" si="8"/>
        <v>37500</v>
      </c>
      <c r="AS44" s="313">
        <f t="shared" si="2"/>
        <v>0.84742542853983649</v>
      </c>
      <c r="AT44" s="313">
        <f t="shared" si="3"/>
        <v>0.84758707222848995</v>
      </c>
      <c r="AV44" s="315">
        <f t="shared" si="9"/>
        <v>37500</v>
      </c>
      <c r="AW44" s="298">
        <v>32</v>
      </c>
    </row>
    <row r="45" spans="2:49" x14ac:dyDescent="0.25">
      <c r="B45" s="303">
        <f t="shared" si="4"/>
        <v>37530</v>
      </c>
      <c r="C45" s="301">
        <v>2.718</v>
      </c>
      <c r="D45" s="301">
        <v>0.20699999999999999</v>
      </c>
      <c r="E45" s="301">
        <v>7.0141757223221995E-2</v>
      </c>
      <c r="F45" s="301">
        <v>-0.12</v>
      </c>
      <c r="G45" s="301">
        <v>7.4999999999999997E-3</v>
      </c>
      <c r="H45" s="301">
        <v>-0.12</v>
      </c>
      <c r="I45" s="301">
        <v>4.7500000000000001E-2</v>
      </c>
      <c r="J45" s="301">
        <v>0.1575</v>
      </c>
      <c r="K45" s="301">
        <v>-5.8000000000000003E-2</v>
      </c>
      <c r="L45" s="301">
        <v>-2.8000000000000001E-2</v>
      </c>
      <c r="M45" s="301">
        <v>-0.29249999999999998</v>
      </c>
      <c r="N45" s="301">
        <v>6.0000000000000001E-3</v>
      </c>
      <c r="O45" s="301">
        <v>-7.4999999999999997E-3</v>
      </c>
      <c r="P45" s="298">
        <v>-2.5000000000000001E-2</v>
      </c>
      <c r="Q45" s="298">
        <v>-0.06</v>
      </c>
      <c r="R45" s="298">
        <v>-2.2749999999999999E-2</v>
      </c>
      <c r="S45" s="298">
        <v>-7.0000000000000007E-2</v>
      </c>
      <c r="T45" s="298">
        <v>-0.1125</v>
      </c>
      <c r="U45" s="298">
        <v>0.255</v>
      </c>
      <c r="V45" s="298">
        <v>6.0000000000000001E-3</v>
      </c>
      <c r="W45" s="298">
        <v>-0.18</v>
      </c>
      <c r="X45" s="298">
        <v>-2.3E-2</v>
      </c>
      <c r="Y45" s="313">
        <v>0.18</v>
      </c>
      <c r="Z45" s="313">
        <v>7.0000000000000001E-3</v>
      </c>
      <c r="AA45" s="445">
        <v>0.20699999999999999</v>
      </c>
      <c r="AB45" s="445">
        <v>0.20300000000000001</v>
      </c>
      <c r="AC45" s="445">
        <v>0.20699999999999999</v>
      </c>
      <c r="AD45" s="445">
        <v>0.20699999999999999</v>
      </c>
      <c r="AE45" s="445">
        <v>0.20300000000000001</v>
      </c>
      <c r="AF45" s="445">
        <v>0.20699999999999999</v>
      </c>
      <c r="AG45" s="445">
        <v>0.20699999999999999</v>
      </c>
      <c r="AH45" s="445">
        <v>0.20699999999999999</v>
      </c>
      <c r="AI45" s="446">
        <v>0.20699999999999999</v>
      </c>
      <c r="AJ45" s="446">
        <v>0.20699999999999999</v>
      </c>
      <c r="AK45" s="446">
        <v>0.20699999999999999</v>
      </c>
      <c r="AL45" s="445">
        <v>0.20699999999999999</v>
      </c>
      <c r="AM45" s="312">
        <v>7.0939885012366005E-2</v>
      </c>
      <c r="AN45" s="312"/>
      <c r="AO45" s="313">
        <f t="shared" si="5"/>
        <v>0.20300000000000001</v>
      </c>
      <c r="AP45" s="313">
        <f t="shared" si="6"/>
        <v>0.20300000000000001</v>
      </c>
      <c r="AQ45" s="316">
        <f t="shared" si="7"/>
        <v>0.20300000000000001</v>
      </c>
      <c r="AR45" s="315">
        <f t="shared" si="8"/>
        <v>37530</v>
      </c>
      <c r="AS45" s="313">
        <f t="shared" si="2"/>
        <v>0.84249281046897906</v>
      </c>
      <c r="AT45" s="313">
        <f t="shared" si="3"/>
        <v>0.84265362199434746</v>
      </c>
      <c r="AV45" s="315">
        <f t="shared" si="9"/>
        <v>37530</v>
      </c>
      <c r="AW45" s="298">
        <v>33</v>
      </c>
    </row>
    <row r="46" spans="2:49" x14ac:dyDescent="0.25">
      <c r="B46" s="303">
        <f t="shared" si="4"/>
        <v>37561</v>
      </c>
      <c r="C46" s="301">
        <v>2.851</v>
      </c>
      <c r="D46" s="301">
        <v>0.20749999999999999</v>
      </c>
      <c r="E46" s="301">
        <v>7.0182757081794001E-2</v>
      </c>
      <c r="F46" s="301">
        <v>-0.125</v>
      </c>
      <c r="G46" s="301">
        <v>-3.2500000000000001E-2</v>
      </c>
      <c r="H46" s="301">
        <v>-0.125</v>
      </c>
      <c r="I46" s="301">
        <v>0.1075</v>
      </c>
      <c r="J46" s="301">
        <v>0.24</v>
      </c>
      <c r="K46" s="301">
        <v>-6.4500000000000002E-2</v>
      </c>
      <c r="L46" s="301">
        <v>-2.5499999999999998E-2</v>
      </c>
      <c r="M46" s="301">
        <v>-0.24249999999999999</v>
      </c>
      <c r="N46" s="301">
        <v>7.4999999999999997E-3</v>
      </c>
      <c r="O46" s="301">
        <v>-3.0000000000000001E-3</v>
      </c>
      <c r="P46" s="298">
        <v>-2.8000000000000001E-2</v>
      </c>
      <c r="Q46" s="298">
        <v>-0.06</v>
      </c>
      <c r="R46" s="298">
        <v>-4.2500000000000003E-2</v>
      </c>
      <c r="S46" s="298">
        <v>-8.5000000000000006E-2</v>
      </c>
      <c r="T46" s="298">
        <v>-0.1525</v>
      </c>
      <c r="U46" s="298">
        <v>0.72</v>
      </c>
      <c r="V46" s="298">
        <v>6.0000000000000001E-3</v>
      </c>
      <c r="W46" s="298">
        <v>-0.1925</v>
      </c>
      <c r="X46" s="298">
        <v>-2.0500000000000001E-2</v>
      </c>
      <c r="Y46" s="313">
        <v>8.5000000000000006E-2</v>
      </c>
      <c r="Z46" s="313">
        <v>1.6500000000000001E-2</v>
      </c>
      <c r="AA46" s="445">
        <v>0.20799999999999999</v>
      </c>
      <c r="AB46" s="445">
        <v>0.22800000000000001</v>
      </c>
      <c r="AC46" s="445">
        <v>0.20799999999999999</v>
      </c>
      <c r="AD46" s="445">
        <v>0.20799999999999999</v>
      </c>
      <c r="AE46" s="445">
        <v>0.20799999999999999</v>
      </c>
      <c r="AF46" s="445">
        <v>0.20799999999999999</v>
      </c>
      <c r="AG46" s="445">
        <v>0.20799999999999999</v>
      </c>
      <c r="AH46" s="445">
        <v>0.20799999999999999</v>
      </c>
      <c r="AI46" s="446">
        <v>0.20799999999999999</v>
      </c>
      <c r="AJ46" s="446">
        <v>0.20799999999999999</v>
      </c>
      <c r="AK46" s="446">
        <v>0.20799999999999999</v>
      </c>
      <c r="AL46" s="445">
        <v>0.20799999999999999</v>
      </c>
      <c r="AM46" s="312">
        <v>7.0978298251152996E-2</v>
      </c>
      <c r="AN46" s="312"/>
      <c r="AO46" s="313">
        <f t="shared" si="5"/>
        <v>0.22800000000000001</v>
      </c>
      <c r="AP46" s="313">
        <f t="shared" si="6"/>
        <v>0.22800000000000001</v>
      </c>
      <c r="AQ46" s="316">
        <f t="shared" si="7"/>
        <v>0.22800000000000001</v>
      </c>
      <c r="AR46" s="315">
        <f t="shared" si="8"/>
        <v>37561</v>
      </c>
      <c r="AS46" s="313">
        <f t="shared" si="2"/>
        <v>0.83744382527060424</v>
      </c>
      <c r="AT46" s="313">
        <f t="shared" si="3"/>
        <v>0.8376037581388881</v>
      </c>
      <c r="AV46" s="315">
        <f t="shared" si="9"/>
        <v>37561</v>
      </c>
      <c r="AW46" s="298">
        <v>34</v>
      </c>
    </row>
    <row r="47" spans="2:49" x14ac:dyDescent="0.25">
      <c r="B47" s="303">
        <f t="shared" si="4"/>
        <v>37591</v>
      </c>
      <c r="C47" s="301">
        <v>2.9740000000000002</v>
      </c>
      <c r="D47" s="301">
        <v>0.21</v>
      </c>
      <c r="E47" s="301">
        <v>7.0222434364812E-2</v>
      </c>
      <c r="F47" s="301">
        <v>-0.1275</v>
      </c>
      <c r="G47" s="301">
        <v>-5.5E-2</v>
      </c>
      <c r="H47" s="301">
        <v>-0.1275</v>
      </c>
      <c r="I47" s="301">
        <v>0.14749999999999999</v>
      </c>
      <c r="J47" s="301">
        <v>0.29499999999999998</v>
      </c>
      <c r="K47" s="301">
        <v>-6.4500000000000002E-2</v>
      </c>
      <c r="L47" s="301">
        <v>-2.5499999999999998E-2</v>
      </c>
      <c r="M47" s="301">
        <v>-0.24249999999999999</v>
      </c>
      <c r="N47" s="301">
        <v>7.4999999999999997E-3</v>
      </c>
      <c r="O47" s="301">
        <v>-3.0000000000000001E-3</v>
      </c>
      <c r="P47" s="298">
        <v>-2.8000000000000001E-2</v>
      </c>
      <c r="Q47" s="298">
        <v>-0.06</v>
      </c>
      <c r="R47" s="298">
        <v>-4.2500000000000003E-2</v>
      </c>
      <c r="S47" s="298">
        <v>-0.1</v>
      </c>
      <c r="T47" s="298">
        <v>-0.1525</v>
      </c>
      <c r="U47" s="298">
        <v>1.1625000000000001</v>
      </c>
      <c r="V47" s="298">
        <v>6.0000000000000001E-3</v>
      </c>
      <c r="W47" s="298">
        <v>-0.1925</v>
      </c>
      <c r="X47" s="298">
        <v>-2.0500000000000001E-2</v>
      </c>
      <c r="Y47" s="313">
        <v>8.5000000000000006E-2</v>
      </c>
      <c r="Z47" s="313">
        <v>1.6500000000000001E-2</v>
      </c>
      <c r="AA47" s="445">
        <v>0.21</v>
      </c>
      <c r="AB47" s="445">
        <v>0.23100000000000001</v>
      </c>
      <c r="AC47" s="445">
        <v>0.21</v>
      </c>
      <c r="AD47" s="445">
        <v>0.21</v>
      </c>
      <c r="AE47" s="445">
        <v>0.21</v>
      </c>
      <c r="AF47" s="445">
        <v>0.21</v>
      </c>
      <c r="AG47" s="445">
        <v>0.21</v>
      </c>
      <c r="AH47" s="445">
        <v>0.21</v>
      </c>
      <c r="AI47" s="446">
        <v>0.21</v>
      </c>
      <c r="AJ47" s="446">
        <v>0.21</v>
      </c>
      <c r="AK47" s="446">
        <v>0.21</v>
      </c>
      <c r="AL47" s="445">
        <v>0.21</v>
      </c>
      <c r="AM47" s="312">
        <v>7.1015472353670006E-2</v>
      </c>
      <c r="AN47" s="312"/>
      <c r="AO47" s="313">
        <f t="shared" si="5"/>
        <v>0.23100000000000001</v>
      </c>
      <c r="AP47" s="313">
        <f t="shared" si="6"/>
        <v>0.23100000000000001</v>
      </c>
      <c r="AQ47" s="316">
        <f t="shared" si="7"/>
        <v>0.23100000000000001</v>
      </c>
      <c r="AR47" s="315">
        <f t="shared" si="8"/>
        <v>37591</v>
      </c>
      <c r="AS47" s="313">
        <f t="shared" si="2"/>
        <v>0.83258153170802751</v>
      </c>
      <c r="AT47" s="313">
        <f t="shared" si="3"/>
        <v>0.83274061783645625</v>
      </c>
      <c r="AV47" s="315">
        <f t="shared" si="9"/>
        <v>37591</v>
      </c>
      <c r="AW47" s="298">
        <v>35</v>
      </c>
    </row>
    <row r="48" spans="2:49" x14ac:dyDescent="0.25">
      <c r="B48" s="303">
        <f t="shared" si="4"/>
        <v>37622</v>
      </c>
      <c r="C48" s="301">
        <v>3.004</v>
      </c>
      <c r="D48" s="301">
        <v>0.21299999999999999</v>
      </c>
      <c r="E48" s="301">
        <v>7.0266370345830997E-2</v>
      </c>
      <c r="F48" s="301">
        <v>-0.13</v>
      </c>
      <c r="G48" s="301">
        <v>-5.7500000000000002E-2</v>
      </c>
      <c r="H48" s="301">
        <v>-0.13</v>
      </c>
      <c r="I48" s="301">
        <v>0.16</v>
      </c>
      <c r="J48" s="301">
        <v>0.34250000000000003</v>
      </c>
      <c r="K48" s="301">
        <v>-6.8500000000000005E-2</v>
      </c>
      <c r="L48" s="301">
        <v>-2.35E-2</v>
      </c>
      <c r="M48" s="301">
        <v>-0.24249999999999999</v>
      </c>
      <c r="N48" s="301">
        <v>7.4999999999999997E-3</v>
      </c>
      <c r="O48" s="301">
        <v>-3.0000000000000001E-3</v>
      </c>
      <c r="P48" s="298">
        <v>-2.5499999999999998E-2</v>
      </c>
      <c r="Q48" s="298">
        <v>-0.06</v>
      </c>
      <c r="R48" s="298">
        <v>-4.2500000000000003E-2</v>
      </c>
      <c r="S48" s="298">
        <v>-0.11</v>
      </c>
      <c r="T48" s="298">
        <v>-0.1525</v>
      </c>
      <c r="U48" s="298">
        <v>1.39</v>
      </c>
      <c r="V48" s="298">
        <v>5.0000000000000001E-3</v>
      </c>
      <c r="W48" s="298">
        <v>-0.1925</v>
      </c>
      <c r="X48" s="298">
        <v>-2.0500000000000001E-2</v>
      </c>
      <c r="Y48" s="313">
        <v>8.5000000000000006E-2</v>
      </c>
      <c r="Z48" s="313">
        <v>1.6500000000000001E-2</v>
      </c>
      <c r="AA48" s="445">
        <v>0.21299999999999999</v>
      </c>
      <c r="AB48" s="445">
        <v>0.21299999999999999</v>
      </c>
      <c r="AC48" s="445">
        <v>0.21299999999999999</v>
      </c>
      <c r="AD48" s="445">
        <v>0.21299999999999999</v>
      </c>
      <c r="AE48" s="445">
        <v>0.21299999999999999</v>
      </c>
      <c r="AF48" s="445">
        <v>0.21299999999999999</v>
      </c>
      <c r="AG48" s="445">
        <v>0.21299999999999999</v>
      </c>
      <c r="AH48" s="445">
        <v>0.21299999999999999</v>
      </c>
      <c r="AI48" s="446">
        <v>0.21299999999999999</v>
      </c>
      <c r="AJ48" s="446">
        <v>0.21299999999999999</v>
      </c>
      <c r="AK48" s="446">
        <v>0.21299999999999999</v>
      </c>
      <c r="AL48" s="445">
        <v>0.21299999999999999</v>
      </c>
      <c r="AM48" s="312">
        <v>7.1054325431098006E-2</v>
      </c>
      <c r="AN48" s="312"/>
      <c r="AO48" s="313">
        <f t="shared" si="5"/>
        <v>0.21299999999999999</v>
      </c>
      <c r="AP48" s="313">
        <f t="shared" si="6"/>
        <v>0.21299999999999999</v>
      </c>
      <c r="AQ48" s="316">
        <f t="shared" si="7"/>
        <v>0.21299999999999999</v>
      </c>
      <c r="AR48" s="315">
        <f t="shared" si="8"/>
        <v>37622</v>
      </c>
      <c r="AS48" s="313">
        <f t="shared" si="2"/>
        <v>0.82758073955363121</v>
      </c>
      <c r="AT48" s="313">
        <f t="shared" si="3"/>
        <v>0.82773895518182006</v>
      </c>
      <c r="AV48" s="315">
        <f t="shared" si="9"/>
        <v>37622</v>
      </c>
      <c r="AW48" s="298">
        <v>36</v>
      </c>
    </row>
    <row r="49" spans="2:49" x14ac:dyDescent="0.25">
      <c r="B49" s="303">
        <f t="shared" si="4"/>
        <v>37653</v>
      </c>
      <c r="C49" s="301">
        <v>2.891</v>
      </c>
      <c r="D49" s="301">
        <v>0.21</v>
      </c>
      <c r="E49" s="301">
        <v>7.0313871617756998E-2</v>
      </c>
      <c r="F49" s="301">
        <v>-0.13250000000000001</v>
      </c>
      <c r="G49" s="301">
        <v>-0.04</v>
      </c>
      <c r="H49" s="301">
        <v>-0.13250000000000001</v>
      </c>
      <c r="I49" s="301">
        <v>0.13750000000000001</v>
      </c>
      <c r="J49" s="301">
        <v>0.33750000000000002</v>
      </c>
      <c r="K49" s="301">
        <v>-6.4500000000000002E-2</v>
      </c>
      <c r="L49" s="301">
        <v>-2.35E-2</v>
      </c>
      <c r="M49" s="301">
        <v>-0.24249999999999999</v>
      </c>
      <c r="N49" s="301">
        <v>7.4999999999999997E-3</v>
      </c>
      <c r="O49" s="301">
        <v>-3.0000000000000001E-3</v>
      </c>
      <c r="P49" s="298">
        <v>-2.5499999999999998E-2</v>
      </c>
      <c r="Q49" s="298">
        <v>-0.06</v>
      </c>
      <c r="R49" s="298">
        <v>-4.2500000000000003E-2</v>
      </c>
      <c r="S49" s="298">
        <v>-9.7500000000000003E-2</v>
      </c>
      <c r="T49" s="298">
        <v>-0.1525</v>
      </c>
      <c r="U49" s="298">
        <v>1.37</v>
      </c>
      <c r="V49" s="298">
        <v>5.0000000000000001E-3</v>
      </c>
      <c r="W49" s="298">
        <v>-0.1925</v>
      </c>
      <c r="X49" s="298">
        <v>-2.0500000000000001E-2</v>
      </c>
      <c r="Y49" s="313">
        <v>8.5000000000000006E-2</v>
      </c>
      <c r="Z49" s="313">
        <v>1.6500000000000001E-2</v>
      </c>
      <c r="AA49" s="445">
        <v>0.21</v>
      </c>
      <c r="AB49" s="445">
        <v>0.23100000000000001</v>
      </c>
      <c r="AC49" s="445">
        <v>0.21</v>
      </c>
      <c r="AD49" s="445">
        <v>0.21</v>
      </c>
      <c r="AE49" s="445">
        <v>0.21</v>
      </c>
      <c r="AF49" s="445">
        <v>0.21</v>
      </c>
      <c r="AG49" s="445">
        <v>0.21</v>
      </c>
      <c r="AH49" s="445">
        <v>0.21</v>
      </c>
      <c r="AI49" s="446">
        <v>0.21</v>
      </c>
      <c r="AJ49" s="446">
        <v>0.21</v>
      </c>
      <c r="AK49" s="446">
        <v>0.21</v>
      </c>
      <c r="AL49" s="445">
        <v>0.21</v>
      </c>
      <c r="AM49" s="312">
        <v>7.1093712597645006E-2</v>
      </c>
      <c r="AN49" s="312"/>
      <c r="AO49" s="313">
        <f t="shared" si="5"/>
        <v>0.23100000000000001</v>
      </c>
      <c r="AP49" s="313">
        <f t="shared" si="6"/>
        <v>0.23100000000000001</v>
      </c>
      <c r="AQ49" s="316">
        <f t="shared" si="7"/>
        <v>0.23100000000000001</v>
      </c>
      <c r="AR49" s="315">
        <f t="shared" si="8"/>
        <v>37653</v>
      </c>
      <c r="AS49" s="313">
        <f t="shared" si="2"/>
        <v>0.82260356049635075</v>
      </c>
      <c r="AT49" s="313">
        <f t="shared" si="3"/>
        <v>0.82276091027364151</v>
      </c>
      <c r="AV49" s="315">
        <f t="shared" si="9"/>
        <v>37653</v>
      </c>
      <c r="AW49" s="298">
        <v>37</v>
      </c>
    </row>
    <row r="50" spans="2:49" x14ac:dyDescent="0.25">
      <c r="B50" s="303">
        <f t="shared" si="4"/>
        <v>37681</v>
      </c>
      <c r="C50" s="301">
        <v>2.7759999999999998</v>
      </c>
      <c r="D50" s="301">
        <v>0.2</v>
      </c>
      <c r="E50" s="301">
        <v>7.0356775993041007E-2</v>
      </c>
      <c r="F50" s="301">
        <v>-0.13500000000000001</v>
      </c>
      <c r="G50" s="301">
        <v>-2.75E-2</v>
      </c>
      <c r="H50" s="301">
        <v>-0.13500000000000001</v>
      </c>
      <c r="I50" s="301">
        <v>0.13500000000000001</v>
      </c>
      <c r="J50" s="301">
        <v>0.26</v>
      </c>
      <c r="K50" s="301">
        <v>-6.6000000000000003E-2</v>
      </c>
      <c r="L50" s="301">
        <v>-2.35E-2</v>
      </c>
      <c r="M50" s="301">
        <v>-0.24249999999999999</v>
      </c>
      <c r="N50" s="301">
        <v>7.4999999999999997E-3</v>
      </c>
      <c r="O50" s="301">
        <v>-3.0000000000000001E-3</v>
      </c>
      <c r="P50" s="298">
        <v>-2.5499999999999998E-2</v>
      </c>
      <c r="Q50" s="298">
        <v>-0.06</v>
      </c>
      <c r="R50" s="298">
        <v>-4.2500000000000003E-2</v>
      </c>
      <c r="S50" s="298">
        <v>-8.5000000000000006E-2</v>
      </c>
      <c r="T50" s="298">
        <v>-0.1525</v>
      </c>
      <c r="U50" s="298">
        <v>0.85750000000000004</v>
      </c>
      <c r="V50" s="298">
        <v>5.0000000000000001E-3</v>
      </c>
      <c r="W50" s="298">
        <v>-0.1925</v>
      </c>
      <c r="X50" s="298">
        <v>-2.0500000000000001E-2</v>
      </c>
      <c r="Y50" s="313">
        <v>8.5000000000000006E-2</v>
      </c>
      <c r="Z50" s="313">
        <v>1.6500000000000001E-2</v>
      </c>
      <c r="AA50" s="445">
        <v>0.2</v>
      </c>
      <c r="AB50" s="445">
        <v>0.22</v>
      </c>
      <c r="AC50" s="445">
        <v>0.2</v>
      </c>
      <c r="AD50" s="445">
        <v>0.2</v>
      </c>
      <c r="AE50" s="445">
        <v>0.2</v>
      </c>
      <c r="AF50" s="445">
        <v>0.2</v>
      </c>
      <c r="AG50" s="445">
        <v>0.2</v>
      </c>
      <c r="AH50" s="445">
        <v>0.2</v>
      </c>
      <c r="AI50" s="446">
        <v>0.2</v>
      </c>
      <c r="AJ50" s="446">
        <v>0.2</v>
      </c>
      <c r="AK50" s="446">
        <v>0.2</v>
      </c>
      <c r="AL50" s="445">
        <v>0.2</v>
      </c>
      <c r="AM50" s="312">
        <v>7.1129288103354005E-2</v>
      </c>
      <c r="AN50" s="312"/>
      <c r="AO50" s="313">
        <f t="shared" si="5"/>
        <v>0.22</v>
      </c>
      <c r="AP50" s="313">
        <f t="shared" si="6"/>
        <v>0.22</v>
      </c>
      <c r="AQ50" s="316">
        <f t="shared" si="7"/>
        <v>0.22</v>
      </c>
      <c r="AR50" s="315">
        <f t="shared" si="8"/>
        <v>37681</v>
      </c>
      <c r="AS50" s="313">
        <f t="shared" si="2"/>
        <v>0.81812923863850451</v>
      </c>
      <c r="AT50" s="313">
        <f t="shared" si="3"/>
        <v>0.81828580952055696</v>
      </c>
      <c r="AV50" s="315">
        <f t="shared" si="9"/>
        <v>37681</v>
      </c>
      <c r="AW50" s="298">
        <v>38</v>
      </c>
    </row>
    <row r="51" spans="2:49" x14ac:dyDescent="0.25">
      <c r="B51" s="303">
        <f t="shared" si="4"/>
        <v>37712</v>
      </c>
      <c r="C51" s="301">
        <v>2.6760000000000002</v>
      </c>
      <c r="D51" s="301">
        <v>0.19800000000000001</v>
      </c>
      <c r="E51" s="301">
        <v>7.0394496325910993E-2</v>
      </c>
      <c r="F51" s="301">
        <v>-0.19500000000000001</v>
      </c>
      <c r="G51" s="301">
        <v>1.4999999999999999E-2</v>
      </c>
      <c r="H51" s="301">
        <v>-0.19500000000000001</v>
      </c>
      <c r="I51" s="301">
        <v>5.7500000000000002E-2</v>
      </c>
      <c r="J51" s="301">
        <v>0.17</v>
      </c>
      <c r="K51" s="301">
        <v>-7.5999999999999998E-2</v>
      </c>
      <c r="L51" s="301">
        <v>-2.5999999999999999E-2</v>
      </c>
      <c r="M51" s="301">
        <v>-0.29249999999999998</v>
      </c>
      <c r="N51" s="301">
        <v>6.0000000000000001E-3</v>
      </c>
      <c r="O51" s="301">
        <v>-5.4999999999999997E-3</v>
      </c>
      <c r="P51" s="298">
        <v>-2.75E-2</v>
      </c>
      <c r="Q51" s="298">
        <v>-5.7500000000000002E-2</v>
      </c>
      <c r="R51" s="298">
        <v>-2.2700000000000001E-2</v>
      </c>
      <c r="S51" s="298">
        <v>-6.7500000000000004E-2</v>
      </c>
      <c r="T51" s="298">
        <v>-0.11</v>
      </c>
      <c r="U51" s="298">
        <v>0.37</v>
      </c>
      <c r="V51" s="298">
        <v>5.0000000000000001E-3</v>
      </c>
      <c r="W51" s="298">
        <v>-0.17</v>
      </c>
      <c r="X51" s="298">
        <v>-2.0500000000000001E-2</v>
      </c>
      <c r="Y51" s="313">
        <v>0.19</v>
      </c>
      <c r="Z51" s="313">
        <v>8.9999999999999993E-3</v>
      </c>
      <c r="AA51" s="445">
        <v>0.19800000000000001</v>
      </c>
      <c r="AB51" s="445">
        <v>0.19400000000000001</v>
      </c>
      <c r="AC51" s="445">
        <v>0.19800000000000001</v>
      </c>
      <c r="AD51" s="445">
        <v>0.19800000000000001</v>
      </c>
      <c r="AE51" s="445">
        <v>0.19400000000000001</v>
      </c>
      <c r="AF51" s="445">
        <v>0.19800000000000001</v>
      </c>
      <c r="AG51" s="445">
        <v>0.19800000000000001</v>
      </c>
      <c r="AH51" s="445">
        <v>0.19800000000000001</v>
      </c>
      <c r="AI51" s="446">
        <v>0.19800000000000001</v>
      </c>
      <c r="AJ51" s="446">
        <v>0.19800000000000001</v>
      </c>
      <c r="AK51" s="446">
        <v>0.19800000000000001</v>
      </c>
      <c r="AL51" s="445">
        <v>0.19800000000000001</v>
      </c>
      <c r="AM51" s="312">
        <v>7.1157629247845994E-2</v>
      </c>
      <c r="AN51" s="312"/>
      <c r="AO51" s="313">
        <f t="shared" si="5"/>
        <v>0.19400000000000001</v>
      </c>
      <c r="AP51" s="313">
        <f t="shared" si="6"/>
        <v>0.19400000000000001</v>
      </c>
      <c r="AQ51" s="316">
        <f t="shared" si="7"/>
        <v>0.19400000000000001</v>
      </c>
      <c r="AR51" s="315">
        <f t="shared" si="8"/>
        <v>37712</v>
      </c>
      <c r="AS51" s="313">
        <f t="shared" si="2"/>
        <v>0.81322456116757913</v>
      </c>
      <c r="AT51" s="313">
        <f t="shared" si="3"/>
        <v>0.81338025435394457</v>
      </c>
      <c r="AV51" s="315">
        <f t="shared" si="9"/>
        <v>37712</v>
      </c>
      <c r="AW51" s="298">
        <v>39</v>
      </c>
    </row>
    <row r="52" spans="2:49" x14ac:dyDescent="0.25">
      <c r="B52" s="303">
        <f t="shared" si="4"/>
        <v>37742</v>
      </c>
      <c r="C52" s="301">
        <v>2.7069999999999999</v>
      </c>
      <c r="D52" s="301">
        <v>0.19700000000000001</v>
      </c>
      <c r="E52" s="301">
        <v>7.0418094032817E-2</v>
      </c>
      <c r="F52" s="301">
        <v>-0.19500000000000001</v>
      </c>
      <c r="G52" s="301">
        <v>1.4999999999999999E-2</v>
      </c>
      <c r="H52" s="301">
        <v>-0.19500000000000001</v>
      </c>
      <c r="I52" s="301">
        <v>4.7500000000000001E-2</v>
      </c>
      <c r="J52" s="301">
        <v>0.155</v>
      </c>
      <c r="K52" s="301">
        <v>-5.8500000000000003E-2</v>
      </c>
      <c r="L52" s="301">
        <v>-2.5999999999999999E-2</v>
      </c>
      <c r="M52" s="301">
        <v>-0.29249999999999998</v>
      </c>
      <c r="N52" s="301">
        <v>6.0000000000000001E-3</v>
      </c>
      <c r="O52" s="301">
        <v>-5.4999999999999997E-3</v>
      </c>
      <c r="P52" s="298">
        <v>-2.75E-2</v>
      </c>
      <c r="Q52" s="298">
        <v>-5.7500000000000002E-2</v>
      </c>
      <c r="R52" s="298">
        <v>-2.2950000000000002E-2</v>
      </c>
      <c r="S52" s="298">
        <v>-7.0000000000000007E-2</v>
      </c>
      <c r="T52" s="298">
        <v>-0.11</v>
      </c>
      <c r="U52" s="298">
        <v>0.2525</v>
      </c>
      <c r="V52" s="298">
        <v>5.0000000000000001E-3</v>
      </c>
      <c r="W52" s="298">
        <v>-0.17</v>
      </c>
      <c r="X52" s="298">
        <v>-1.7000000000000001E-2</v>
      </c>
      <c r="Y52" s="313">
        <v>0.19</v>
      </c>
      <c r="Z52" s="313">
        <v>8.9999999999999993E-3</v>
      </c>
      <c r="AA52" s="445">
        <v>0.19700000000000001</v>
      </c>
      <c r="AB52" s="445">
        <v>0.193</v>
      </c>
      <c r="AC52" s="445">
        <v>0.19700000000000001</v>
      </c>
      <c r="AD52" s="445">
        <v>0.19700000000000001</v>
      </c>
      <c r="AE52" s="445">
        <v>0.193</v>
      </c>
      <c r="AF52" s="445">
        <v>0.19700000000000001</v>
      </c>
      <c r="AG52" s="445">
        <v>0.19700000000000001</v>
      </c>
      <c r="AH52" s="445">
        <v>0.19700000000000001</v>
      </c>
      <c r="AI52" s="446">
        <v>0.19700000000000001</v>
      </c>
      <c r="AJ52" s="446">
        <v>0.19700000000000001</v>
      </c>
      <c r="AK52" s="446">
        <v>0.19700000000000001</v>
      </c>
      <c r="AL52" s="445">
        <v>0.19700000000000001</v>
      </c>
      <c r="AM52" s="312">
        <v>7.1170719102353994E-2</v>
      </c>
      <c r="AN52" s="312"/>
      <c r="AO52" s="313">
        <f t="shared" si="5"/>
        <v>0.193</v>
      </c>
      <c r="AP52" s="313">
        <f t="shared" si="6"/>
        <v>0.193</v>
      </c>
      <c r="AQ52" s="316">
        <f t="shared" si="7"/>
        <v>0.193</v>
      </c>
      <c r="AR52" s="315">
        <f t="shared" si="8"/>
        <v>37742</v>
      </c>
      <c r="AS52" s="313">
        <f t="shared" si="2"/>
        <v>0.80853653864951647</v>
      </c>
      <c r="AT52" s="313">
        <f t="shared" si="3"/>
        <v>0.80869136229235317</v>
      </c>
      <c r="AV52" s="315">
        <f t="shared" si="9"/>
        <v>37742</v>
      </c>
      <c r="AW52" s="298">
        <v>40</v>
      </c>
    </row>
    <row r="53" spans="2:49" x14ac:dyDescent="0.25">
      <c r="B53" s="303">
        <f t="shared" si="4"/>
        <v>37773</v>
      </c>
      <c r="C53" s="301">
        <v>2.7090000000000001</v>
      </c>
      <c r="D53" s="301">
        <v>0.19700000000000001</v>
      </c>
      <c r="E53" s="301">
        <v>7.0442478330146996E-2</v>
      </c>
      <c r="F53" s="301">
        <v>-0.19500000000000001</v>
      </c>
      <c r="G53" s="301">
        <v>0.02</v>
      </c>
      <c r="H53" s="301">
        <v>-0.19500000000000001</v>
      </c>
      <c r="I53" s="301">
        <v>4.2500000000000003E-2</v>
      </c>
      <c r="J53" s="301">
        <v>0.155</v>
      </c>
      <c r="K53" s="301">
        <v>-5.3499999999999999E-2</v>
      </c>
      <c r="L53" s="301">
        <v>-2.5999999999999999E-2</v>
      </c>
      <c r="M53" s="301">
        <v>-0.29249999999999998</v>
      </c>
      <c r="N53" s="301">
        <v>6.0000000000000001E-3</v>
      </c>
      <c r="O53" s="301">
        <v>-5.4999999999999997E-3</v>
      </c>
      <c r="P53" s="298">
        <v>-2.5000000000000001E-2</v>
      </c>
      <c r="Q53" s="298">
        <v>-5.7500000000000002E-2</v>
      </c>
      <c r="R53" s="298">
        <v>-2.2950000000000002E-2</v>
      </c>
      <c r="S53" s="298">
        <v>-6.25E-2</v>
      </c>
      <c r="T53" s="298">
        <v>-0.11</v>
      </c>
      <c r="U53" s="298">
        <v>0.2525</v>
      </c>
      <c r="V53" s="298">
        <v>5.0000000000000001E-3</v>
      </c>
      <c r="W53" s="298">
        <v>-0.17</v>
      </c>
      <c r="X53" s="298">
        <v>-1.95E-2</v>
      </c>
      <c r="Y53" s="313">
        <v>0.19</v>
      </c>
      <c r="Z53" s="313">
        <v>8.9999999999999993E-3</v>
      </c>
      <c r="AA53" s="445">
        <v>0.19700000000000001</v>
      </c>
      <c r="AB53" s="445">
        <v>0.193</v>
      </c>
      <c r="AC53" s="445">
        <v>0.19700000000000001</v>
      </c>
      <c r="AD53" s="445">
        <v>0.19700000000000001</v>
      </c>
      <c r="AE53" s="445">
        <v>0.193</v>
      </c>
      <c r="AF53" s="445">
        <v>0.19700000000000001</v>
      </c>
      <c r="AG53" s="445">
        <v>0.19700000000000001</v>
      </c>
      <c r="AH53" s="445">
        <v>0.19700000000000001</v>
      </c>
      <c r="AI53" s="446">
        <v>0.19700000000000001</v>
      </c>
      <c r="AJ53" s="446">
        <v>0.19700000000000001</v>
      </c>
      <c r="AK53" s="446">
        <v>0.19700000000000001</v>
      </c>
      <c r="AL53" s="445">
        <v>0.19700000000000001</v>
      </c>
      <c r="AM53" s="312">
        <v>7.1184245285405998E-2</v>
      </c>
      <c r="AN53" s="312"/>
      <c r="AO53" s="313">
        <f t="shared" si="5"/>
        <v>0.193</v>
      </c>
      <c r="AP53" s="313">
        <f t="shared" si="6"/>
        <v>0.193</v>
      </c>
      <c r="AQ53" s="316">
        <f t="shared" si="7"/>
        <v>0.193</v>
      </c>
      <c r="AR53" s="315">
        <f t="shared" si="8"/>
        <v>37773</v>
      </c>
      <c r="AS53" s="313">
        <f t="shared" si="2"/>
        <v>0.8037188853617816</v>
      </c>
      <c r="AT53" s="313">
        <f t="shared" si="3"/>
        <v>0.80387281523668364</v>
      </c>
      <c r="AV53" s="315">
        <f t="shared" si="9"/>
        <v>37773</v>
      </c>
      <c r="AW53" s="298">
        <v>41</v>
      </c>
    </row>
    <row r="54" spans="2:49" x14ac:dyDescent="0.25">
      <c r="B54" s="303">
        <f t="shared" si="4"/>
        <v>37803</v>
      </c>
      <c r="C54" s="301">
        <v>2.7090000000000001</v>
      </c>
      <c r="D54" s="301">
        <v>0.19700000000000001</v>
      </c>
      <c r="E54" s="301">
        <v>7.0466406837920006E-2</v>
      </c>
      <c r="F54" s="301">
        <v>-0.19500000000000001</v>
      </c>
      <c r="G54" s="301">
        <v>2.2499999999999999E-2</v>
      </c>
      <c r="H54" s="301">
        <v>-0.19500000000000001</v>
      </c>
      <c r="I54" s="301">
        <v>3.2500000000000001E-2</v>
      </c>
      <c r="J54" s="301">
        <v>0.155</v>
      </c>
      <c r="K54" s="301">
        <v>-5.3499999999999999E-2</v>
      </c>
      <c r="L54" s="301">
        <v>-2.5999999999999999E-2</v>
      </c>
      <c r="M54" s="301">
        <v>-0.29249999999999998</v>
      </c>
      <c r="N54" s="301">
        <v>6.0000000000000001E-3</v>
      </c>
      <c r="O54" s="301">
        <v>-5.4999999999999997E-3</v>
      </c>
      <c r="P54" s="298">
        <v>-2.5000000000000001E-2</v>
      </c>
      <c r="Q54" s="298">
        <v>-5.7500000000000002E-2</v>
      </c>
      <c r="R54" s="298">
        <v>-2.2950000000000002E-2</v>
      </c>
      <c r="S54" s="298">
        <v>-6.25E-2</v>
      </c>
      <c r="T54" s="298">
        <v>-0.11</v>
      </c>
      <c r="U54" s="298">
        <v>0.25750000000000001</v>
      </c>
      <c r="V54" s="298">
        <v>5.0000000000000001E-3</v>
      </c>
      <c r="W54" s="298">
        <v>-0.17</v>
      </c>
      <c r="X54" s="298">
        <v>-1.95E-2</v>
      </c>
      <c r="Y54" s="313">
        <v>0.19</v>
      </c>
      <c r="Z54" s="313">
        <v>8.9999999999999993E-3</v>
      </c>
      <c r="AA54" s="445">
        <v>0.19700000000000001</v>
      </c>
      <c r="AB54" s="445">
        <v>0.193</v>
      </c>
      <c r="AC54" s="445">
        <v>0.19700000000000001</v>
      </c>
      <c r="AD54" s="445">
        <v>0.19700000000000001</v>
      </c>
      <c r="AE54" s="445">
        <v>0.193</v>
      </c>
      <c r="AF54" s="445">
        <v>0.19700000000000001</v>
      </c>
      <c r="AG54" s="445">
        <v>0.19700000000000001</v>
      </c>
      <c r="AH54" s="445">
        <v>0.19700000000000001</v>
      </c>
      <c r="AI54" s="446">
        <v>0.19700000000000001</v>
      </c>
      <c r="AJ54" s="446">
        <v>0.19700000000000001</v>
      </c>
      <c r="AK54" s="446">
        <v>0.19700000000000001</v>
      </c>
      <c r="AL54" s="445">
        <v>0.19700000000000001</v>
      </c>
      <c r="AM54" s="312">
        <v>7.1194130868950004E-2</v>
      </c>
      <c r="AN54" s="312"/>
      <c r="AO54" s="313">
        <f t="shared" si="5"/>
        <v>0.193</v>
      </c>
      <c r="AP54" s="313">
        <f t="shared" si="6"/>
        <v>0.193</v>
      </c>
      <c r="AQ54" s="316">
        <f t="shared" si="7"/>
        <v>0.193</v>
      </c>
      <c r="AR54" s="315">
        <f t="shared" si="8"/>
        <v>37803</v>
      </c>
      <c r="AS54" s="313">
        <f t="shared" si="2"/>
        <v>0.79909021401290714</v>
      </c>
      <c r="AT54" s="313">
        <f t="shared" si="3"/>
        <v>0.79924327828347586</v>
      </c>
      <c r="AV54" s="315">
        <f t="shared" si="9"/>
        <v>37803</v>
      </c>
      <c r="AW54" s="298">
        <v>42</v>
      </c>
    </row>
    <row r="55" spans="2:49" x14ac:dyDescent="0.25">
      <c r="B55" s="303">
        <f t="shared" si="4"/>
        <v>37834</v>
      </c>
      <c r="C55" s="301">
        <v>2.7120000000000002</v>
      </c>
      <c r="D55" s="301">
        <v>0.19700000000000001</v>
      </c>
      <c r="E55" s="301">
        <v>7.0491609281518E-2</v>
      </c>
      <c r="F55" s="301">
        <v>-0.19500000000000001</v>
      </c>
      <c r="G55" s="301">
        <v>2.5000000000000001E-2</v>
      </c>
      <c r="H55" s="301">
        <v>-0.19500000000000001</v>
      </c>
      <c r="I55" s="301">
        <v>0.03</v>
      </c>
      <c r="J55" s="301">
        <v>0.155</v>
      </c>
      <c r="K55" s="301">
        <v>-5.3499999999999999E-2</v>
      </c>
      <c r="L55" s="301">
        <v>-2.5999999999999999E-2</v>
      </c>
      <c r="M55" s="301">
        <v>-0.29249999999999998</v>
      </c>
      <c r="N55" s="301">
        <v>6.0000000000000001E-3</v>
      </c>
      <c r="O55" s="301">
        <v>-5.4999999999999997E-3</v>
      </c>
      <c r="P55" s="298">
        <v>-2.5000000000000001E-2</v>
      </c>
      <c r="Q55" s="298">
        <v>-5.7500000000000002E-2</v>
      </c>
      <c r="R55" s="298">
        <v>-2.2950000000000002E-2</v>
      </c>
      <c r="S55" s="298">
        <v>-6.25E-2</v>
      </c>
      <c r="T55" s="298">
        <v>-0.11</v>
      </c>
      <c r="U55" s="298">
        <v>0.25750000000000001</v>
      </c>
      <c r="V55" s="298">
        <v>5.0000000000000001E-3</v>
      </c>
      <c r="W55" s="298">
        <v>-0.17</v>
      </c>
      <c r="X55" s="298">
        <v>-1.95E-2</v>
      </c>
      <c r="Y55" s="313">
        <v>0.19</v>
      </c>
      <c r="Z55" s="313">
        <v>8.9999999999999993E-3</v>
      </c>
      <c r="AA55" s="445">
        <v>0.19700000000000001</v>
      </c>
      <c r="AB55" s="445">
        <v>0.193</v>
      </c>
      <c r="AC55" s="445">
        <v>0.19700000000000001</v>
      </c>
      <c r="AD55" s="445">
        <v>0.19700000000000001</v>
      </c>
      <c r="AE55" s="445">
        <v>0.193</v>
      </c>
      <c r="AF55" s="445">
        <v>0.19700000000000001</v>
      </c>
      <c r="AG55" s="445">
        <v>0.19700000000000001</v>
      </c>
      <c r="AH55" s="445">
        <v>0.19700000000000001</v>
      </c>
      <c r="AI55" s="446">
        <v>0.19700000000000001</v>
      </c>
      <c r="AJ55" s="446">
        <v>0.19700000000000001</v>
      </c>
      <c r="AK55" s="446">
        <v>0.19700000000000001</v>
      </c>
      <c r="AL55" s="445">
        <v>0.19700000000000001</v>
      </c>
      <c r="AM55" s="312">
        <v>7.119973570523E-2</v>
      </c>
      <c r="AN55" s="312"/>
      <c r="AO55" s="313">
        <f t="shared" si="5"/>
        <v>0.193</v>
      </c>
      <c r="AP55" s="313">
        <f t="shared" si="6"/>
        <v>0.193</v>
      </c>
      <c r="AQ55" s="316">
        <f t="shared" si="7"/>
        <v>0.193</v>
      </c>
      <c r="AR55" s="315">
        <f t="shared" si="8"/>
        <v>37834</v>
      </c>
      <c r="AS55" s="313">
        <f t="shared" si="2"/>
        <v>0.79434558521512044</v>
      </c>
      <c r="AT55" s="313">
        <f t="shared" si="3"/>
        <v>0.7944977524333543</v>
      </c>
      <c r="AV55" s="315">
        <f t="shared" si="9"/>
        <v>37834</v>
      </c>
      <c r="AW55" s="298">
        <v>43</v>
      </c>
    </row>
    <row r="56" spans="2:49" x14ac:dyDescent="0.25">
      <c r="B56" s="303">
        <f t="shared" si="4"/>
        <v>37865</v>
      </c>
      <c r="C56" s="301">
        <v>2.7160000000000002</v>
      </c>
      <c r="D56" s="301">
        <v>0.19700000000000001</v>
      </c>
      <c r="E56" s="301">
        <v>7.0516811725324993E-2</v>
      </c>
      <c r="F56" s="301">
        <v>-0.19500000000000001</v>
      </c>
      <c r="G56" s="301">
        <v>1.7500000000000002E-2</v>
      </c>
      <c r="H56" s="301">
        <v>-0.19500000000000001</v>
      </c>
      <c r="I56" s="301">
        <v>2.75E-2</v>
      </c>
      <c r="J56" s="301">
        <v>0.155</v>
      </c>
      <c r="K56" s="301">
        <v>-5.6000000000000001E-2</v>
      </c>
      <c r="L56" s="301">
        <v>-2.5999999999999999E-2</v>
      </c>
      <c r="M56" s="301">
        <v>-0.29249999999999998</v>
      </c>
      <c r="N56" s="301">
        <v>6.0000000000000001E-3</v>
      </c>
      <c r="O56" s="301">
        <v>-5.4999999999999997E-3</v>
      </c>
      <c r="P56" s="298">
        <v>-2.5000000000000001E-2</v>
      </c>
      <c r="Q56" s="298">
        <v>-5.7500000000000002E-2</v>
      </c>
      <c r="R56" s="298">
        <v>-2.0250000000000001E-2</v>
      </c>
      <c r="S56" s="298">
        <v>-6.7500000000000004E-2</v>
      </c>
      <c r="T56" s="298">
        <v>-0.11</v>
      </c>
      <c r="U56" s="298">
        <v>0.2525</v>
      </c>
      <c r="V56" s="298">
        <v>5.0000000000000001E-3</v>
      </c>
      <c r="W56" s="298">
        <v>-0.17</v>
      </c>
      <c r="X56" s="298">
        <v>-2.1999999999999999E-2</v>
      </c>
      <c r="Y56" s="313">
        <v>0.19</v>
      </c>
      <c r="Z56" s="313">
        <v>8.9999999999999993E-3</v>
      </c>
      <c r="AA56" s="445">
        <v>0.19700000000000001</v>
      </c>
      <c r="AB56" s="445">
        <v>0.193</v>
      </c>
      <c r="AC56" s="445">
        <v>0.19700000000000001</v>
      </c>
      <c r="AD56" s="445">
        <v>0.19700000000000001</v>
      </c>
      <c r="AE56" s="445">
        <v>0.193</v>
      </c>
      <c r="AF56" s="445">
        <v>0.19700000000000001</v>
      </c>
      <c r="AG56" s="445">
        <v>0.19700000000000001</v>
      </c>
      <c r="AH56" s="445">
        <v>0.19700000000000001</v>
      </c>
      <c r="AI56" s="446">
        <v>0.19700000000000001</v>
      </c>
      <c r="AJ56" s="446">
        <v>0.19700000000000001</v>
      </c>
      <c r="AK56" s="446">
        <v>0.19700000000000001</v>
      </c>
      <c r="AL56" s="445">
        <v>0.19700000000000001</v>
      </c>
      <c r="AM56" s="312">
        <v>7.1205340541522E-2</v>
      </c>
      <c r="AN56" s="312"/>
      <c r="AO56" s="313">
        <f t="shared" si="5"/>
        <v>0.193</v>
      </c>
      <c r="AP56" s="313">
        <f t="shared" si="6"/>
        <v>0.193</v>
      </c>
      <c r="AQ56" s="316">
        <f t="shared" si="7"/>
        <v>0.193</v>
      </c>
      <c r="AR56" s="315">
        <f t="shared" si="8"/>
        <v>37865</v>
      </c>
      <c r="AS56" s="313">
        <f t="shared" si="2"/>
        <v>0.78962840244108179</v>
      </c>
      <c r="AT56" s="313">
        <f t="shared" si="3"/>
        <v>0.78977967772436275</v>
      </c>
      <c r="AV56" s="315">
        <f t="shared" si="9"/>
        <v>37865</v>
      </c>
      <c r="AW56" s="298">
        <v>44</v>
      </c>
    </row>
    <row r="57" spans="2:49" x14ac:dyDescent="0.25">
      <c r="B57" s="303">
        <f t="shared" si="4"/>
        <v>37895</v>
      </c>
      <c r="C57" s="301">
        <v>2.7429999999999999</v>
      </c>
      <c r="D57" s="301">
        <v>0.19700000000000001</v>
      </c>
      <c r="E57" s="301">
        <v>7.0540611153837002E-2</v>
      </c>
      <c r="F57" s="301">
        <v>-0.19500000000000001</v>
      </c>
      <c r="G57" s="301">
        <v>7.4999999999999997E-3</v>
      </c>
      <c r="H57" s="301">
        <v>-0.19500000000000001</v>
      </c>
      <c r="I57" s="301">
        <v>4.2500000000000003E-2</v>
      </c>
      <c r="J57" s="301">
        <v>0.1575</v>
      </c>
      <c r="K57" s="301">
        <v>-5.6000000000000001E-2</v>
      </c>
      <c r="L57" s="301">
        <v>-2.5999999999999999E-2</v>
      </c>
      <c r="M57" s="301">
        <v>-0.29249999999999998</v>
      </c>
      <c r="N57" s="301">
        <v>6.0000000000000001E-3</v>
      </c>
      <c r="O57" s="301">
        <v>-5.4999999999999997E-3</v>
      </c>
      <c r="P57" s="298">
        <v>-2.5000000000000001E-2</v>
      </c>
      <c r="Q57" s="298">
        <v>-5.7500000000000002E-2</v>
      </c>
      <c r="R57" s="298">
        <v>-2.0250000000000001E-2</v>
      </c>
      <c r="S57" s="298">
        <v>-6.7500000000000004E-2</v>
      </c>
      <c r="T57" s="298">
        <v>-0.11</v>
      </c>
      <c r="U57" s="298">
        <v>0.255</v>
      </c>
      <c r="V57" s="298">
        <v>5.0000000000000001E-3</v>
      </c>
      <c r="W57" s="298">
        <v>-0.17</v>
      </c>
      <c r="X57" s="298">
        <v>-2.1999999999999999E-2</v>
      </c>
      <c r="Y57" s="313">
        <v>0.19</v>
      </c>
      <c r="Z57" s="313">
        <v>8.9999999999999993E-3</v>
      </c>
      <c r="AA57" s="445">
        <v>0.19700000000000001</v>
      </c>
      <c r="AB57" s="445">
        <v>0.193</v>
      </c>
      <c r="AC57" s="445">
        <v>0.19700000000000001</v>
      </c>
      <c r="AD57" s="445">
        <v>0.19700000000000001</v>
      </c>
      <c r="AE57" s="445">
        <v>0.193</v>
      </c>
      <c r="AF57" s="445">
        <v>0.19700000000000001</v>
      </c>
      <c r="AG57" s="445">
        <v>0.19700000000000001</v>
      </c>
      <c r="AH57" s="445">
        <v>0.19700000000000001</v>
      </c>
      <c r="AI57" s="446">
        <v>0.19700000000000001</v>
      </c>
      <c r="AJ57" s="446">
        <v>0.19700000000000001</v>
      </c>
      <c r="AK57" s="446">
        <v>0.19700000000000001</v>
      </c>
      <c r="AL57" s="445">
        <v>0.19700000000000001</v>
      </c>
      <c r="AM57" s="312">
        <v>7.1210306360383002E-2</v>
      </c>
      <c r="AN57" s="312"/>
      <c r="AO57" s="313">
        <f t="shared" si="5"/>
        <v>0.193</v>
      </c>
      <c r="AP57" s="313">
        <f t="shared" si="6"/>
        <v>0.193</v>
      </c>
      <c r="AQ57" s="316">
        <f t="shared" si="7"/>
        <v>0.193</v>
      </c>
      <c r="AR57" s="315">
        <f t="shared" si="8"/>
        <v>37895</v>
      </c>
      <c r="AS57" s="313">
        <f t="shared" si="2"/>
        <v>0.7850905749244026</v>
      </c>
      <c r="AT57" s="313">
        <f t="shared" si="3"/>
        <v>0.78524099116945001</v>
      </c>
      <c r="AV57" s="315">
        <f t="shared" si="9"/>
        <v>37895</v>
      </c>
      <c r="AW57" s="298">
        <v>45</v>
      </c>
    </row>
    <row r="58" spans="2:49" x14ac:dyDescent="0.25">
      <c r="B58" s="303">
        <f t="shared" si="4"/>
        <v>37926</v>
      </c>
      <c r="C58" s="301">
        <v>2.8759999999999999</v>
      </c>
      <c r="D58" s="301">
        <v>0.19700000000000001</v>
      </c>
      <c r="E58" s="301">
        <v>7.0564462334743006E-2</v>
      </c>
      <c r="F58" s="301">
        <v>-0.19</v>
      </c>
      <c r="G58" s="301">
        <v>-3.2500000000000001E-2</v>
      </c>
      <c r="H58" s="301">
        <v>-0.19</v>
      </c>
      <c r="I58" s="301">
        <v>0.105</v>
      </c>
      <c r="J58" s="301">
        <v>0.24</v>
      </c>
      <c r="K58" s="301">
        <v>-6.25E-2</v>
      </c>
      <c r="L58" s="301">
        <v>-2.35E-2</v>
      </c>
      <c r="M58" s="301">
        <v>-0.24249999999999999</v>
      </c>
      <c r="N58" s="301">
        <v>7.4999999999999997E-3</v>
      </c>
      <c r="O58" s="301">
        <v>-1E-3</v>
      </c>
      <c r="P58" s="298">
        <v>-2.8000000000000001E-2</v>
      </c>
      <c r="Q58" s="298">
        <v>-5.7500000000000002E-2</v>
      </c>
      <c r="R58" s="298">
        <v>-3.6999999999999998E-2</v>
      </c>
      <c r="S58" s="298">
        <v>-8.2500000000000004E-2</v>
      </c>
      <c r="T58" s="298">
        <v>-0.15</v>
      </c>
      <c r="U58" s="298">
        <v>0.71499999999999997</v>
      </c>
      <c r="V58" s="298">
        <v>5.0000000000000001E-3</v>
      </c>
      <c r="W58" s="298">
        <v>-0.1925</v>
      </c>
      <c r="X58" s="298">
        <v>-1.95E-2</v>
      </c>
      <c r="Y58" s="313">
        <v>9.5000000000000001E-2</v>
      </c>
      <c r="Z58" s="313">
        <v>1.8499999999999999E-2</v>
      </c>
      <c r="AA58" s="445">
        <v>0.19700000000000001</v>
      </c>
      <c r="AB58" s="445">
        <v>0.217</v>
      </c>
      <c r="AC58" s="445">
        <v>0.19700000000000001</v>
      </c>
      <c r="AD58" s="445">
        <v>0.19700000000000001</v>
      </c>
      <c r="AE58" s="445">
        <v>0.19700000000000001</v>
      </c>
      <c r="AF58" s="445">
        <v>0.19700000000000001</v>
      </c>
      <c r="AG58" s="445">
        <v>0.19700000000000001</v>
      </c>
      <c r="AH58" s="445">
        <v>0.19700000000000001</v>
      </c>
      <c r="AI58" s="446">
        <v>0.19700000000000001</v>
      </c>
      <c r="AJ58" s="446">
        <v>0.19700000000000001</v>
      </c>
      <c r="AK58" s="446">
        <v>0.19700000000000001</v>
      </c>
      <c r="AL58" s="445">
        <v>0.19700000000000001</v>
      </c>
      <c r="AM58" s="312">
        <v>7.1214861806738999E-2</v>
      </c>
      <c r="AN58" s="312"/>
      <c r="AO58" s="313">
        <f t="shared" si="5"/>
        <v>0.217</v>
      </c>
      <c r="AP58" s="313">
        <f t="shared" si="6"/>
        <v>0.217</v>
      </c>
      <c r="AQ58" s="316">
        <f t="shared" si="7"/>
        <v>0.217</v>
      </c>
      <c r="AR58" s="315">
        <f t="shared" si="8"/>
        <v>37926</v>
      </c>
      <c r="AS58" s="313">
        <f t="shared" si="2"/>
        <v>0.78042977282349246</v>
      </c>
      <c r="AT58" s="313">
        <f t="shared" si="3"/>
        <v>0.78057930550182375</v>
      </c>
      <c r="AV58" s="315">
        <f t="shared" si="9"/>
        <v>37926</v>
      </c>
      <c r="AW58" s="298">
        <v>46</v>
      </c>
    </row>
    <row r="59" spans="2:49" x14ac:dyDescent="0.25">
      <c r="B59" s="303">
        <f t="shared" si="4"/>
        <v>37956</v>
      </c>
      <c r="C59" s="301">
        <v>2.9990000000000001</v>
      </c>
      <c r="D59" s="301">
        <v>0.19700000000000001</v>
      </c>
      <c r="E59" s="301">
        <v>7.0587544122896001E-2</v>
      </c>
      <c r="F59" s="301">
        <v>-0.19750000000000001</v>
      </c>
      <c r="G59" s="301">
        <v>-5.5E-2</v>
      </c>
      <c r="H59" s="301">
        <v>-0.19750000000000001</v>
      </c>
      <c r="I59" s="301">
        <v>0.14499999999999999</v>
      </c>
      <c r="J59" s="301">
        <v>0.29499999999999998</v>
      </c>
      <c r="K59" s="301">
        <v>-6.25E-2</v>
      </c>
      <c r="L59" s="301">
        <v>-2.35E-2</v>
      </c>
      <c r="M59" s="301">
        <v>-0.24249999999999999</v>
      </c>
      <c r="N59" s="301">
        <v>7.4999999999999997E-3</v>
      </c>
      <c r="O59" s="301">
        <v>-1E-3</v>
      </c>
      <c r="P59" s="298">
        <v>-2.8000000000000001E-2</v>
      </c>
      <c r="Q59" s="298">
        <v>-5.7500000000000002E-2</v>
      </c>
      <c r="R59" s="298">
        <v>-3.6999999999999998E-2</v>
      </c>
      <c r="S59" s="298">
        <v>-9.7500000000000003E-2</v>
      </c>
      <c r="T59" s="298">
        <v>-0.15</v>
      </c>
      <c r="U59" s="298">
        <v>1.0249999999999999</v>
      </c>
      <c r="V59" s="298">
        <v>5.0000000000000001E-3</v>
      </c>
      <c r="W59" s="298">
        <v>-0.1925</v>
      </c>
      <c r="X59" s="298">
        <v>-1.95E-2</v>
      </c>
      <c r="Y59" s="313">
        <v>9.5000000000000001E-2</v>
      </c>
      <c r="Z59" s="313">
        <v>1.8499999999999999E-2</v>
      </c>
      <c r="AA59" s="445">
        <v>0.19700000000000001</v>
      </c>
      <c r="AB59" s="445">
        <v>0.217</v>
      </c>
      <c r="AC59" s="445">
        <v>0.19700000000000001</v>
      </c>
      <c r="AD59" s="445">
        <v>0.19700000000000001</v>
      </c>
      <c r="AE59" s="445">
        <v>0.19700000000000001</v>
      </c>
      <c r="AF59" s="445">
        <v>0.19700000000000001</v>
      </c>
      <c r="AG59" s="445">
        <v>0.19700000000000001</v>
      </c>
      <c r="AH59" s="445">
        <v>0.19700000000000001</v>
      </c>
      <c r="AI59" s="446">
        <v>0.19700000000000001</v>
      </c>
      <c r="AJ59" s="446">
        <v>0.19700000000000001</v>
      </c>
      <c r="AK59" s="446">
        <v>0.19700000000000001</v>
      </c>
      <c r="AL59" s="445">
        <v>0.19700000000000001</v>
      </c>
      <c r="AM59" s="312">
        <v>7.1219270303219007E-2</v>
      </c>
      <c r="AN59" s="312"/>
      <c r="AO59" s="313">
        <f t="shared" si="5"/>
        <v>0.217</v>
      </c>
      <c r="AP59" s="313">
        <f t="shared" si="6"/>
        <v>0.217</v>
      </c>
      <c r="AQ59" s="316">
        <f t="shared" si="7"/>
        <v>0.217</v>
      </c>
      <c r="AR59" s="315">
        <f t="shared" si="8"/>
        <v>37956</v>
      </c>
      <c r="AS59" s="313">
        <f t="shared" si="2"/>
        <v>0.77594511429855839</v>
      </c>
      <c r="AT59" s="313">
        <f t="shared" si="3"/>
        <v>0.77609379674811929</v>
      </c>
      <c r="AV59" s="315">
        <f t="shared" si="9"/>
        <v>37956</v>
      </c>
      <c r="AW59" s="298">
        <v>47</v>
      </c>
    </row>
    <row r="60" spans="2:49" x14ac:dyDescent="0.25">
      <c r="B60" s="303">
        <f t="shared" si="4"/>
        <v>37987</v>
      </c>
      <c r="C60" s="301">
        <v>3.0259999999999998</v>
      </c>
      <c r="D60" s="301">
        <v>0.19800000000000001</v>
      </c>
      <c r="E60" s="301">
        <v>7.0615018192431003E-2</v>
      </c>
      <c r="F60" s="301">
        <v>-0.2</v>
      </c>
      <c r="G60" s="301">
        <v>-5.7500000000000002E-2</v>
      </c>
      <c r="H60" s="301">
        <v>-0.2</v>
      </c>
      <c r="I60" s="301">
        <v>0.18</v>
      </c>
      <c r="J60" s="301">
        <v>0.34250000000000003</v>
      </c>
      <c r="K60" s="301">
        <v>-6.6500000000000004E-2</v>
      </c>
      <c r="L60" s="301">
        <v>-2.1499999999999998E-2</v>
      </c>
      <c r="M60" s="301">
        <v>-0.24249999999999999</v>
      </c>
      <c r="N60" s="301">
        <v>7.4999999999999997E-3</v>
      </c>
      <c r="O60" s="301">
        <v>-1E-3</v>
      </c>
      <c r="P60" s="298">
        <v>-2.8000000000000001E-2</v>
      </c>
      <c r="Q60" s="298">
        <v>-5.7500000000000002E-2</v>
      </c>
      <c r="R60" s="298">
        <v>-3.6999999999999998E-2</v>
      </c>
      <c r="S60" s="298">
        <v>-0.1075</v>
      </c>
      <c r="T60" s="298">
        <v>-0.15</v>
      </c>
      <c r="U60" s="298">
        <v>1.49</v>
      </c>
      <c r="V60" s="298">
        <v>5.0000000000000001E-3</v>
      </c>
      <c r="W60" s="298">
        <v>-0.1925</v>
      </c>
      <c r="X60" s="298">
        <v>-1.95E-2</v>
      </c>
      <c r="Y60" s="313">
        <v>9.5000000000000001E-2</v>
      </c>
      <c r="Z60" s="313">
        <v>1.8499999999999999E-2</v>
      </c>
      <c r="AA60" s="445">
        <v>0.19800000000000001</v>
      </c>
      <c r="AB60" s="445">
        <v>0.19800000000000001</v>
      </c>
      <c r="AC60" s="445">
        <v>0.19800000000000001</v>
      </c>
      <c r="AD60" s="445">
        <v>0.19800000000000001</v>
      </c>
      <c r="AE60" s="445">
        <v>0.19800000000000001</v>
      </c>
      <c r="AF60" s="445">
        <v>0.19800000000000001</v>
      </c>
      <c r="AG60" s="445">
        <v>0.19800000000000001</v>
      </c>
      <c r="AH60" s="445">
        <v>0.19800000000000001</v>
      </c>
      <c r="AI60" s="446">
        <v>0.19800000000000001</v>
      </c>
      <c r="AJ60" s="446">
        <v>0.19800000000000001</v>
      </c>
      <c r="AK60" s="446">
        <v>0.19800000000000001</v>
      </c>
      <c r="AL60" s="445">
        <v>0.19800000000000001</v>
      </c>
      <c r="AM60" s="312">
        <v>7.1228087168141996E-2</v>
      </c>
      <c r="AN60" s="312"/>
      <c r="AO60" s="313">
        <f t="shared" si="5"/>
        <v>0.19800000000000001</v>
      </c>
      <c r="AP60" s="313">
        <f t="shared" si="6"/>
        <v>0.19800000000000001</v>
      </c>
      <c r="AQ60" s="316">
        <f t="shared" si="7"/>
        <v>0.19800000000000001</v>
      </c>
      <c r="AR60" s="315">
        <f t="shared" si="8"/>
        <v>37987</v>
      </c>
      <c r="AS60" s="313">
        <f t="shared" si="2"/>
        <v>0.77132569764847114</v>
      </c>
      <c r="AT60" s="313">
        <f t="shared" si="3"/>
        <v>0.77147351293255217</v>
      </c>
      <c r="AV60" s="315">
        <f t="shared" si="9"/>
        <v>37987</v>
      </c>
      <c r="AW60" s="298">
        <v>48</v>
      </c>
    </row>
    <row r="61" spans="2:49" x14ac:dyDescent="0.25">
      <c r="B61" s="303">
        <f t="shared" si="4"/>
        <v>38018</v>
      </c>
      <c r="C61" s="301">
        <v>2.9169999999999998</v>
      </c>
      <c r="D61" s="301">
        <v>0.19700000000000001</v>
      </c>
      <c r="E61" s="301">
        <v>7.0646356676398001E-2</v>
      </c>
      <c r="F61" s="301">
        <v>-0.20250000000000001</v>
      </c>
      <c r="G61" s="301">
        <v>-0.04</v>
      </c>
      <c r="H61" s="301">
        <v>-0.20250000000000001</v>
      </c>
      <c r="I61" s="301">
        <v>0.155</v>
      </c>
      <c r="J61" s="301">
        <v>0.33750000000000002</v>
      </c>
      <c r="K61" s="301">
        <v>-6.25E-2</v>
      </c>
      <c r="L61" s="301">
        <v>-2.1499999999999998E-2</v>
      </c>
      <c r="M61" s="301">
        <v>-0.24249999999999999</v>
      </c>
      <c r="N61" s="301">
        <v>7.4999999999999997E-3</v>
      </c>
      <c r="O61" s="301">
        <v>-1E-3</v>
      </c>
      <c r="P61" s="298">
        <v>-2.8000000000000001E-2</v>
      </c>
      <c r="Q61" s="298">
        <v>-5.7500000000000002E-2</v>
      </c>
      <c r="R61" s="298">
        <v>-3.6999999999999998E-2</v>
      </c>
      <c r="S61" s="298">
        <v>-9.5000000000000001E-2</v>
      </c>
      <c r="T61" s="298">
        <v>-0.15</v>
      </c>
      <c r="U61" s="298">
        <v>1.37</v>
      </c>
      <c r="V61" s="298">
        <v>5.0000000000000001E-3</v>
      </c>
      <c r="W61" s="298">
        <v>-0.1925</v>
      </c>
      <c r="X61" s="298">
        <v>-1.95E-2</v>
      </c>
      <c r="Y61" s="313">
        <v>9.5000000000000001E-2</v>
      </c>
      <c r="Z61" s="313">
        <v>1.8499999999999999E-2</v>
      </c>
      <c r="AA61" s="445">
        <v>0.19700000000000001</v>
      </c>
      <c r="AB61" s="445">
        <v>0.217</v>
      </c>
      <c r="AC61" s="445">
        <v>0.19700000000000001</v>
      </c>
      <c r="AD61" s="445">
        <v>0.19700000000000001</v>
      </c>
      <c r="AE61" s="445">
        <v>0.19700000000000001</v>
      </c>
      <c r="AF61" s="445">
        <v>0.19700000000000001</v>
      </c>
      <c r="AG61" s="445">
        <v>0.19700000000000001</v>
      </c>
      <c r="AH61" s="445">
        <v>0.19700000000000001</v>
      </c>
      <c r="AI61" s="446">
        <v>0.19700000000000001</v>
      </c>
      <c r="AJ61" s="446">
        <v>0.19700000000000001</v>
      </c>
      <c r="AK61" s="446">
        <v>0.19700000000000001</v>
      </c>
      <c r="AL61" s="445">
        <v>0.19700000000000001</v>
      </c>
      <c r="AM61" s="312">
        <v>7.1241449546235E-2</v>
      </c>
      <c r="AN61" s="312"/>
      <c r="AO61" s="313">
        <f t="shared" si="5"/>
        <v>0.217</v>
      </c>
      <c r="AP61" s="313">
        <f t="shared" si="6"/>
        <v>0.217</v>
      </c>
      <c r="AQ61" s="316">
        <f t="shared" si="7"/>
        <v>0.217</v>
      </c>
      <c r="AR61" s="315">
        <f t="shared" si="8"/>
        <v>38018</v>
      </c>
      <c r="AS61" s="313">
        <f t="shared" si="2"/>
        <v>0.76671990356353537</v>
      </c>
      <c r="AT61" s="313">
        <f t="shared" si="3"/>
        <v>0.7668668632929504</v>
      </c>
      <c r="AV61" s="315">
        <f t="shared" si="9"/>
        <v>38018</v>
      </c>
      <c r="AW61" s="298">
        <v>49</v>
      </c>
    </row>
    <row r="62" spans="2:49" x14ac:dyDescent="0.25">
      <c r="B62" s="303">
        <f t="shared" si="4"/>
        <v>38047</v>
      </c>
      <c r="C62" s="301">
        <v>2.8050000000000002</v>
      </c>
      <c r="D62" s="301">
        <v>0.19500000000000001</v>
      </c>
      <c r="E62" s="301">
        <v>7.0675673322983995E-2</v>
      </c>
      <c r="F62" s="301">
        <v>-0.20499999999999999</v>
      </c>
      <c r="G62" s="301">
        <v>-2.75E-2</v>
      </c>
      <c r="H62" s="301">
        <v>-0.20499999999999999</v>
      </c>
      <c r="I62" s="301">
        <v>0.1525</v>
      </c>
      <c r="J62" s="301">
        <v>0.26</v>
      </c>
      <c r="K62" s="301">
        <v>-6.4000000000000001E-2</v>
      </c>
      <c r="L62" s="301">
        <v>-2.1499999999999998E-2</v>
      </c>
      <c r="M62" s="301">
        <v>-0.24249999999999999</v>
      </c>
      <c r="N62" s="301">
        <v>7.4999999999999997E-3</v>
      </c>
      <c r="O62" s="301">
        <v>-1E-3</v>
      </c>
      <c r="P62" s="298">
        <v>-2.8000000000000001E-2</v>
      </c>
      <c r="Q62" s="298">
        <v>-5.7500000000000002E-2</v>
      </c>
      <c r="R62" s="298">
        <v>-3.6999999999999998E-2</v>
      </c>
      <c r="S62" s="298">
        <v>-8.2500000000000004E-2</v>
      </c>
      <c r="T62" s="298">
        <v>-0.15</v>
      </c>
      <c r="U62" s="298">
        <v>0.87</v>
      </c>
      <c r="V62" s="298">
        <v>5.0000000000000001E-3</v>
      </c>
      <c r="W62" s="298">
        <v>-0.1925</v>
      </c>
      <c r="X62" s="298">
        <v>-1.95E-2</v>
      </c>
      <c r="Y62" s="313">
        <v>9.5000000000000001E-2</v>
      </c>
      <c r="Z62" s="313">
        <v>1.8499999999999999E-2</v>
      </c>
      <c r="AA62" s="445">
        <v>0.19500000000000001</v>
      </c>
      <c r="AB62" s="445">
        <v>0.215</v>
      </c>
      <c r="AC62" s="445">
        <v>0.19500000000000001</v>
      </c>
      <c r="AD62" s="445">
        <v>0.19500000000000001</v>
      </c>
      <c r="AE62" s="445">
        <v>0.19500000000000001</v>
      </c>
      <c r="AF62" s="445">
        <v>0.19500000000000001</v>
      </c>
      <c r="AG62" s="445">
        <v>0.19500000000000001</v>
      </c>
      <c r="AH62" s="445">
        <v>0.19500000000000001</v>
      </c>
      <c r="AI62" s="446">
        <v>0.19500000000000001</v>
      </c>
      <c r="AJ62" s="446">
        <v>0.19500000000000001</v>
      </c>
      <c r="AK62" s="446">
        <v>0.19500000000000001</v>
      </c>
      <c r="AL62" s="445">
        <v>0.19500000000000001</v>
      </c>
      <c r="AM62" s="312">
        <v>7.1253949835471994E-2</v>
      </c>
      <c r="AN62" s="312"/>
      <c r="AO62" s="313">
        <f t="shared" si="5"/>
        <v>0.215</v>
      </c>
      <c r="AP62" s="313">
        <f t="shared" si="6"/>
        <v>0.215</v>
      </c>
      <c r="AQ62" s="316">
        <f t="shared" si="7"/>
        <v>0.215</v>
      </c>
      <c r="AR62" s="315">
        <f t="shared" si="8"/>
        <v>38047</v>
      </c>
      <c r="AS62" s="313">
        <f t="shared" si="2"/>
        <v>0.76243464729325816</v>
      </c>
      <c r="AT62" s="313">
        <f t="shared" si="3"/>
        <v>0.76258081085424989</v>
      </c>
      <c r="AV62" s="315">
        <f t="shared" si="9"/>
        <v>38047</v>
      </c>
      <c r="AW62" s="298">
        <v>50</v>
      </c>
    </row>
    <row r="63" spans="2:49" x14ac:dyDescent="0.25">
      <c r="B63" s="303">
        <f t="shared" si="4"/>
        <v>38078</v>
      </c>
      <c r="C63" s="301">
        <v>2.7080000000000002</v>
      </c>
      <c r="D63" s="301">
        <v>0.191</v>
      </c>
      <c r="E63" s="301">
        <v>7.0714608430904005E-2</v>
      </c>
      <c r="F63" s="301">
        <v>-0.19500000000000001</v>
      </c>
      <c r="G63" s="301">
        <v>1.4999999999999999E-2</v>
      </c>
      <c r="H63" s="301">
        <v>-0.19500000000000001</v>
      </c>
      <c r="I63" s="301">
        <v>5.7500000000000002E-2</v>
      </c>
      <c r="J63" s="301">
        <v>0.17</v>
      </c>
      <c r="K63" s="301">
        <v>-7.3999999999999996E-2</v>
      </c>
      <c r="L63" s="301">
        <v>-2.4E-2</v>
      </c>
      <c r="M63" s="301">
        <v>-0.29249999999999998</v>
      </c>
      <c r="N63" s="301">
        <v>6.0000000000000001E-3</v>
      </c>
      <c r="O63" s="301">
        <v>-3.5000000000000001E-3</v>
      </c>
      <c r="P63" s="298">
        <v>-0.03</v>
      </c>
      <c r="Q63" s="298">
        <v>-5.5E-2</v>
      </c>
      <c r="R63" s="298">
        <v>-1.6199999999999999E-2</v>
      </c>
      <c r="S63" s="298">
        <v>-6.5000000000000002E-2</v>
      </c>
      <c r="T63" s="298">
        <v>-0.1075</v>
      </c>
      <c r="U63" s="298">
        <v>0.37</v>
      </c>
      <c r="V63" s="298">
        <v>5.0000000000000001E-3</v>
      </c>
      <c r="W63" s="298">
        <v>-0.17</v>
      </c>
      <c r="X63" s="298">
        <v>-1.95E-2</v>
      </c>
      <c r="Y63" s="313">
        <v>0.20499999999999999</v>
      </c>
      <c r="Z63" s="313">
        <v>1.0999999999999999E-2</v>
      </c>
      <c r="AA63" s="445">
        <v>0.191</v>
      </c>
      <c r="AB63" s="445">
        <v>0.187</v>
      </c>
      <c r="AC63" s="445">
        <v>0.191</v>
      </c>
      <c r="AD63" s="445">
        <v>0.191</v>
      </c>
      <c r="AE63" s="445">
        <v>0.187</v>
      </c>
      <c r="AF63" s="445">
        <v>0.191</v>
      </c>
      <c r="AG63" s="445">
        <v>0.191</v>
      </c>
      <c r="AH63" s="445">
        <v>0.191</v>
      </c>
      <c r="AI63" s="446">
        <v>0.191</v>
      </c>
      <c r="AJ63" s="446">
        <v>0.191</v>
      </c>
      <c r="AK63" s="446">
        <v>0.191</v>
      </c>
      <c r="AL63" s="445">
        <v>0.191</v>
      </c>
      <c r="AM63" s="312">
        <v>7.1250104958005003E-2</v>
      </c>
      <c r="AN63" s="312"/>
      <c r="AO63" s="313">
        <f t="shared" si="5"/>
        <v>0.187</v>
      </c>
      <c r="AP63" s="313">
        <f t="shared" si="6"/>
        <v>0.187</v>
      </c>
      <c r="AQ63" s="316">
        <f t="shared" si="7"/>
        <v>0.187</v>
      </c>
      <c r="AR63" s="315">
        <f t="shared" si="8"/>
        <v>38078</v>
      </c>
      <c r="AS63" s="313">
        <f t="shared" si="2"/>
        <v>0.75792858573796384</v>
      </c>
      <c r="AT63" s="313">
        <f t="shared" si="3"/>
        <v>0.75807387775285506</v>
      </c>
      <c r="AV63" s="315">
        <f t="shared" si="9"/>
        <v>38078</v>
      </c>
      <c r="AW63" s="298">
        <v>51</v>
      </c>
    </row>
    <row r="64" spans="2:49" x14ac:dyDescent="0.25">
      <c r="B64" s="303">
        <f t="shared" si="4"/>
        <v>38108</v>
      </c>
      <c r="C64" s="301">
        <v>2.74</v>
      </c>
      <c r="D64" s="301">
        <v>0.191</v>
      </c>
      <c r="E64" s="301">
        <v>7.0760129243886999E-2</v>
      </c>
      <c r="F64" s="301">
        <v>-0.19500000000000001</v>
      </c>
      <c r="G64" s="301">
        <v>1.4999999999999999E-2</v>
      </c>
      <c r="H64" s="301">
        <v>-0.19500000000000001</v>
      </c>
      <c r="I64" s="301">
        <v>4.7500000000000001E-2</v>
      </c>
      <c r="J64" s="301">
        <v>0.155</v>
      </c>
      <c r="K64" s="301">
        <v>-5.6500000000000002E-2</v>
      </c>
      <c r="L64" s="301">
        <v>-2.4E-2</v>
      </c>
      <c r="M64" s="301">
        <v>-0.29249999999999998</v>
      </c>
      <c r="N64" s="301">
        <v>6.0000000000000001E-3</v>
      </c>
      <c r="O64" s="301">
        <v>-3.5000000000000001E-3</v>
      </c>
      <c r="P64" s="298">
        <v>-0.03</v>
      </c>
      <c r="Q64" s="298">
        <v>-5.5E-2</v>
      </c>
      <c r="R64" s="298">
        <v>-1.6449999999999999E-2</v>
      </c>
      <c r="S64" s="298">
        <v>-6.7500000000000004E-2</v>
      </c>
      <c r="T64" s="298">
        <v>-0.1075</v>
      </c>
      <c r="U64" s="298">
        <v>0.2525</v>
      </c>
      <c r="V64" s="298">
        <v>5.0000000000000001E-3</v>
      </c>
      <c r="W64" s="298">
        <v>-0.17</v>
      </c>
      <c r="X64" s="298">
        <v>-1.6E-2</v>
      </c>
      <c r="Y64" s="313">
        <v>0.20499999999999999</v>
      </c>
      <c r="Z64" s="313">
        <v>1.0999999999999999E-2</v>
      </c>
      <c r="AA64" s="445">
        <v>0.191</v>
      </c>
      <c r="AB64" s="445">
        <v>0.187</v>
      </c>
      <c r="AC64" s="445">
        <v>0.191</v>
      </c>
      <c r="AD64" s="445">
        <v>0.191</v>
      </c>
      <c r="AE64" s="445">
        <v>0.187</v>
      </c>
      <c r="AF64" s="445">
        <v>0.191</v>
      </c>
      <c r="AG64" s="445">
        <v>0.191</v>
      </c>
      <c r="AH64" s="445">
        <v>0.191</v>
      </c>
      <c r="AI64" s="446">
        <v>0.191</v>
      </c>
      <c r="AJ64" s="446">
        <v>0.191</v>
      </c>
      <c r="AK64" s="446">
        <v>0.191</v>
      </c>
      <c r="AL64" s="445">
        <v>0.191</v>
      </c>
      <c r="AM64" s="312">
        <v>7.1228621780536003E-2</v>
      </c>
      <c r="AN64" s="312"/>
      <c r="AO64" s="313">
        <f t="shared" si="5"/>
        <v>0.187</v>
      </c>
      <c r="AP64" s="313">
        <f t="shared" si="6"/>
        <v>0.187</v>
      </c>
      <c r="AQ64" s="316">
        <f t="shared" si="7"/>
        <v>0.187</v>
      </c>
      <c r="AR64" s="315">
        <f t="shared" si="8"/>
        <v>38108</v>
      </c>
      <c r="AS64" s="313">
        <f t="shared" si="2"/>
        <v>0.75364592474202075</v>
      </c>
      <c r="AT64" s="313">
        <f t="shared" si="3"/>
        <v>0.75379035297584063</v>
      </c>
      <c r="AV64" s="315">
        <f t="shared" si="9"/>
        <v>38108</v>
      </c>
      <c r="AW64" s="298">
        <v>52</v>
      </c>
    </row>
    <row r="65" spans="2:49" x14ac:dyDescent="0.25">
      <c r="B65" s="303">
        <f t="shared" si="4"/>
        <v>38139</v>
      </c>
      <c r="C65" s="301">
        <v>2.7429999999999999</v>
      </c>
      <c r="D65" s="301">
        <v>0.191</v>
      </c>
      <c r="E65" s="301">
        <v>7.0807167418022995E-2</v>
      </c>
      <c r="F65" s="301">
        <v>-0.19500000000000001</v>
      </c>
      <c r="G65" s="301">
        <v>0.02</v>
      </c>
      <c r="H65" s="301">
        <v>-0.19500000000000001</v>
      </c>
      <c r="I65" s="301">
        <v>4.2500000000000003E-2</v>
      </c>
      <c r="J65" s="301">
        <v>0.155</v>
      </c>
      <c r="K65" s="301">
        <v>-5.1499999999999997E-2</v>
      </c>
      <c r="L65" s="301">
        <v>-2.4E-2</v>
      </c>
      <c r="M65" s="301">
        <v>-0.29249999999999998</v>
      </c>
      <c r="N65" s="301">
        <v>6.0000000000000001E-3</v>
      </c>
      <c r="O65" s="301">
        <v>-3.5000000000000001E-3</v>
      </c>
      <c r="P65" s="298">
        <v>-2.75E-2</v>
      </c>
      <c r="Q65" s="298">
        <v>-5.5E-2</v>
      </c>
      <c r="R65" s="298">
        <v>-1.6449999999999999E-2</v>
      </c>
      <c r="S65" s="298">
        <v>-0.06</v>
      </c>
      <c r="T65" s="298">
        <v>-0.1075</v>
      </c>
      <c r="U65" s="298">
        <v>0.2525</v>
      </c>
      <c r="V65" s="298">
        <v>5.0000000000000001E-3</v>
      </c>
      <c r="W65" s="298">
        <v>-0.17</v>
      </c>
      <c r="X65" s="298">
        <v>-1.8499999999999999E-2</v>
      </c>
      <c r="Y65" s="313">
        <v>0.20499999999999999</v>
      </c>
      <c r="Z65" s="313">
        <v>1.0999999999999999E-2</v>
      </c>
      <c r="AA65" s="445">
        <v>0.191</v>
      </c>
      <c r="AB65" s="445">
        <v>0.187</v>
      </c>
      <c r="AC65" s="445">
        <v>0.191</v>
      </c>
      <c r="AD65" s="445">
        <v>0.191</v>
      </c>
      <c r="AE65" s="445">
        <v>0.187</v>
      </c>
      <c r="AF65" s="445">
        <v>0.191</v>
      </c>
      <c r="AG65" s="445">
        <v>0.191</v>
      </c>
      <c r="AH65" s="445">
        <v>0.191</v>
      </c>
      <c r="AI65" s="446">
        <v>0.191</v>
      </c>
      <c r="AJ65" s="446">
        <v>0.191</v>
      </c>
      <c r="AK65" s="446">
        <v>0.191</v>
      </c>
      <c r="AL65" s="445">
        <v>0.191</v>
      </c>
      <c r="AM65" s="312">
        <v>7.1206422497310004E-2</v>
      </c>
      <c r="AN65" s="312"/>
      <c r="AO65" s="313">
        <f t="shared" si="5"/>
        <v>0.187</v>
      </c>
      <c r="AP65" s="313">
        <f t="shared" si="6"/>
        <v>0.187</v>
      </c>
      <c r="AQ65" s="316">
        <f t="shared" si="7"/>
        <v>0.187</v>
      </c>
      <c r="AR65" s="315">
        <f t="shared" si="8"/>
        <v>38139</v>
      </c>
      <c r="AS65" s="313">
        <f t="shared" si="2"/>
        <v>0.74924861224821326</v>
      </c>
      <c r="AT65" s="313">
        <f t="shared" si="3"/>
        <v>0.74939215380311319</v>
      </c>
      <c r="AV65" s="315">
        <f t="shared" si="9"/>
        <v>38139</v>
      </c>
      <c r="AW65" s="298">
        <v>53</v>
      </c>
    </row>
    <row r="66" spans="2:49" x14ac:dyDescent="0.25">
      <c r="B66" s="303">
        <f t="shared" si="4"/>
        <v>38169</v>
      </c>
      <c r="C66" s="301">
        <v>2.7429999999999999</v>
      </c>
      <c r="D66" s="301">
        <v>0.19</v>
      </c>
      <c r="E66" s="301">
        <v>7.0852688232399E-2</v>
      </c>
      <c r="F66" s="301">
        <v>-0.19500000000000001</v>
      </c>
      <c r="G66" s="301">
        <v>2.2499999999999999E-2</v>
      </c>
      <c r="H66" s="301">
        <v>-0.19500000000000001</v>
      </c>
      <c r="I66" s="301">
        <v>3.2500000000000001E-2</v>
      </c>
      <c r="J66" s="301">
        <v>0.155</v>
      </c>
      <c r="K66" s="301">
        <v>-5.1499999999999997E-2</v>
      </c>
      <c r="L66" s="301">
        <v>-2.4E-2</v>
      </c>
      <c r="M66" s="301">
        <v>-0.29249999999999998</v>
      </c>
      <c r="N66" s="301">
        <v>6.0000000000000001E-3</v>
      </c>
      <c r="O66" s="301">
        <v>-3.5000000000000001E-3</v>
      </c>
      <c r="P66" s="298">
        <v>-2.75E-2</v>
      </c>
      <c r="Q66" s="298">
        <v>-5.5E-2</v>
      </c>
      <c r="R66" s="298">
        <v>-1.6449999999999999E-2</v>
      </c>
      <c r="S66" s="298">
        <v>-0.06</v>
      </c>
      <c r="T66" s="298">
        <v>-0.1075</v>
      </c>
      <c r="U66" s="298">
        <v>0.25750000000000001</v>
      </c>
      <c r="V66" s="298">
        <v>5.0000000000000001E-3</v>
      </c>
      <c r="W66" s="298">
        <v>-0.17</v>
      </c>
      <c r="X66" s="298">
        <v>-1.8499999999999999E-2</v>
      </c>
      <c r="Y66" s="313">
        <v>0.20499999999999999</v>
      </c>
      <c r="Z66" s="313">
        <v>1.0999999999999999E-2</v>
      </c>
      <c r="AA66" s="445">
        <v>0.19</v>
      </c>
      <c r="AB66" s="445">
        <v>0.186</v>
      </c>
      <c r="AC66" s="445">
        <v>0.19</v>
      </c>
      <c r="AD66" s="445">
        <v>0.19</v>
      </c>
      <c r="AE66" s="445">
        <v>0.186</v>
      </c>
      <c r="AF66" s="445">
        <v>0.19</v>
      </c>
      <c r="AG66" s="445">
        <v>0.19</v>
      </c>
      <c r="AH66" s="445">
        <v>0.19</v>
      </c>
      <c r="AI66" s="446">
        <v>0.19</v>
      </c>
      <c r="AJ66" s="446">
        <v>0.19</v>
      </c>
      <c r="AK66" s="446">
        <v>0.19</v>
      </c>
      <c r="AL66" s="445">
        <v>0.19</v>
      </c>
      <c r="AM66" s="312">
        <v>7.1184939320152005E-2</v>
      </c>
      <c r="AN66" s="312"/>
      <c r="AO66" s="313">
        <f t="shared" si="5"/>
        <v>0.186</v>
      </c>
      <c r="AP66" s="313">
        <f t="shared" si="6"/>
        <v>0.186</v>
      </c>
      <c r="AQ66" s="316">
        <f t="shared" si="7"/>
        <v>0.186</v>
      </c>
      <c r="AR66" s="315">
        <f t="shared" si="8"/>
        <v>38169</v>
      </c>
      <c r="AS66" s="313">
        <f t="shared" si="2"/>
        <v>0.74502016085547462</v>
      </c>
      <c r="AT66" s="313">
        <f t="shared" si="3"/>
        <v>0.74516284999859062</v>
      </c>
      <c r="AV66" s="315">
        <f t="shared" si="9"/>
        <v>38169</v>
      </c>
      <c r="AW66" s="298">
        <v>54</v>
      </c>
    </row>
    <row r="67" spans="2:49" x14ac:dyDescent="0.25">
      <c r="B67" s="303">
        <f t="shared" si="4"/>
        <v>38200</v>
      </c>
      <c r="C67" s="301">
        <v>2.746</v>
      </c>
      <c r="D67" s="301">
        <v>0.19</v>
      </c>
      <c r="E67" s="301">
        <v>7.0899726407972999E-2</v>
      </c>
      <c r="F67" s="301">
        <v>-0.19500000000000001</v>
      </c>
      <c r="G67" s="301">
        <v>2.5000000000000001E-2</v>
      </c>
      <c r="H67" s="301">
        <v>-0.19500000000000001</v>
      </c>
      <c r="I67" s="301">
        <v>0.03</v>
      </c>
      <c r="J67" s="301">
        <v>0.155</v>
      </c>
      <c r="K67" s="301">
        <v>-5.1499999999999997E-2</v>
      </c>
      <c r="L67" s="301">
        <v>-2.4E-2</v>
      </c>
      <c r="M67" s="301">
        <v>-0.29249999999999998</v>
      </c>
      <c r="N67" s="301">
        <v>6.0000000000000001E-3</v>
      </c>
      <c r="O67" s="301">
        <v>-3.5000000000000001E-3</v>
      </c>
      <c r="P67" s="298">
        <v>-2.75E-2</v>
      </c>
      <c r="Q67" s="298">
        <v>-5.5E-2</v>
      </c>
      <c r="R67" s="298">
        <v>-1.6449999999999999E-2</v>
      </c>
      <c r="S67" s="298">
        <v>-0.06</v>
      </c>
      <c r="T67" s="298">
        <v>-0.1075</v>
      </c>
      <c r="U67" s="298">
        <v>0.25750000000000001</v>
      </c>
      <c r="V67" s="298">
        <v>5.0000000000000001E-3</v>
      </c>
      <c r="W67" s="298">
        <v>-0.17</v>
      </c>
      <c r="X67" s="298">
        <v>-1.8499999999999999E-2</v>
      </c>
      <c r="Y67" s="313">
        <v>0.20499999999999999</v>
      </c>
      <c r="Z67" s="313">
        <v>1.0999999999999999E-2</v>
      </c>
      <c r="AA67" s="445">
        <v>0.19</v>
      </c>
      <c r="AB67" s="445">
        <v>0.186</v>
      </c>
      <c r="AC67" s="445">
        <v>0.19</v>
      </c>
      <c r="AD67" s="445">
        <v>0.19</v>
      </c>
      <c r="AE67" s="445">
        <v>0.186</v>
      </c>
      <c r="AF67" s="445">
        <v>0.19</v>
      </c>
      <c r="AG67" s="445">
        <v>0.19</v>
      </c>
      <c r="AH67" s="445">
        <v>0.19</v>
      </c>
      <c r="AI67" s="446">
        <v>0.19</v>
      </c>
      <c r="AJ67" s="446">
        <v>0.19</v>
      </c>
      <c r="AK67" s="446">
        <v>0.19</v>
      </c>
      <c r="AL67" s="445">
        <v>0.19</v>
      </c>
      <c r="AM67" s="312">
        <v>7.1162740037246999E-2</v>
      </c>
      <c r="AN67" s="312"/>
      <c r="AO67" s="313">
        <f t="shared" si="5"/>
        <v>0.186</v>
      </c>
      <c r="AP67" s="313">
        <f t="shared" si="6"/>
        <v>0.186</v>
      </c>
      <c r="AQ67" s="316">
        <f t="shared" si="7"/>
        <v>0.186</v>
      </c>
      <c r="AR67" s="315">
        <f t="shared" si="8"/>
        <v>38200</v>
      </c>
      <c r="AS67" s="313">
        <f t="shared" si="2"/>
        <v>0.74067848196054142</v>
      </c>
      <c r="AT67" s="313">
        <f t="shared" si="3"/>
        <v>0.74082029608997113</v>
      </c>
      <c r="AV67" s="315">
        <f t="shared" si="9"/>
        <v>38200</v>
      </c>
      <c r="AW67" s="298">
        <v>55</v>
      </c>
    </row>
    <row r="68" spans="2:49" x14ac:dyDescent="0.25">
      <c r="B68" s="303">
        <f t="shared" si="4"/>
        <v>38231</v>
      </c>
      <c r="C68" s="301">
        <v>2.7490000000000001</v>
      </c>
      <c r="D68" s="301">
        <v>0.19</v>
      </c>
      <c r="E68" s="301">
        <v>7.0946764584279995E-2</v>
      </c>
      <c r="F68" s="301">
        <v>-0.19500000000000001</v>
      </c>
      <c r="G68" s="301">
        <v>1.7500000000000002E-2</v>
      </c>
      <c r="H68" s="301">
        <v>-0.19500000000000001</v>
      </c>
      <c r="I68" s="301">
        <v>2.75E-2</v>
      </c>
      <c r="J68" s="301">
        <v>0.155</v>
      </c>
      <c r="K68" s="301">
        <v>-5.3999999999999999E-2</v>
      </c>
      <c r="L68" s="301">
        <v>-2.4E-2</v>
      </c>
      <c r="M68" s="301">
        <v>-0.29249999999999998</v>
      </c>
      <c r="N68" s="301">
        <v>6.0000000000000001E-3</v>
      </c>
      <c r="O68" s="301">
        <v>-3.5000000000000001E-3</v>
      </c>
      <c r="P68" s="298">
        <v>-2.75E-2</v>
      </c>
      <c r="Q68" s="298">
        <v>-5.5E-2</v>
      </c>
      <c r="R68" s="298">
        <v>-1.375E-2</v>
      </c>
      <c r="S68" s="298">
        <v>-6.5000000000000002E-2</v>
      </c>
      <c r="T68" s="298">
        <v>-0.1075</v>
      </c>
      <c r="U68" s="298">
        <v>0.2525</v>
      </c>
      <c r="V68" s="298">
        <v>5.0000000000000001E-3</v>
      </c>
      <c r="W68" s="298">
        <v>-0.17</v>
      </c>
      <c r="X68" s="298">
        <v>-2.1000000000000001E-2</v>
      </c>
      <c r="Y68" s="313">
        <v>0.20499999999999999</v>
      </c>
      <c r="Z68" s="313">
        <v>1.0999999999999999E-2</v>
      </c>
      <c r="AA68" s="445">
        <v>0.19</v>
      </c>
      <c r="AB68" s="445">
        <v>0.186</v>
      </c>
      <c r="AC68" s="445">
        <v>0.19</v>
      </c>
      <c r="AD68" s="445">
        <v>0.19</v>
      </c>
      <c r="AE68" s="445">
        <v>0.186</v>
      </c>
      <c r="AF68" s="445">
        <v>0.19</v>
      </c>
      <c r="AG68" s="445">
        <v>0.19</v>
      </c>
      <c r="AH68" s="445">
        <v>0.19</v>
      </c>
      <c r="AI68" s="446">
        <v>0.19</v>
      </c>
      <c r="AJ68" s="446">
        <v>0.19</v>
      </c>
      <c r="AK68" s="446">
        <v>0.19</v>
      </c>
      <c r="AL68" s="445">
        <v>0.19</v>
      </c>
      <c r="AM68" s="312">
        <v>7.1140540754506001E-2</v>
      </c>
      <c r="AN68" s="312"/>
      <c r="AO68" s="313">
        <f t="shared" si="5"/>
        <v>0.186</v>
      </c>
      <c r="AP68" s="313">
        <f t="shared" si="6"/>
        <v>0.186</v>
      </c>
      <c r="AQ68" s="316">
        <f t="shared" si="7"/>
        <v>0.186</v>
      </c>
      <c r="AR68" s="315">
        <f t="shared" si="8"/>
        <v>38231</v>
      </c>
      <c r="AS68" s="313">
        <f t="shared" si="2"/>
        <v>0.73636478482281964</v>
      </c>
      <c r="AT68" s="313">
        <f t="shared" si="3"/>
        <v>0.73650572980371343</v>
      </c>
      <c r="AV68" s="315">
        <f t="shared" si="9"/>
        <v>38231</v>
      </c>
      <c r="AW68" s="298">
        <v>56</v>
      </c>
    </row>
    <row r="69" spans="2:49" x14ac:dyDescent="0.25">
      <c r="B69" s="303">
        <f t="shared" si="4"/>
        <v>38261</v>
      </c>
      <c r="C69" s="301">
        <v>2.7749999999999999</v>
      </c>
      <c r="D69" s="301">
        <v>0.19</v>
      </c>
      <c r="E69" s="301">
        <v>7.0992285400756E-2</v>
      </c>
      <c r="F69" s="301">
        <v>-0.19500000000000001</v>
      </c>
      <c r="G69" s="301">
        <v>7.4999999999999997E-3</v>
      </c>
      <c r="H69" s="301">
        <v>-0.19500000000000001</v>
      </c>
      <c r="I69" s="301">
        <v>4.2500000000000003E-2</v>
      </c>
      <c r="J69" s="301">
        <v>0.1575</v>
      </c>
      <c r="K69" s="301">
        <v>-5.3999999999999999E-2</v>
      </c>
      <c r="L69" s="301">
        <v>-2.4E-2</v>
      </c>
      <c r="M69" s="301">
        <v>-0.29249999999999998</v>
      </c>
      <c r="N69" s="301">
        <v>6.0000000000000001E-3</v>
      </c>
      <c r="O69" s="301">
        <v>-3.5000000000000001E-3</v>
      </c>
      <c r="P69" s="298">
        <v>-2.75E-2</v>
      </c>
      <c r="Q69" s="298">
        <v>-5.5E-2</v>
      </c>
      <c r="R69" s="298">
        <v>-1.375E-2</v>
      </c>
      <c r="S69" s="298">
        <v>-6.5000000000000002E-2</v>
      </c>
      <c r="T69" s="298">
        <v>-0.1075</v>
      </c>
      <c r="U69" s="298">
        <v>0.255</v>
      </c>
      <c r="V69" s="298">
        <v>5.0000000000000001E-3</v>
      </c>
      <c r="W69" s="298">
        <v>-0.17</v>
      </c>
      <c r="X69" s="298">
        <v>-2.1000000000000001E-2</v>
      </c>
      <c r="Y69" s="313">
        <v>0.20499999999999999</v>
      </c>
      <c r="Z69" s="313">
        <v>1.0999999999999999E-2</v>
      </c>
      <c r="AA69" s="445">
        <v>0.19</v>
      </c>
      <c r="AB69" s="445">
        <v>0.186</v>
      </c>
      <c r="AC69" s="445">
        <v>0.19</v>
      </c>
      <c r="AD69" s="445">
        <v>0.19</v>
      </c>
      <c r="AE69" s="445">
        <v>0.186</v>
      </c>
      <c r="AF69" s="445">
        <v>0.19</v>
      </c>
      <c r="AG69" s="445">
        <v>0.19</v>
      </c>
      <c r="AH69" s="445">
        <v>0.19</v>
      </c>
      <c r="AI69" s="446">
        <v>0.19</v>
      </c>
      <c r="AJ69" s="446">
        <v>0.19</v>
      </c>
      <c r="AK69" s="446">
        <v>0.19</v>
      </c>
      <c r="AL69" s="445">
        <v>0.19</v>
      </c>
      <c r="AM69" s="312">
        <v>7.1119057577814004E-2</v>
      </c>
      <c r="AN69" s="312"/>
      <c r="AO69" s="313">
        <f t="shared" si="5"/>
        <v>0.186</v>
      </c>
      <c r="AP69" s="313">
        <f t="shared" si="6"/>
        <v>0.186</v>
      </c>
      <c r="AQ69" s="316">
        <f t="shared" si="7"/>
        <v>0.186</v>
      </c>
      <c r="AR69" s="315">
        <f t="shared" si="8"/>
        <v>38261</v>
      </c>
      <c r="AS69" s="313">
        <f t="shared" si="2"/>
        <v>0.73221669860777594</v>
      </c>
      <c r="AT69" s="313">
        <f t="shared" si="3"/>
        <v>0.73235680802194503</v>
      </c>
      <c r="AV69" s="315">
        <f t="shared" si="9"/>
        <v>38261</v>
      </c>
      <c r="AW69" s="298">
        <v>57</v>
      </c>
    </row>
    <row r="70" spans="2:49" x14ac:dyDescent="0.25">
      <c r="B70" s="303">
        <f t="shared" si="4"/>
        <v>38292</v>
      </c>
      <c r="C70" s="301">
        <v>2.903</v>
      </c>
      <c r="D70" s="301">
        <v>0.19</v>
      </c>
      <c r="E70" s="301">
        <v>7.1039323578500999E-2</v>
      </c>
      <c r="F70" s="301">
        <v>-0.19</v>
      </c>
      <c r="G70" s="301">
        <v>-3.2500000000000001E-2</v>
      </c>
      <c r="H70" s="301">
        <v>-0.19</v>
      </c>
      <c r="I70" s="301">
        <v>0.115</v>
      </c>
      <c r="J70" s="301">
        <v>0.24</v>
      </c>
      <c r="K70" s="301">
        <v>-6.0499999999999998E-2</v>
      </c>
      <c r="L70" s="301">
        <v>-2.1499999999999998E-2</v>
      </c>
      <c r="M70" s="301">
        <v>-0.24249999999999999</v>
      </c>
      <c r="N70" s="301">
        <v>7.4999999999999997E-3</v>
      </c>
      <c r="O70" s="301">
        <v>1E-3</v>
      </c>
      <c r="P70" s="298">
        <v>-3.0499999999999999E-2</v>
      </c>
      <c r="Q70" s="298">
        <v>-5.5E-2</v>
      </c>
      <c r="R70" s="298">
        <v>-3.3500000000000002E-2</v>
      </c>
      <c r="S70" s="298">
        <v>-0.08</v>
      </c>
      <c r="T70" s="298">
        <v>-0.14749999999999999</v>
      </c>
      <c r="U70" s="298">
        <v>0.72</v>
      </c>
      <c r="V70" s="298">
        <v>5.0000000000000001E-3</v>
      </c>
      <c r="W70" s="298">
        <v>-0.1875</v>
      </c>
      <c r="X70" s="298">
        <v>-1.8499999999999999E-2</v>
      </c>
      <c r="Y70" s="313">
        <v>0.10249999999999999</v>
      </c>
      <c r="Z70" s="313">
        <v>2.0500000000000001E-2</v>
      </c>
      <c r="AA70" s="445">
        <v>0.19</v>
      </c>
      <c r="AB70" s="445">
        <v>0.20899999999999999</v>
      </c>
      <c r="AC70" s="445">
        <v>0.19</v>
      </c>
      <c r="AD70" s="445">
        <v>0.19</v>
      </c>
      <c r="AE70" s="445">
        <v>0.19</v>
      </c>
      <c r="AF70" s="445">
        <v>0.19</v>
      </c>
      <c r="AG70" s="445">
        <v>0.19</v>
      </c>
      <c r="AH70" s="445">
        <v>0.19</v>
      </c>
      <c r="AI70" s="446">
        <v>0.19</v>
      </c>
      <c r="AJ70" s="446">
        <v>0.19</v>
      </c>
      <c r="AK70" s="446">
        <v>0.19</v>
      </c>
      <c r="AL70" s="445">
        <v>0.19</v>
      </c>
      <c r="AM70" s="312">
        <v>7.1096858295393001E-2</v>
      </c>
      <c r="AN70" s="312"/>
      <c r="AO70" s="313">
        <f t="shared" si="5"/>
        <v>0.20899999999999999</v>
      </c>
      <c r="AP70" s="313">
        <f t="shared" si="6"/>
        <v>0.20899999999999999</v>
      </c>
      <c r="AQ70" s="316">
        <f t="shared" si="7"/>
        <v>0.20899999999999999</v>
      </c>
      <c r="AR70" s="315">
        <f t="shared" si="8"/>
        <v>38292</v>
      </c>
      <c r="AS70" s="313">
        <f t="shared" si="2"/>
        <v>0.72795749656131159</v>
      </c>
      <c r="AT70" s="313">
        <f t="shared" si="3"/>
        <v>0.72809674824546322</v>
      </c>
      <c r="AV70" s="315">
        <f t="shared" si="9"/>
        <v>38292</v>
      </c>
      <c r="AW70" s="298">
        <v>58</v>
      </c>
    </row>
    <row r="71" spans="2:49" x14ac:dyDescent="0.25">
      <c r="B71" s="303">
        <f t="shared" si="4"/>
        <v>38322</v>
      </c>
      <c r="C71" s="301">
        <v>3.0230000000000001</v>
      </c>
      <c r="D71" s="301">
        <v>0.191</v>
      </c>
      <c r="E71" s="301">
        <v>7.1084844396370001E-2</v>
      </c>
      <c r="F71" s="301">
        <v>-0.19750000000000001</v>
      </c>
      <c r="G71" s="301">
        <v>-5.5E-2</v>
      </c>
      <c r="H71" s="301">
        <v>-0.19750000000000001</v>
      </c>
      <c r="I71" s="301">
        <v>0.155</v>
      </c>
      <c r="J71" s="301">
        <v>0.29499999999999998</v>
      </c>
      <c r="K71" s="301">
        <v>-6.0499999999999998E-2</v>
      </c>
      <c r="L71" s="301">
        <v>-2.1499999999999998E-2</v>
      </c>
      <c r="M71" s="301">
        <v>-0.24249999999999999</v>
      </c>
      <c r="N71" s="301">
        <v>7.4999999999999997E-3</v>
      </c>
      <c r="O71" s="301">
        <v>1E-3</v>
      </c>
      <c r="P71" s="298">
        <v>-3.0499999999999999E-2</v>
      </c>
      <c r="Q71" s="298">
        <v>-5.5E-2</v>
      </c>
      <c r="R71" s="298">
        <v>-3.3500000000000002E-2</v>
      </c>
      <c r="S71" s="298">
        <v>-9.5000000000000001E-2</v>
      </c>
      <c r="T71" s="298">
        <v>-0.14749999999999999</v>
      </c>
      <c r="U71" s="298">
        <v>1.0349999999999999</v>
      </c>
      <c r="V71" s="298">
        <v>5.0000000000000001E-3</v>
      </c>
      <c r="W71" s="298">
        <v>-0.1875</v>
      </c>
      <c r="X71" s="298">
        <v>-1.8499999999999999E-2</v>
      </c>
      <c r="Y71" s="313">
        <v>0.10249999999999999</v>
      </c>
      <c r="Z71" s="313">
        <v>2.0500000000000001E-2</v>
      </c>
      <c r="AA71" s="445">
        <v>0.191</v>
      </c>
      <c r="AB71" s="445">
        <v>0.21</v>
      </c>
      <c r="AC71" s="445">
        <v>0.191</v>
      </c>
      <c r="AD71" s="445">
        <v>0.191</v>
      </c>
      <c r="AE71" s="445">
        <v>0.191</v>
      </c>
      <c r="AF71" s="445">
        <v>0.191</v>
      </c>
      <c r="AG71" s="445">
        <v>0.191</v>
      </c>
      <c r="AH71" s="445">
        <v>0.191</v>
      </c>
      <c r="AI71" s="446">
        <v>0.191</v>
      </c>
      <c r="AJ71" s="446">
        <v>0.191</v>
      </c>
      <c r="AK71" s="446">
        <v>0.191</v>
      </c>
      <c r="AL71" s="445">
        <v>0.191</v>
      </c>
      <c r="AM71" s="312">
        <v>7.1075375119012005E-2</v>
      </c>
      <c r="AN71" s="312"/>
      <c r="AO71" s="313">
        <f t="shared" si="5"/>
        <v>0.21</v>
      </c>
      <c r="AP71" s="313">
        <f t="shared" si="6"/>
        <v>0.21</v>
      </c>
      <c r="AQ71" s="316">
        <f t="shared" si="7"/>
        <v>0.21</v>
      </c>
      <c r="AR71" s="315">
        <f t="shared" si="8"/>
        <v>38322</v>
      </c>
      <c r="AS71" s="313">
        <f t="shared" si="2"/>
        <v>0.7238617875704968</v>
      </c>
      <c r="AT71" s="313">
        <f t="shared" si="3"/>
        <v>0.7240002146601332</v>
      </c>
      <c r="AV71" s="315">
        <f t="shared" si="9"/>
        <v>38322</v>
      </c>
      <c r="AW71" s="298">
        <v>59</v>
      </c>
    </row>
    <row r="72" spans="2:49" x14ac:dyDescent="0.25">
      <c r="B72" s="303">
        <f t="shared" si="4"/>
        <v>38353</v>
      </c>
      <c r="C72" s="301">
        <v>3.0579999999999998</v>
      </c>
      <c r="D72" s="301">
        <v>0.193</v>
      </c>
      <c r="E72" s="301">
        <v>7.1131882575553002E-2</v>
      </c>
      <c r="F72" s="301">
        <v>-0.2</v>
      </c>
      <c r="G72" s="301">
        <v>-5.7500000000000002E-2</v>
      </c>
      <c r="H72" s="301">
        <v>-0.2</v>
      </c>
      <c r="I72" s="301">
        <v>0.19500000000000001</v>
      </c>
      <c r="J72" s="301">
        <v>0.34250000000000003</v>
      </c>
      <c r="K72" s="301">
        <v>-6.4500000000000002E-2</v>
      </c>
      <c r="L72" s="301">
        <v>-1.95E-2</v>
      </c>
      <c r="M72" s="301">
        <v>-0.24249999999999999</v>
      </c>
      <c r="N72" s="301">
        <v>7.4999999999999997E-3</v>
      </c>
      <c r="O72" s="301">
        <v>1E-3</v>
      </c>
      <c r="P72" s="298">
        <v>-2.8000000000000001E-2</v>
      </c>
      <c r="Q72" s="298">
        <v>-5.5E-2</v>
      </c>
      <c r="R72" s="298">
        <v>-3.3500000000000002E-2</v>
      </c>
      <c r="S72" s="298">
        <v>-0.1055</v>
      </c>
      <c r="T72" s="298">
        <v>-0.14749999999999999</v>
      </c>
      <c r="U72" s="298">
        <v>1.5049999999999999</v>
      </c>
      <c r="V72" s="298">
        <v>5.0000000000000001E-3</v>
      </c>
      <c r="W72" s="298">
        <v>-0.1875</v>
      </c>
      <c r="X72" s="298">
        <v>-1.8499999999999999E-2</v>
      </c>
      <c r="Y72" s="313">
        <v>0.10249999999999999</v>
      </c>
      <c r="Z72" s="313">
        <v>2.0500000000000001E-2</v>
      </c>
      <c r="AA72" s="445">
        <v>0.193</v>
      </c>
      <c r="AB72" s="445">
        <v>0.193</v>
      </c>
      <c r="AC72" s="445">
        <v>0.193</v>
      </c>
      <c r="AD72" s="445">
        <v>0.193</v>
      </c>
      <c r="AE72" s="445">
        <v>0.193</v>
      </c>
      <c r="AF72" s="445">
        <v>0.193</v>
      </c>
      <c r="AG72" s="445">
        <v>0.193</v>
      </c>
      <c r="AH72" s="445">
        <v>0.193</v>
      </c>
      <c r="AI72" s="446">
        <v>0.193</v>
      </c>
      <c r="AJ72" s="446">
        <v>0.193</v>
      </c>
      <c r="AK72" s="446">
        <v>0.193</v>
      </c>
      <c r="AL72" s="445">
        <v>0.193</v>
      </c>
      <c r="AM72" s="312">
        <v>7.1053175836910995E-2</v>
      </c>
      <c r="AN72" s="312"/>
      <c r="AO72" s="313">
        <f t="shared" si="5"/>
        <v>0.193</v>
      </c>
      <c r="AP72" s="313">
        <f t="shared" si="6"/>
        <v>0.193</v>
      </c>
      <c r="AQ72" s="316">
        <f t="shared" si="7"/>
        <v>0.193</v>
      </c>
      <c r="AR72" s="315">
        <f t="shared" si="8"/>
        <v>38353</v>
      </c>
      <c r="AS72" s="313">
        <f t="shared" si="2"/>
        <v>0.7196563394087766</v>
      </c>
      <c r="AT72" s="313">
        <f t="shared" si="3"/>
        <v>0.71979392002638121</v>
      </c>
      <c r="AV72" s="315">
        <f t="shared" si="9"/>
        <v>38353</v>
      </c>
      <c r="AW72" s="298">
        <v>60</v>
      </c>
    </row>
    <row r="73" spans="2:49" x14ac:dyDescent="0.25">
      <c r="B73" s="303">
        <f t="shared" si="4"/>
        <v>38384</v>
      </c>
      <c r="C73" s="301">
        <v>2.9529999999999998</v>
      </c>
      <c r="D73" s="301">
        <v>0.192</v>
      </c>
      <c r="E73" s="301">
        <v>7.1178920755468E-2</v>
      </c>
      <c r="F73" s="301">
        <v>-0.20250000000000001</v>
      </c>
      <c r="G73" s="301">
        <v>-0.04</v>
      </c>
      <c r="H73" s="301">
        <v>-0.20250000000000001</v>
      </c>
      <c r="I73" s="301">
        <v>0.17</v>
      </c>
      <c r="J73" s="301">
        <v>0.33750000000000002</v>
      </c>
      <c r="K73" s="301">
        <v>-6.0499999999999998E-2</v>
      </c>
      <c r="L73" s="301">
        <v>-1.95E-2</v>
      </c>
      <c r="M73" s="301">
        <v>-0.24249999999999999</v>
      </c>
      <c r="N73" s="301">
        <v>7.4999999999999997E-3</v>
      </c>
      <c r="O73" s="301">
        <v>1E-3</v>
      </c>
      <c r="P73" s="298">
        <v>-2.8000000000000001E-2</v>
      </c>
      <c r="Q73" s="298">
        <v>-5.5E-2</v>
      </c>
      <c r="R73" s="298">
        <v>-3.3500000000000002E-2</v>
      </c>
      <c r="S73" s="298">
        <v>-9.2999999999999999E-2</v>
      </c>
      <c r="T73" s="298">
        <v>-0.14749999999999999</v>
      </c>
      <c r="U73" s="298">
        <v>1.385</v>
      </c>
      <c r="V73" s="298">
        <v>5.0000000000000001E-3</v>
      </c>
      <c r="W73" s="298">
        <v>-0.1875</v>
      </c>
      <c r="X73" s="298">
        <v>-1.8499999999999999E-2</v>
      </c>
      <c r="Y73" s="313">
        <v>0.10249999999999999</v>
      </c>
      <c r="Z73" s="313">
        <v>2.0500000000000001E-2</v>
      </c>
      <c r="AA73" s="445">
        <v>0.192</v>
      </c>
      <c r="AB73" s="445">
        <v>0.21099999999999999</v>
      </c>
      <c r="AC73" s="445">
        <v>0.192</v>
      </c>
      <c r="AD73" s="445">
        <v>0.192</v>
      </c>
      <c r="AE73" s="445">
        <v>0.192</v>
      </c>
      <c r="AF73" s="445">
        <v>0.192</v>
      </c>
      <c r="AG73" s="445">
        <v>0.192</v>
      </c>
      <c r="AH73" s="445">
        <v>0.192</v>
      </c>
      <c r="AI73" s="446">
        <v>0.192</v>
      </c>
      <c r="AJ73" s="446">
        <v>0.192</v>
      </c>
      <c r="AK73" s="446">
        <v>0.192</v>
      </c>
      <c r="AL73" s="445">
        <v>0.192</v>
      </c>
      <c r="AM73" s="312">
        <v>7.1030976554974007E-2</v>
      </c>
      <c r="AN73" s="312"/>
      <c r="AO73" s="313">
        <f t="shared" si="5"/>
        <v>0.21099999999999999</v>
      </c>
      <c r="AP73" s="313">
        <f t="shared" si="6"/>
        <v>0.21099999999999999</v>
      </c>
      <c r="AQ73" s="316">
        <f t="shared" si="7"/>
        <v>0.21099999999999999</v>
      </c>
      <c r="AR73" s="315">
        <f t="shared" si="8"/>
        <v>38384</v>
      </c>
      <c r="AS73" s="313">
        <f t="shared" si="2"/>
        <v>0.71547792817994105</v>
      </c>
      <c r="AT73" s="313">
        <f t="shared" si="3"/>
        <v>0.71561466798603057</v>
      </c>
      <c r="AV73" s="315">
        <f t="shared" si="9"/>
        <v>38384</v>
      </c>
      <c r="AW73" s="298">
        <v>61</v>
      </c>
    </row>
    <row r="74" spans="2:49" x14ac:dyDescent="0.25">
      <c r="B74" s="303">
        <f t="shared" si="4"/>
        <v>38412</v>
      </c>
      <c r="C74" s="301">
        <v>2.8439999999999999</v>
      </c>
      <c r="D74" s="301">
        <v>0.19</v>
      </c>
      <c r="E74" s="301">
        <v>7.1221406854084998E-2</v>
      </c>
      <c r="F74" s="301">
        <v>-0.20499999999999999</v>
      </c>
      <c r="G74" s="301">
        <v>-2.75E-2</v>
      </c>
      <c r="H74" s="301">
        <v>-0.20499999999999999</v>
      </c>
      <c r="I74" s="301">
        <v>0.16750000000000001</v>
      </c>
      <c r="J74" s="301">
        <v>0.26</v>
      </c>
      <c r="K74" s="301">
        <v>-6.2E-2</v>
      </c>
      <c r="L74" s="301">
        <v>-1.95E-2</v>
      </c>
      <c r="M74" s="301">
        <v>-0.24249999999999999</v>
      </c>
      <c r="N74" s="301">
        <v>7.4999999999999997E-3</v>
      </c>
      <c r="O74" s="301">
        <v>1E-3</v>
      </c>
      <c r="P74" s="298">
        <v>-2.8000000000000001E-2</v>
      </c>
      <c r="Q74" s="298">
        <v>-5.5E-2</v>
      </c>
      <c r="R74" s="298">
        <v>-3.3500000000000002E-2</v>
      </c>
      <c r="S74" s="298">
        <v>-8.0500000000000002E-2</v>
      </c>
      <c r="T74" s="298">
        <v>-0.14749999999999999</v>
      </c>
      <c r="U74" s="298">
        <v>0.875</v>
      </c>
      <c r="V74" s="298">
        <v>5.0000000000000001E-3</v>
      </c>
      <c r="W74" s="298">
        <v>-0.1875</v>
      </c>
      <c r="X74" s="298">
        <v>-1.8499999999999999E-2</v>
      </c>
      <c r="Y74" s="313">
        <v>0.10249999999999999</v>
      </c>
      <c r="Z74" s="313">
        <v>2.0500000000000001E-2</v>
      </c>
      <c r="AA74" s="445">
        <v>0.19</v>
      </c>
      <c r="AB74" s="445">
        <v>0.20899999999999999</v>
      </c>
      <c r="AC74" s="445">
        <v>0.19</v>
      </c>
      <c r="AD74" s="445">
        <v>0.19</v>
      </c>
      <c r="AE74" s="445">
        <v>0.19</v>
      </c>
      <c r="AF74" s="445">
        <v>0.19</v>
      </c>
      <c r="AG74" s="445">
        <v>0.19</v>
      </c>
      <c r="AH74" s="445">
        <v>0.19</v>
      </c>
      <c r="AI74" s="446">
        <v>0.19</v>
      </c>
      <c r="AJ74" s="446">
        <v>0.19</v>
      </c>
      <c r="AK74" s="446">
        <v>0.19</v>
      </c>
      <c r="AL74" s="445">
        <v>0.19</v>
      </c>
      <c r="AM74" s="312">
        <v>7.1010925590781995E-2</v>
      </c>
      <c r="AN74" s="312"/>
      <c r="AO74" s="313">
        <f t="shared" si="5"/>
        <v>0.20899999999999999</v>
      </c>
      <c r="AP74" s="313">
        <f t="shared" si="6"/>
        <v>0.20899999999999999</v>
      </c>
      <c r="AQ74" s="316">
        <f t="shared" si="7"/>
        <v>0.20899999999999999</v>
      </c>
      <c r="AR74" s="315">
        <f t="shared" si="8"/>
        <v>38412</v>
      </c>
      <c r="AS74" s="313">
        <f t="shared" si="2"/>
        <v>0.71172696235137456</v>
      </c>
      <c r="AT74" s="313">
        <f t="shared" si="3"/>
        <v>0.71186294754641899</v>
      </c>
      <c r="AV74" s="315">
        <f t="shared" si="9"/>
        <v>38412</v>
      </c>
      <c r="AW74" s="298">
        <v>62</v>
      </c>
    </row>
    <row r="75" spans="2:49" x14ac:dyDescent="0.25">
      <c r="B75" s="303">
        <f t="shared" si="4"/>
        <v>38443</v>
      </c>
      <c r="C75" s="301">
        <v>2.75</v>
      </c>
      <c r="D75" s="301">
        <v>0.187</v>
      </c>
      <c r="E75" s="301">
        <v>7.1268445035390995E-2</v>
      </c>
      <c r="F75" s="301">
        <v>-0.19500000000000001</v>
      </c>
      <c r="G75" s="301">
        <v>1.4999999999999999E-2</v>
      </c>
      <c r="H75" s="301">
        <v>-0.19500000000000001</v>
      </c>
      <c r="I75" s="301">
        <v>0.06</v>
      </c>
      <c r="J75" s="301">
        <v>0.17</v>
      </c>
      <c r="K75" s="301">
        <v>-7.1999999999999995E-2</v>
      </c>
      <c r="L75" s="301">
        <v>-2.1999999999999999E-2</v>
      </c>
      <c r="M75" s="301">
        <v>-0.29249999999999998</v>
      </c>
      <c r="N75" s="301">
        <v>6.0000000000000001E-3</v>
      </c>
      <c r="O75" s="301">
        <v>-1.5E-3</v>
      </c>
      <c r="P75" s="298">
        <v>-0.03</v>
      </c>
      <c r="Q75" s="298">
        <v>-5.2499999999999998E-2</v>
      </c>
      <c r="R75" s="298">
        <v>-1.52E-2</v>
      </c>
      <c r="S75" s="298">
        <v>-6.3E-2</v>
      </c>
      <c r="T75" s="298">
        <v>-0.105</v>
      </c>
      <c r="U75" s="298">
        <v>0.37</v>
      </c>
      <c r="V75" s="298">
        <v>5.0000000000000001E-3</v>
      </c>
      <c r="W75" s="298">
        <v>-0.16500000000000001</v>
      </c>
      <c r="X75" s="298">
        <v>-1.8499999999999999E-2</v>
      </c>
      <c r="Y75" s="313">
        <v>0.21249999999999999</v>
      </c>
      <c r="Z75" s="313">
        <v>1.2999999999999999E-2</v>
      </c>
      <c r="AA75" s="445">
        <v>0.187</v>
      </c>
      <c r="AB75" s="445">
        <v>0.183</v>
      </c>
      <c r="AC75" s="445">
        <v>0.187</v>
      </c>
      <c r="AD75" s="445">
        <v>0.187</v>
      </c>
      <c r="AE75" s="445">
        <v>0.183</v>
      </c>
      <c r="AF75" s="445">
        <v>0.187</v>
      </c>
      <c r="AG75" s="445">
        <v>0.187</v>
      </c>
      <c r="AH75" s="445">
        <v>0.187</v>
      </c>
      <c r="AI75" s="446">
        <v>0.187</v>
      </c>
      <c r="AJ75" s="446">
        <v>0.187</v>
      </c>
      <c r="AK75" s="446">
        <v>0.187</v>
      </c>
      <c r="AL75" s="445">
        <v>0.187</v>
      </c>
      <c r="AM75" s="312">
        <v>7.0988726309154995E-2</v>
      </c>
      <c r="AN75" s="312"/>
      <c r="AO75" s="313">
        <f t="shared" si="5"/>
        <v>0.183</v>
      </c>
      <c r="AP75" s="313">
        <f t="shared" si="6"/>
        <v>0.183</v>
      </c>
      <c r="AQ75" s="316">
        <f t="shared" si="7"/>
        <v>0.183</v>
      </c>
      <c r="AR75" s="315">
        <f t="shared" si="8"/>
        <v>38443</v>
      </c>
      <c r="AS75" s="313">
        <f t="shared" si="2"/>
        <v>0.7075994922805986</v>
      </c>
      <c r="AT75" s="313">
        <f t="shared" si="3"/>
        <v>0.70773464732564251</v>
      </c>
      <c r="AV75" s="315">
        <f t="shared" si="9"/>
        <v>38443</v>
      </c>
      <c r="AW75" s="298">
        <v>63</v>
      </c>
    </row>
    <row r="76" spans="2:49" x14ac:dyDescent="0.25">
      <c r="B76" s="303">
        <f t="shared" si="4"/>
        <v>38473</v>
      </c>
      <c r="C76" s="301">
        <v>2.7829999999999999</v>
      </c>
      <c r="D76" s="301">
        <v>0.186</v>
      </c>
      <c r="E76" s="301">
        <v>7.1305524242052998E-2</v>
      </c>
      <c r="F76" s="301">
        <v>-0.19500000000000001</v>
      </c>
      <c r="G76" s="301">
        <v>1.4999999999999999E-2</v>
      </c>
      <c r="H76" s="301">
        <v>-0.19500000000000001</v>
      </c>
      <c r="I76" s="301">
        <v>6.25E-2</v>
      </c>
      <c r="J76" s="301">
        <v>0.155</v>
      </c>
      <c r="K76" s="301">
        <v>-5.45E-2</v>
      </c>
      <c r="L76" s="301">
        <v>-2.1999999999999999E-2</v>
      </c>
      <c r="M76" s="301">
        <v>-0.29249999999999998</v>
      </c>
      <c r="N76" s="301">
        <v>6.0000000000000001E-3</v>
      </c>
      <c r="O76" s="301">
        <v>-1.5E-3</v>
      </c>
      <c r="P76" s="298">
        <v>-0.03</v>
      </c>
      <c r="Q76" s="298">
        <v>-5.2499999999999998E-2</v>
      </c>
      <c r="R76" s="298">
        <v>-1.545E-2</v>
      </c>
      <c r="S76" s="298">
        <v>-6.5500000000000003E-2</v>
      </c>
      <c r="T76" s="298">
        <v>-0.105</v>
      </c>
      <c r="U76" s="298">
        <v>0.2525</v>
      </c>
      <c r="V76" s="298">
        <v>5.0000000000000001E-3</v>
      </c>
      <c r="W76" s="298">
        <v>-0.16500000000000001</v>
      </c>
      <c r="X76" s="298">
        <v>-1.4999999999999999E-2</v>
      </c>
      <c r="Y76" s="313">
        <v>0.21249999999999999</v>
      </c>
      <c r="Z76" s="313">
        <v>1.2999999999999999E-2</v>
      </c>
      <c r="AA76" s="445">
        <v>0.186</v>
      </c>
      <c r="AB76" s="445">
        <v>0.182</v>
      </c>
      <c r="AC76" s="445">
        <v>0.186</v>
      </c>
      <c r="AD76" s="445">
        <v>0.186</v>
      </c>
      <c r="AE76" s="445">
        <v>0.182</v>
      </c>
      <c r="AF76" s="445">
        <v>0.186</v>
      </c>
      <c r="AG76" s="445">
        <v>0.186</v>
      </c>
      <c r="AH76" s="445">
        <v>0.186</v>
      </c>
      <c r="AI76" s="446">
        <v>0.186</v>
      </c>
      <c r="AJ76" s="446">
        <v>0.186</v>
      </c>
      <c r="AK76" s="446">
        <v>0.186</v>
      </c>
      <c r="AL76" s="445">
        <v>0.186</v>
      </c>
      <c r="AM76" s="312">
        <v>7.0986344405628996E-2</v>
      </c>
      <c r="AN76" s="312"/>
      <c r="AO76" s="313">
        <f t="shared" si="5"/>
        <v>0.182</v>
      </c>
      <c r="AP76" s="313">
        <f t="shared" si="6"/>
        <v>0.182</v>
      </c>
      <c r="AQ76" s="316">
        <f t="shared" si="7"/>
        <v>0.182</v>
      </c>
      <c r="AR76" s="315">
        <f t="shared" si="8"/>
        <v>38473</v>
      </c>
      <c r="AS76" s="313">
        <f t="shared" si="2"/>
        <v>0.70356497783619854</v>
      </c>
      <c r="AT76" s="313">
        <f t="shared" si="3"/>
        <v>0.70369935783705484</v>
      </c>
      <c r="AV76" s="315">
        <f t="shared" si="9"/>
        <v>38473</v>
      </c>
      <c r="AW76" s="298">
        <v>64</v>
      </c>
    </row>
    <row r="77" spans="2:49" x14ac:dyDescent="0.25">
      <c r="B77" s="303">
        <f t="shared" si="4"/>
        <v>38504</v>
      </c>
      <c r="C77" s="301">
        <v>2.7869999999999999</v>
      </c>
      <c r="D77" s="301">
        <v>0.1855</v>
      </c>
      <c r="E77" s="301">
        <v>7.1330754919917E-2</v>
      </c>
      <c r="F77" s="301">
        <v>-0.19500000000000001</v>
      </c>
      <c r="G77" s="301">
        <v>0.02</v>
      </c>
      <c r="H77" s="301">
        <v>-0.19500000000000001</v>
      </c>
      <c r="I77" s="301">
        <v>5.7500000000000002E-2</v>
      </c>
      <c r="J77" s="301">
        <v>0.155</v>
      </c>
      <c r="K77" s="301">
        <v>-4.9500000000000002E-2</v>
      </c>
      <c r="L77" s="301">
        <v>-2.1999999999999999E-2</v>
      </c>
      <c r="M77" s="301">
        <v>-0.29249999999999998</v>
      </c>
      <c r="N77" s="301">
        <v>6.0000000000000001E-3</v>
      </c>
      <c r="O77" s="301">
        <v>-1.5E-3</v>
      </c>
      <c r="P77" s="298">
        <v>-2.75E-2</v>
      </c>
      <c r="Q77" s="298">
        <v>-5.2499999999999998E-2</v>
      </c>
      <c r="R77" s="298">
        <v>-1.545E-2</v>
      </c>
      <c r="S77" s="298">
        <v>-5.8000000000000003E-2</v>
      </c>
      <c r="T77" s="298">
        <v>-0.105</v>
      </c>
      <c r="U77" s="298">
        <v>0.2525</v>
      </c>
      <c r="V77" s="298">
        <v>5.0000000000000001E-3</v>
      </c>
      <c r="W77" s="298">
        <v>-0.16500000000000001</v>
      </c>
      <c r="X77" s="298">
        <v>-1.7500000000000002E-2</v>
      </c>
      <c r="Y77" s="313">
        <v>0.21249999999999999</v>
      </c>
      <c r="Z77" s="313">
        <v>1.2999999999999999E-2</v>
      </c>
      <c r="AA77" s="445">
        <v>0.186</v>
      </c>
      <c r="AB77" s="445">
        <v>0.182</v>
      </c>
      <c r="AC77" s="445">
        <v>0.186</v>
      </c>
      <c r="AD77" s="445">
        <v>0.186</v>
      </c>
      <c r="AE77" s="445">
        <v>0.182</v>
      </c>
      <c r="AF77" s="445">
        <v>0.186</v>
      </c>
      <c r="AG77" s="445">
        <v>0.186</v>
      </c>
      <c r="AH77" s="445">
        <v>0.186</v>
      </c>
      <c r="AI77" s="446">
        <v>0.186</v>
      </c>
      <c r="AJ77" s="446">
        <v>0.186</v>
      </c>
      <c r="AK77" s="446">
        <v>0.186</v>
      </c>
      <c r="AL77" s="445">
        <v>0.186</v>
      </c>
      <c r="AM77" s="312">
        <v>7.1009694311620006E-2</v>
      </c>
      <c r="AN77" s="312"/>
      <c r="AO77" s="313">
        <f t="shared" si="5"/>
        <v>0.182</v>
      </c>
      <c r="AP77" s="313">
        <f t="shared" si="6"/>
        <v>0.182</v>
      </c>
      <c r="AQ77" s="316">
        <f t="shared" si="7"/>
        <v>0.182</v>
      </c>
      <c r="AR77" s="315">
        <f t="shared" si="8"/>
        <v>38504</v>
      </c>
      <c r="AS77" s="313">
        <f t="shared" si="2"/>
        <v>0.69933107417283469</v>
      </c>
      <c r="AT77" s="313">
        <f t="shared" si="3"/>
        <v>0.69946468868638745</v>
      </c>
      <c r="AV77" s="315">
        <f t="shared" si="9"/>
        <v>38504</v>
      </c>
      <c r="AW77" s="298">
        <v>65</v>
      </c>
    </row>
    <row r="78" spans="2:49" x14ac:dyDescent="0.25">
      <c r="B78" s="303">
        <f t="shared" si="4"/>
        <v>38534</v>
      </c>
      <c r="C78" s="301">
        <v>2.7869999999999999</v>
      </c>
      <c r="D78" s="301">
        <v>0.185</v>
      </c>
      <c r="E78" s="301">
        <v>7.1355171705147005E-2</v>
      </c>
      <c r="F78" s="301">
        <v>-0.19500000000000001</v>
      </c>
      <c r="G78" s="301">
        <v>2.2499999999999999E-2</v>
      </c>
      <c r="H78" s="301">
        <v>-0.19500000000000001</v>
      </c>
      <c r="I78" s="301">
        <v>4.7500000000000001E-2</v>
      </c>
      <c r="J78" s="301">
        <v>0.155</v>
      </c>
      <c r="K78" s="301">
        <v>-4.9500000000000002E-2</v>
      </c>
      <c r="L78" s="301">
        <v>-2.1999999999999999E-2</v>
      </c>
      <c r="M78" s="301">
        <v>-0.29249999999999998</v>
      </c>
      <c r="N78" s="301">
        <v>6.0000000000000001E-3</v>
      </c>
      <c r="O78" s="301">
        <v>-1.5E-3</v>
      </c>
      <c r="P78" s="298">
        <v>-2.75E-2</v>
      </c>
      <c r="Q78" s="298">
        <v>-5.2499999999999998E-2</v>
      </c>
      <c r="R78" s="298">
        <v>-1.545E-2</v>
      </c>
      <c r="S78" s="298">
        <v>-5.8000000000000003E-2</v>
      </c>
      <c r="T78" s="298">
        <v>-0.105</v>
      </c>
      <c r="U78" s="298">
        <v>0.25750000000000001</v>
      </c>
      <c r="V78" s="298">
        <v>5.0000000000000001E-3</v>
      </c>
      <c r="W78" s="298">
        <v>-0.16500000000000001</v>
      </c>
      <c r="X78" s="298">
        <v>-1.7500000000000002E-2</v>
      </c>
      <c r="Y78" s="313">
        <v>0.21249999999999999</v>
      </c>
      <c r="Z78" s="313">
        <v>1.2999999999999999E-2</v>
      </c>
      <c r="AA78" s="445">
        <v>0.185</v>
      </c>
      <c r="AB78" s="445">
        <v>0.18099999999999999</v>
      </c>
      <c r="AC78" s="445">
        <v>0.185</v>
      </c>
      <c r="AD78" s="445">
        <v>0.185</v>
      </c>
      <c r="AE78" s="445">
        <v>0.18099999999999999</v>
      </c>
      <c r="AF78" s="445">
        <v>0.185</v>
      </c>
      <c r="AG78" s="445">
        <v>0.185</v>
      </c>
      <c r="AH78" s="445">
        <v>0.185</v>
      </c>
      <c r="AI78" s="446">
        <v>0.185</v>
      </c>
      <c r="AJ78" s="446">
        <v>0.185</v>
      </c>
      <c r="AK78" s="446">
        <v>0.185</v>
      </c>
      <c r="AL78" s="445">
        <v>0.185</v>
      </c>
      <c r="AM78" s="312">
        <v>7.1032290995009004E-2</v>
      </c>
      <c r="AN78" s="312"/>
      <c r="AO78" s="313">
        <f t="shared" si="5"/>
        <v>0.18099999999999999</v>
      </c>
      <c r="AP78" s="313">
        <f t="shared" si="6"/>
        <v>0.18099999999999999</v>
      </c>
      <c r="AQ78" s="316">
        <f t="shared" si="7"/>
        <v>0.18099999999999999</v>
      </c>
      <c r="AR78" s="315">
        <f t="shared" si="8"/>
        <v>38534</v>
      </c>
      <c r="AS78" s="313">
        <f t="shared" si="2"/>
        <v>0.69525547579328717</v>
      </c>
      <c r="AT78" s="313">
        <f t="shared" si="3"/>
        <v>0.69538835316698067</v>
      </c>
      <c r="AV78" s="315">
        <f t="shared" si="9"/>
        <v>38534</v>
      </c>
      <c r="AW78" s="298">
        <v>66</v>
      </c>
    </row>
    <row r="79" spans="2:49" x14ac:dyDescent="0.25">
      <c r="B79" s="303">
        <f t="shared" si="4"/>
        <v>38565</v>
      </c>
      <c r="C79" s="301">
        <v>2.79</v>
      </c>
      <c r="D79" s="301">
        <v>0.185</v>
      </c>
      <c r="E79" s="301">
        <v>7.1380402383423996E-2</v>
      </c>
      <c r="F79" s="301">
        <v>-0.19500000000000001</v>
      </c>
      <c r="G79" s="301">
        <v>2.5000000000000001E-2</v>
      </c>
      <c r="H79" s="301">
        <v>-0.19500000000000001</v>
      </c>
      <c r="I79" s="301">
        <v>4.4999999999999998E-2</v>
      </c>
      <c r="J79" s="301">
        <v>0.155</v>
      </c>
      <c r="K79" s="301">
        <v>-4.9500000000000002E-2</v>
      </c>
      <c r="L79" s="301">
        <v>-2.1999999999999999E-2</v>
      </c>
      <c r="M79" s="301">
        <v>-0.29249999999999998</v>
      </c>
      <c r="N79" s="301">
        <v>6.0000000000000001E-3</v>
      </c>
      <c r="O79" s="301">
        <v>-1.5E-3</v>
      </c>
      <c r="P79" s="298">
        <v>-2.75E-2</v>
      </c>
      <c r="Q79" s="298">
        <v>-5.2499999999999998E-2</v>
      </c>
      <c r="R79" s="298">
        <v>-1.545E-2</v>
      </c>
      <c r="S79" s="298">
        <v>-5.8000000000000003E-2</v>
      </c>
      <c r="T79" s="298">
        <v>-0.105</v>
      </c>
      <c r="U79" s="298">
        <v>0.25750000000000001</v>
      </c>
      <c r="V79" s="298">
        <v>5.0000000000000001E-3</v>
      </c>
      <c r="W79" s="298">
        <v>-0.16500000000000001</v>
      </c>
      <c r="X79" s="298">
        <v>-1.7500000000000002E-2</v>
      </c>
      <c r="Y79" s="313">
        <v>0.21249999999999999</v>
      </c>
      <c r="Z79" s="313">
        <v>1.2999999999999999E-2</v>
      </c>
      <c r="AA79" s="445">
        <v>0.185</v>
      </c>
      <c r="AB79" s="445">
        <v>0.18099999999999999</v>
      </c>
      <c r="AC79" s="445">
        <v>0.185</v>
      </c>
      <c r="AD79" s="445">
        <v>0.185</v>
      </c>
      <c r="AE79" s="445">
        <v>0.18099999999999999</v>
      </c>
      <c r="AF79" s="445">
        <v>0.185</v>
      </c>
      <c r="AG79" s="445">
        <v>0.185</v>
      </c>
      <c r="AH79" s="445">
        <v>0.185</v>
      </c>
      <c r="AI79" s="446">
        <v>0.185</v>
      </c>
      <c r="AJ79" s="446">
        <v>0.185</v>
      </c>
      <c r="AK79" s="446">
        <v>0.185</v>
      </c>
      <c r="AL79" s="445">
        <v>0.185</v>
      </c>
      <c r="AM79" s="312">
        <v>7.1055640901354994E-2</v>
      </c>
      <c r="AN79" s="312"/>
      <c r="AO79" s="313">
        <f t="shared" si="5"/>
        <v>0.18099999999999999</v>
      </c>
      <c r="AP79" s="313">
        <f t="shared" si="6"/>
        <v>0.18099999999999999</v>
      </c>
      <c r="AQ79" s="316">
        <f t="shared" si="7"/>
        <v>0.18099999999999999</v>
      </c>
      <c r="AR79" s="315">
        <f t="shared" si="8"/>
        <v>38565</v>
      </c>
      <c r="AS79" s="313">
        <f t="shared" si="2"/>
        <v>0.69106637371126656</v>
      </c>
      <c r="AT79" s="313">
        <f t="shared" si="3"/>
        <v>0.69119849313442827</v>
      </c>
      <c r="AV79" s="315">
        <f t="shared" si="9"/>
        <v>38565</v>
      </c>
      <c r="AW79" s="298">
        <v>67</v>
      </c>
    </row>
    <row r="80" spans="2:49" x14ac:dyDescent="0.25">
      <c r="B80" s="303">
        <f t="shared" si="4"/>
        <v>38596</v>
      </c>
      <c r="C80" s="301">
        <v>2.7919999999999998</v>
      </c>
      <c r="D80" s="301">
        <v>0.185</v>
      </c>
      <c r="E80" s="301">
        <v>7.1405633061911999E-2</v>
      </c>
      <c r="F80" s="301">
        <v>-0.19500000000000001</v>
      </c>
      <c r="G80" s="301">
        <v>1.7500000000000002E-2</v>
      </c>
      <c r="H80" s="301">
        <v>-0.19500000000000001</v>
      </c>
      <c r="I80" s="301">
        <v>4.2500000000000003E-2</v>
      </c>
      <c r="J80" s="301">
        <v>0.155</v>
      </c>
      <c r="K80" s="301">
        <v>-5.1999999999999998E-2</v>
      </c>
      <c r="L80" s="301">
        <v>-2.1999999999999999E-2</v>
      </c>
      <c r="M80" s="301">
        <v>-0.29249999999999998</v>
      </c>
      <c r="N80" s="301">
        <v>6.0000000000000001E-3</v>
      </c>
      <c r="O80" s="301">
        <v>-1.5E-3</v>
      </c>
      <c r="P80" s="298">
        <v>-2.75E-2</v>
      </c>
      <c r="Q80" s="298">
        <v>-5.2499999999999998E-2</v>
      </c>
      <c r="R80" s="298">
        <v>-1.2749999999999999E-2</v>
      </c>
      <c r="S80" s="298">
        <v>-6.3E-2</v>
      </c>
      <c r="T80" s="298">
        <v>-0.105</v>
      </c>
      <c r="U80" s="298">
        <v>0.2525</v>
      </c>
      <c r="V80" s="298">
        <v>5.0000000000000001E-3</v>
      </c>
      <c r="W80" s="298">
        <v>-0.16500000000000001</v>
      </c>
      <c r="X80" s="298">
        <v>-0.02</v>
      </c>
      <c r="Y80" s="313">
        <v>0.21249999999999999</v>
      </c>
      <c r="Z80" s="313">
        <v>1.2999999999999999E-2</v>
      </c>
      <c r="AA80" s="445">
        <v>0.185</v>
      </c>
      <c r="AB80" s="445">
        <v>0.18099999999999999</v>
      </c>
      <c r="AC80" s="445">
        <v>0.185</v>
      </c>
      <c r="AD80" s="445">
        <v>0.185</v>
      </c>
      <c r="AE80" s="445">
        <v>0.18099999999999999</v>
      </c>
      <c r="AF80" s="445">
        <v>0.185</v>
      </c>
      <c r="AG80" s="445">
        <v>0.185</v>
      </c>
      <c r="AH80" s="445">
        <v>0.185</v>
      </c>
      <c r="AI80" s="446">
        <v>0.185</v>
      </c>
      <c r="AJ80" s="446">
        <v>0.185</v>
      </c>
      <c r="AK80" s="446">
        <v>0.185</v>
      </c>
      <c r="AL80" s="445">
        <v>0.185</v>
      </c>
      <c r="AM80" s="312">
        <v>7.1078990807881007E-2</v>
      </c>
      <c r="AN80" s="312"/>
      <c r="AO80" s="313">
        <f t="shared" si="5"/>
        <v>0.18099999999999999</v>
      </c>
      <c r="AP80" s="313">
        <f t="shared" si="6"/>
        <v>0.18099999999999999</v>
      </c>
      <c r="AQ80" s="316">
        <f t="shared" si="7"/>
        <v>0.18099999999999999</v>
      </c>
      <c r="AR80" s="315">
        <f t="shared" si="8"/>
        <v>38596</v>
      </c>
      <c r="AS80" s="313">
        <f t="shared" ref="AS80:AS143" si="10">(1+$AM80/2)^(-2*($B80-$AS$11)/365.25)</f>
        <v>0.68689988385192935</v>
      </c>
      <c r="AT80" s="313">
        <f t="shared" ref="AT80:AT143" si="11">(1+$AM80/2)^(-2*($B80-$AT$11)/365.25)</f>
        <v>0.68703124913119684</v>
      </c>
      <c r="AV80" s="315">
        <f t="shared" si="9"/>
        <v>38596</v>
      </c>
      <c r="AW80" s="298">
        <v>68</v>
      </c>
    </row>
    <row r="81" spans="2:49" x14ac:dyDescent="0.25">
      <c r="B81" s="303">
        <f t="shared" ref="B81:B144" si="12">EOMONTH(B80,0)+1</f>
        <v>38626</v>
      </c>
      <c r="C81" s="301">
        <v>2.8170000000000002</v>
      </c>
      <c r="D81" s="301">
        <v>0.1845</v>
      </c>
      <c r="E81" s="301">
        <v>7.1430049847744995E-2</v>
      </c>
      <c r="F81" s="301">
        <v>-0.19500000000000001</v>
      </c>
      <c r="G81" s="301">
        <v>7.4999999999999997E-3</v>
      </c>
      <c r="H81" s="301">
        <v>-0.19500000000000001</v>
      </c>
      <c r="I81" s="301">
        <v>5.7500000000000002E-2</v>
      </c>
      <c r="J81" s="301">
        <v>0.1575</v>
      </c>
      <c r="K81" s="301">
        <v>-5.1999999999999998E-2</v>
      </c>
      <c r="L81" s="301">
        <v>-2.1999999999999999E-2</v>
      </c>
      <c r="M81" s="301">
        <v>-0.29249999999999998</v>
      </c>
      <c r="N81" s="301">
        <v>6.0000000000000001E-3</v>
      </c>
      <c r="O81" s="301">
        <v>-1.5E-3</v>
      </c>
      <c r="P81" s="298">
        <v>-2.75E-2</v>
      </c>
      <c r="Q81" s="298">
        <v>-5.2499999999999998E-2</v>
      </c>
      <c r="R81" s="298">
        <v>-1.2749999999999999E-2</v>
      </c>
      <c r="S81" s="298">
        <v>-6.3E-2</v>
      </c>
      <c r="T81" s="298">
        <v>-0.105</v>
      </c>
      <c r="U81" s="298">
        <v>0.255</v>
      </c>
      <c r="V81" s="298">
        <v>5.0000000000000001E-3</v>
      </c>
      <c r="W81" s="298">
        <v>-0.16500000000000001</v>
      </c>
      <c r="X81" s="298">
        <v>-0.02</v>
      </c>
      <c r="Y81" s="313">
        <v>0.21249999999999999</v>
      </c>
      <c r="Z81" s="313">
        <v>1.2999999999999999E-2</v>
      </c>
      <c r="AA81" s="445">
        <v>0.185</v>
      </c>
      <c r="AB81" s="445">
        <v>0.18099999999999999</v>
      </c>
      <c r="AC81" s="445">
        <v>0.185</v>
      </c>
      <c r="AD81" s="445">
        <v>0.185</v>
      </c>
      <c r="AE81" s="445">
        <v>0.18099999999999999</v>
      </c>
      <c r="AF81" s="445">
        <v>0.185</v>
      </c>
      <c r="AG81" s="445">
        <v>0.185</v>
      </c>
      <c r="AH81" s="445">
        <v>0.185</v>
      </c>
      <c r="AI81" s="446">
        <v>0.185</v>
      </c>
      <c r="AJ81" s="446">
        <v>0.185</v>
      </c>
      <c r="AK81" s="446">
        <v>0.185</v>
      </c>
      <c r="AL81" s="445">
        <v>0.185</v>
      </c>
      <c r="AM81" s="312">
        <v>7.1101587491787993E-2</v>
      </c>
      <c r="AN81" s="312"/>
      <c r="AO81" s="313">
        <f t="shared" ref="AO81:AO144" si="13">AB81</f>
        <v>0.18099999999999999</v>
      </c>
      <c r="AP81" s="313">
        <f t="shared" ref="AP81:AP144" si="14">AB81</f>
        <v>0.18099999999999999</v>
      </c>
      <c r="AQ81" s="316">
        <f t="shared" ref="AQ81:AQ144" si="15">AB81</f>
        <v>0.18099999999999999</v>
      </c>
      <c r="AR81" s="315">
        <f t="shared" ref="AR81:AR144" si="16">B81</f>
        <v>38626</v>
      </c>
      <c r="AS81" s="313">
        <f t="shared" si="10"/>
        <v>0.6828892283093565</v>
      </c>
      <c r="AT81" s="313">
        <f t="shared" si="11"/>
        <v>0.683019867381502</v>
      </c>
      <c r="AV81" s="315">
        <f t="shared" ref="AV81:AV144" si="17">B81</f>
        <v>38626</v>
      </c>
      <c r="AW81" s="298">
        <v>69</v>
      </c>
    </row>
    <row r="82" spans="2:49" x14ac:dyDescent="0.25">
      <c r="B82" s="303">
        <f t="shared" si="12"/>
        <v>38657</v>
      </c>
      <c r="C82" s="301">
        <v>2.94</v>
      </c>
      <c r="D82" s="301">
        <v>0.184</v>
      </c>
      <c r="E82" s="301">
        <v>7.1455280526647999E-2</v>
      </c>
      <c r="F82" s="301">
        <v>-0.19</v>
      </c>
      <c r="G82" s="301">
        <v>-3.2500000000000001E-2</v>
      </c>
      <c r="H82" s="301">
        <v>-0.19</v>
      </c>
      <c r="I82" s="301">
        <v>0.13</v>
      </c>
      <c r="J82" s="301">
        <v>0.24</v>
      </c>
      <c r="K82" s="301">
        <v>-5.8500000000000003E-2</v>
      </c>
      <c r="L82" s="301">
        <v>-1.95E-2</v>
      </c>
      <c r="M82" s="301">
        <v>-0.24249999999999999</v>
      </c>
      <c r="N82" s="301">
        <v>8.5000000000000006E-3</v>
      </c>
      <c r="O82" s="301">
        <v>3.0000000000000001E-3</v>
      </c>
      <c r="P82" s="298">
        <v>-3.0499999999999999E-2</v>
      </c>
      <c r="Q82" s="298">
        <v>-5.2499999999999998E-2</v>
      </c>
      <c r="R82" s="298">
        <v>-3.3500000000000002E-2</v>
      </c>
      <c r="S82" s="298">
        <v>-7.8E-2</v>
      </c>
      <c r="T82" s="298">
        <v>-0.14499999999999999</v>
      </c>
      <c r="U82" s="298">
        <v>0.72499999999999998</v>
      </c>
      <c r="V82" s="298">
        <v>5.0000000000000001E-3</v>
      </c>
      <c r="W82" s="298">
        <v>-0.1875</v>
      </c>
      <c r="X82" s="298">
        <v>-1.7500000000000002E-2</v>
      </c>
      <c r="Y82" s="313">
        <v>0.10249999999999999</v>
      </c>
      <c r="Z82" s="313">
        <v>2.2499999999999999E-2</v>
      </c>
      <c r="AA82" s="445">
        <v>0.184</v>
      </c>
      <c r="AB82" s="445">
        <v>0.20200000000000001</v>
      </c>
      <c r="AC82" s="445">
        <v>0.184</v>
      </c>
      <c r="AD82" s="445">
        <v>0.184</v>
      </c>
      <c r="AE82" s="445">
        <v>0.184</v>
      </c>
      <c r="AF82" s="445">
        <v>0.184</v>
      </c>
      <c r="AG82" s="445">
        <v>0.184</v>
      </c>
      <c r="AH82" s="445">
        <v>0.184</v>
      </c>
      <c r="AI82" s="446">
        <v>0.184</v>
      </c>
      <c r="AJ82" s="446">
        <v>0.184</v>
      </c>
      <c r="AK82" s="446">
        <v>0.184</v>
      </c>
      <c r="AL82" s="445">
        <v>0.184</v>
      </c>
      <c r="AM82" s="312">
        <v>7.1124937398668001E-2</v>
      </c>
      <c r="AN82" s="312"/>
      <c r="AO82" s="313">
        <f t="shared" si="13"/>
        <v>0.20200000000000001</v>
      </c>
      <c r="AP82" s="313">
        <f t="shared" si="14"/>
        <v>0.20200000000000001</v>
      </c>
      <c r="AQ82" s="316">
        <f t="shared" si="15"/>
        <v>0.20200000000000001</v>
      </c>
      <c r="AR82" s="315">
        <f t="shared" si="16"/>
        <v>38657</v>
      </c>
      <c r="AS82" s="313">
        <f t="shared" si="10"/>
        <v>0.67876692869565736</v>
      </c>
      <c r="AT82" s="313">
        <f t="shared" si="11"/>
        <v>0.67889682106831617</v>
      </c>
      <c r="AV82" s="315">
        <f t="shared" si="17"/>
        <v>38657</v>
      </c>
      <c r="AW82" s="298">
        <v>70</v>
      </c>
    </row>
    <row r="83" spans="2:49" x14ac:dyDescent="0.25">
      <c r="B83" s="303">
        <f t="shared" si="12"/>
        <v>38687</v>
      </c>
      <c r="C83" s="301">
        <v>3.0569999999999999</v>
      </c>
      <c r="D83" s="301">
        <v>0.185</v>
      </c>
      <c r="E83" s="301">
        <v>7.1479697312882007E-2</v>
      </c>
      <c r="F83" s="301">
        <v>-0.19750000000000001</v>
      </c>
      <c r="G83" s="301">
        <v>-5.5E-2</v>
      </c>
      <c r="H83" s="301">
        <v>-0.19750000000000001</v>
      </c>
      <c r="I83" s="301">
        <v>0.17</v>
      </c>
      <c r="J83" s="301">
        <v>0.29499999999999998</v>
      </c>
      <c r="K83" s="301">
        <v>-5.8500000000000003E-2</v>
      </c>
      <c r="L83" s="301">
        <v>-1.95E-2</v>
      </c>
      <c r="M83" s="301">
        <v>-0.24249999999999999</v>
      </c>
      <c r="N83" s="301">
        <v>8.5000000000000006E-3</v>
      </c>
      <c r="O83" s="301">
        <v>3.0000000000000001E-3</v>
      </c>
      <c r="P83" s="298">
        <v>-3.0499999999999999E-2</v>
      </c>
      <c r="Q83" s="298">
        <v>-5.2499999999999998E-2</v>
      </c>
      <c r="R83" s="298">
        <v>-3.3500000000000002E-2</v>
      </c>
      <c r="S83" s="298">
        <v>-9.2999999999999999E-2</v>
      </c>
      <c r="T83" s="298">
        <v>-0.14499999999999999</v>
      </c>
      <c r="U83" s="298">
        <v>1.0449999999999999</v>
      </c>
      <c r="V83" s="298">
        <v>5.0000000000000001E-3</v>
      </c>
      <c r="W83" s="298">
        <v>-0.1875</v>
      </c>
      <c r="X83" s="298">
        <v>-1.7500000000000002E-2</v>
      </c>
      <c r="Y83" s="313">
        <v>0.10249999999999999</v>
      </c>
      <c r="Z83" s="313">
        <v>2.2499999999999999E-2</v>
      </c>
      <c r="AA83" s="445">
        <v>0.185</v>
      </c>
      <c r="AB83" s="445">
        <v>0.20399999999999999</v>
      </c>
      <c r="AC83" s="445">
        <v>0.185</v>
      </c>
      <c r="AD83" s="445">
        <v>0.185</v>
      </c>
      <c r="AE83" s="445">
        <v>0.185</v>
      </c>
      <c r="AF83" s="445">
        <v>0.185</v>
      </c>
      <c r="AG83" s="445">
        <v>0.185</v>
      </c>
      <c r="AH83" s="445">
        <v>0.185</v>
      </c>
      <c r="AI83" s="446">
        <v>0.185</v>
      </c>
      <c r="AJ83" s="446">
        <v>0.185</v>
      </c>
      <c r="AK83" s="446">
        <v>0.185</v>
      </c>
      <c r="AL83" s="445">
        <v>0.185</v>
      </c>
      <c r="AM83" s="312">
        <v>7.1147534082918004E-2</v>
      </c>
      <c r="AN83" s="312"/>
      <c r="AO83" s="313">
        <f t="shared" si="13"/>
        <v>0.20399999999999999</v>
      </c>
      <c r="AP83" s="313">
        <f t="shared" si="14"/>
        <v>0.20399999999999999</v>
      </c>
      <c r="AQ83" s="316">
        <f t="shared" si="15"/>
        <v>0.20399999999999999</v>
      </c>
      <c r="AR83" s="315">
        <f t="shared" si="16"/>
        <v>38687</v>
      </c>
      <c r="AS83" s="313">
        <f t="shared" si="10"/>
        <v>0.67479884314867866</v>
      </c>
      <c r="AT83" s="313">
        <f t="shared" si="11"/>
        <v>0.67492801648901513</v>
      </c>
      <c r="AV83" s="315">
        <f t="shared" si="17"/>
        <v>38687</v>
      </c>
      <c r="AW83" s="298">
        <v>71</v>
      </c>
    </row>
    <row r="84" spans="2:49" x14ac:dyDescent="0.25">
      <c r="B84" s="303">
        <f t="shared" si="12"/>
        <v>38718</v>
      </c>
      <c r="C84" s="301">
        <v>3.0975000000000001</v>
      </c>
      <c r="D84" s="301">
        <v>0.1595</v>
      </c>
      <c r="E84" s="301">
        <v>7.1504927992197001E-2</v>
      </c>
      <c r="F84" s="301">
        <v>-0.2</v>
      </c>
      <c r="G84" s="301">
        <v>-5.7500000000000002E-2</v>
      </c>
      <c r="H84" s="301">
        <v>-0.2</v>
      </c>
      <c r="I84" s="301">
        <v>0.215</v>
      </c>
      <c r="J84" s="301">
        <v>0.34250000000000003</v>
      </c>
      <c r="K84" s="301">
        <v>-6.25E-2</v>
      </c>
      <c r="L84" s="301">
        <v>-1.7500000000000002E-2</v>
      </c>
      <c r="M84" s="301">
        <v>-0.24249999999999999</v>
      </c>
      <c r="N84" s="301">
        <v>8.5000000000000006E-3</v>
      </c>
      <c r="O84" s="301">
        <v>3.0000000000000001E-3</v>
      </c>
      <c r="P84" s="298">
        <v>-2.5999999999999999E-2</v>
      </c>
      <c r="Q84" s="298">
        <v>-5.2499999999999998E-2</v>
      </c>
      <c r="R84" s="298">
        <v>-3.3500000000000002E-2</v>
      </c>
      <c r="S84" s="298">
        <v>-0.10349999999999999</v>
      </c>
      <c r="T84" s="298">
        <v>-0.14499999999999999</v>
      </c>
      <c r="U84" s="298">
        <v>1.52</v>
      </c>
      <c r="V84" s="298">
        <v>5.0000000000000001E-3</v>
      </c>
      <c r="W84" s="298">
        <v>-0.1875</v>
      </c>
      <c r="X84" s="298">
        <v>-1.7500000000000002E-2</v>
      </c>
      <c r="Y84" s="313">
        <v>0.10249999999999999</v>
      </c>
      <c r="Z84" s="313">
        <v>2.2499999999999999E-2</v>
      </c>
      <c r="AA84" s="445">
        <v>0.16</v>
      </c>
      <c r="AB84" s="445">
        <v>0.16</v>
      </c>
      <c r="AC84" s="445">
        <v>0.16</v>
      </c>
      <c r="AD84" s="445">
        <v>0.16</v>
      </c>
      <c r="AE84" s="445">
        <v>0.16</v>
      </c>
      <c r="AF84" s="445">
        <v>0.16</v>
      </c>
      <c r="AG84" s="445">
        <v>0.16</v>
      </c>
      <c r="AH84" s="445">
        <v>0.16</v>
      </c>
      <c r="AI84" s="446">
        <v>0.16</v>
      </c>
      <c r="AJ84" s="446">
        <v>0.16</v>
      </c>
      <c r="AK84" s="446">
        <v>0.16</v>
      </c>
      <c r="AL84" s="445">
        <v>0.16</v>
      </c>
      <c r="AM84" s="312">
        <v>7.1170883990153005E-2</v>
      </c>
      <c r="AN84" s="312"/>
      <c r="AO84" s="313">
        <f t="shared" si="13"/>
        <v>0.16</v>
      </c>
      <c r="AP84" s="313">
        <f t="shared" si="14"/>
        <v>0.16</v>
      </c>
      <c r="AQ84" s="316">
        <f t="shared" si="15"/>
        <v>0.16</v>
      </c>
      <c r="AR84" s="315">
        <f t="shared" si="16"/>
        <v>38718</v>
      </c>
      <c r="AS84" s="313">
        <f t="shared" si="10"/>
        <v>0.67072033199057735</v>
      </c>
      <c r="AT84" s="313">
        <f t="shared" si="11"/>
        <v>0.67084876601502552</v>
      </c>
      <c r="AV84" s="315">
        <f t="shared" si="17"/>
        <v>38718</v>
      </c>
      <c r="AW84" s="298">
        <v>72</v>
      </c>
    </row>
    <row r="85" spans="2:49" x14ac:dyDescent="0.25">
      <c r="B85" s="303">
        <f t="shared" si="12"/>
        <v>38749</v>
      </c>
      <c r="C85" s="301">
        <v>2.9965000000000002</v>
      </c>
      <c r="D85" s="301">
        <v>0.1595</v>
      </c>
      <c r="E85" s="301">
        <v>7.1530158671722993E-2</v>
      </c>
      <c r="F85" s="301">
        <v>-0.20250000000000001</v>
      </c>
      <c r="G85" s="301">
        <v>-0.04</v>
      </c>
      <c r="H85" s="301">
        <v>-0.20250000000000001</v>
      </c>
      <c r="I85" s="301">
        <v>0.19</v>
      </c>
      <c r="J85" s="301">
        <v>0.33750000000000002</v>
      </c>
      <c r="K85" s="301">
        <v>-5.8500000000000003E-2</v>
      </c>
      <c r="L85" s="301">
        <v>-1.7500000000000002E-2</v>
      </c>
      <c r="M85" s="301">
        <v>-0.24249999999999999</v>
      </c>
      <c r="N85" s="301">
        <v>8.5000000000000006E-3</v>
      </c>
      <c r="O85" s="301">
        <v>3.0000000000000001E-3</v>
      </c>
      <c r="P85" s="298">
        <v>-2.5999999999999999E-2</v>
      </c>
      <c r="Q85" s="298">
        <v>-5.2499999999999998E-2</v>
      </c>
      <c r="R85" s="298">
        <v>-3.3500000000000002E-2</v>
      </c>
      <c r="S85" s="298">
        <v>-9.0999999999999998E-2</v>
      </c>
      <c r="T85" s="298">
        <v>-0.14499999999999999</v>
      </c>
      <c r="U85" s="298">
        <v>1.4</v>
      </c>
      <c r="V85" s="298">
        <v>5.0000000000000001E-3</v>
      </c>
      <c r="W85" s="298">
        <v>-0.1875</v>
      </c>
      <c r="X85" s="298">
        <v>-1.7500000000000002E-2</v>
      </c>
      <c r="Y85" s="313">
        <v>0.10249999999999999</v>
      </c>
      <c r="Z85" s="313">
        <v>2.2499999999999999E-2</v>
      </c>
      <c r="AA85" s="445">
        <v>0.16</v>
      </c>
      <c r="AB85" s="445">
        <v>0.17499999999999999</v>
      </c>
      <c r="AC85" s="445">
        <v>0.16</v>
      </c>
      <c r="AD85" s="445">
        <v>0.16</v>
      </c>
      <c r="AE85" s="445">
        <v>0.16</v>
      </c>
      <c r="AF85" s="445">
        <v>0.16</v>
      </c>
      <c r="AG85" s="445">
        <v>0.16</v>
      </c>
      <c r="AH85" s="445">
        <v>0.16</v>
      </c>
      <c r="AI85" s="446">
        <v>0.16</v>
      </c>
      <c r="AJ85" s="446">
        <v>0.16</v>
      </c>
      <c r="AK85" s="446">
        <v>0.16</v>
      </c>
      <c r="AL85" s="445">
        <v>0.16</v>
      </c>
      <c r="AM85" s="312">
        <v>7.1194233897569001E-2</v>
      </c>
      <c r="AN85" s="312"/>
      <c r="AO85" s="313">
        <f t="shared" si="13"/>
        <v>0.17499999999999999</v>
      </c>
      <c r="AP85" s="313">
        <f t="shared" si="14"/>
        <v>0.17499999999999999</v>
      </c>
      <c r="AQ85" s="316">
        <f t="shared" si="15"/>
        <v>0.17499999999999999</v>
      </c>
      <c r="AR85" s="315">
        <f t="shared" si="16"/>
        <v>38749</v>
      </c>
      <c r="AS85" s="313">
        <f t="shared" si="10"/>
        <v>0.66666392090818127</v>
      </c>
      <c r="AT85" s="313">
        <f t="shared" si="11"/>
        <v>0.66679161934586795</v>
      </c>
      <c r="AV85" s="315">
        <f t="shared" si="17"/>
        <v>38749</v>
      </c>
      <c r="AW85" s="298">
        <v>73</v>
      </c>
    </row>
    <row r="86" spans="2:49" x14ac:dyDescent="0.25">
      <c r="B86" s="303">
        <f t="shared" si="12"/>
        <v>38777</v>
      </c>
      <c r="C86" s="301">
        <v>2.8904999999999998</v>
      </c>
      <c r="D86" s="301">
        <v>0.1585</v>
      </c>
      <c r="E86" s="301">
        <v>7.1552947672766001E-2</v>
      </c>
      <c r="F86" s="301">
        <v>-0.20499999999999999</v>
      </c>
      <c r="G86" s="301">
        <v>-2.75E-2</v>
      </c>
      <c r="H86" s="301">
        <v>-0.20499999999999999</v>
      </c>
      <c r="I86" s="301">
        <v>0.1875</v>
      </c>
      <c r="J86" s="301">
        <v>0.26</v>
      </c>
      <c r="K86" s="301">
        <v>-0.06</v>
      </c>
      <c r="L86" s="301">
        <v>-1.7500000000000002E-2</v>
      </c>
      <c r="M86" s="301">
        <v>-0.24249999999999999</v>
      </c>
      <c r="N86" s="301">
        <v>8.5000000000000006E-3</v>
      </c>
      <c r="O86" s="301">
        <v>3.0000000000000001E-3</v>
      </c>
      <c r="P86" s="298">
        <v>-2.5999999999999999E-2</v>
      </c>
      <c r="Q86" s="298">
        <v>-5.2499999999999998E-2</v>
      </c>
      <c r="R86" s="298">
        <v>-1.52E-2</v>
      </c>
      <c r="S86" s="298">
        <v>-7.85E-2</v>
      </c>
      <c r="T86" s="298">
        <v>-0.14499999999999999</v>
      </c>
      <c r="U86" s="298">
        <v>0.88</v>
      </c>
      <c r="V86" s="298">
        <v>5.0000000000000001E-3</v>
      </c>
      <c r="W86" s="298">
        <v>-0.1875</v>
      </c>
      <c r="X86" s="298">
        <v>-1.7500000000000002E-2</v>
      </c>
      <c r="Y86" s="313">
        <v>0.10249999999999999</v>
      </c>
      <c r="Z86" s="313">
        <v>2.2499999999999999E-2</v>
      </c>
      <c r="AA86" s="445">
        <v>0.159</v>
      </c>
      <c r="AB86" s="445">
        <v>0.17399999999999999</v>
      </c>
      <c r="AC86" s="445">
        <v>0.159</v>
      </c>
      <c r="AD86" s="445">
        <v>0.159</v>
      </c>
      <c r="AE86" s="445">
        <v>0.159</v>
      </c>
      <c r="AF86" s="445">
        <v>0.159</v>
      </c>
      <c r="AG86" s="445">
        <v>0.159</v>
      </c>
      <c r="AH86" s="445">
        <v>0.159</v>
      </c>
      <c r="AI86" s="446">
        <v>0.159</v>
      </c>
      <c r="AJ86" s="446">
        <v>0.159</v>
      </c>
      <c r="AK86" s="446">
        <v>0.159</v>
      </c>
      <c r="AL86" s="445">
        <v>0.159</v>
      </c>
      <c r="AM86" s="298">
        <v>7.1215324136678998E-2</v>
      </c>
      <c r="AO86" s="313">
        <f t="shared" si="13"/>
        <v>0.17399999999999999</v>
      </c>
      <c r="AP86" s="313">
        <f t="shared" si="14"/>
        <v>0.17399999999999999</v>
      </c>
      <c r="AQ86" s="316">
        <f t="shared" si="15"/>
        <v>0.17399999999999999</v>
      </c>
      <c r="AR86" s="315">
        <f t="shared" si="16"/>
        <v>38777</v>
      </c>
      <c r="AS86" s="313">
        <f t="shared" si="10"/>
        <v>0.66301897581583136</v>
      </c>
      <c r="AT86" s="313">
        <f t="shared" si="11"/>
        <v>0.66314601304488408</v>
      </c>
      <c r="AV86" s="315">
        <f t="shared" si="17"/>
        <v>38777</v>
      </c>
      <c r="AW86" s="298">
        <v>74</v>
      </c>
    </row>
    <row r="87" spans="2:49" x14ac:dyDescent="0.25">
      <c r="B87" s="303">
        <f t="shared" si="12"/>
        <v>38808</v>
      </c>
      <c r="C87" s="301">
        <v>2.7995000000000001</v>
      </c>
      <c r="D87" s="301">
        <v>0.1575</v>
      </c>
      <c r="E87" s="301">
        <v>7.1578178352693006E-2</v>
      </c>
      <c r="F87" s="301">
        <v>-0.19500000000000001</v>
      </c>
      <c r="G87" s="301">
        <v>1.4999999999999999E-2</v>
      </c>
      <c r="H87" s="301">
        <v>-0.19500000000000001</v>
      </c>
      <c r="I87" s="301">
        <v>0.08</v>
      </c>
      <c r="J87" s="301">
        <v>0.17</v>
      </c>
      <c r="K87" s="301">
        <v>-7.0000000000000007E-2</v>
      </c>
      <c r="L87" s="301">
        <v>-0.02</v>
      </c>
      <c r="M87" s="301">
        <v>-0.29249999999999998</v>
      </c>
      <c r="N87" s="301">
        <v>6.4999999999999997E-3</v>
      </c>
      <c r="O87" s="301">
        <v>5.0000000000000001E-4</v>
      </c>
      <c r="P87" s="298">
        <v>-2.8000000000000001E-2</v>
      </c>
      <c r="Q87" s="298">
        <v>-0.05</v>
      </c>
      <c r="R87" s="298">
        <v>-1.545E-2</v>
      </c>
      <c r="S87" s="298">
        <v>-6.0999999999999999E-2</v>
      </c>
      <c r="T87" s="298">
        <v>-0.105</v>
      </c>
      <c r="U87" s="298">
        <v>0.37</v>
      </c>
      <c r="V87" s="298">
        <v>5.0000000000000001E-3</v>
      </c>
      <c r="W87" s="298">
        <v>-0.16500000000000001</v>
      </c>
      <c r="X87" s="298">
        <v>-1.7500000000000002E-2</v>
      </c>
      <c r="Y87" s="313">
        <v>0.21249999999999999</v>
      </c>
      <c r="Z87" s="313">
        <v>1.4999999999999999E-2</v>
      </c>
      <c r="AA87" s="445">
        <v>0.158</v>
      </c>
      <c r="AB87" s="445">
        <v>0.154</v>
      </c>
      <c r="AC87" s="445">
        <v>0.158</v>
      </c>
      <c r="AD87" s="445">
        <v>0.158</v>
      </c>
      <c r="AE87" s="445">
        <v>0.154</v>
      </c>
      <c r="AF87" s="445">
        <v>0.158</v>
      </c>
      <c r="AG87" s="445">
        <v>0.158</v>
      </c>
      <c r="AH87" s="445">
        <v>0.158</v>
      </c>
      <c r="AI87" s="446">
        <v>0.158</v>
      </c>
      <c r="AJ87" s="446">
        <v>0.158</v>
      </c>
      <c r="AK87" s="446">
        <v>0.158</v>
      </c>
      <c r="AL87" s="445">
        <v>0.158</v>
      </c>
      <c r="AM87" s="298">
        <v>7.1238674044436998E-2</v>
      </c>
      <c r="AO87" s="313">
        <f t="shared" si="13"/>
        <v>0.154</v>
      </c>
      <c r="AP87" s="313">
        <f t="shared" si="14"/>
        <v>0.154</v>
      </c>
      <c r="AQ87" s="316">
        <f t="shared" si="15"/>
        <v>0.154</v>
      </c>
      <c r="AR87" s="315">
        <f t="shared" si="16"/>
        <v>38808</v>
      </c>
      <c r="AS87" s="313">
        <f t="shared" si="10"/>
        <v>0.6590043428236696</v>
      </c>
      <c r="AT87" s="313">
        <f t="shared" si="11"/>
        <v>0.65913065152035166</v>
      </c>
      <c r="AV87" s="315">
        <f t="shared" si="17"/>
        <v>38808</v>
      </c>
      <c r="AW87" s="298">
        <v>75</v>
      </c>
    </row>
    <row r="88" spans="2:49" x14ac:dyDescent="0.25">
      <c r="B88" s="303">
        <f t="shared" si="12"/>
        <v>38838</v>
      </c>
      <c r="C88" s="301">
        <v>2.8334999999999999</v>
      </c>
      <c r="D88" s="301">
        <v>0.1575</v>
      </c>
      <c r="E88" s="301">
        <v>7.1602595139917999E-2</v>
      </c>
      <c r="F88" s="301">
        <v>-0.19500000000000001</v>
      </c>
      <c r="G88" s="301">
        <v>1.4999999999999999E-2</v>
      </c>
      <c r="H88" s="301">
        <v>-0.19500000000000001</v>
      </c>
      <c r="I88" s="301">
        <v>8.2500000000000004E-2</v>
      </c>
      <c r="J88" s="301">
        <v>0.155</v>
      </c>
      <c r="K88" s="301">
        <v>-5.2499999999999998E-2</v>
      </c>
      <c r="L88" s="301">
        <v>-0.02</v>
      </c>
      <c r="M88" s="301">
        <v>-0.29249999999999998</v>
      </c>
      <c r="N88" s="301">
        <v>6.4999999999999997E-3</v>
      </c>
      <c r="O88" s="301">
        <v>5.0000000000000001E-4</v>
      </c>
      <c r="P88" s="298">
        <v>-2.8000000000000001E-2</v>
      </c>
      <c r="Q88" s="298">
        <v>-0.05</v>
      </c>
      <c r="R88" s="298">
        <v>-1.545E-2</v>
      </c>
      <c r="S88" s="298">
        <v>-6.3500000000000001E-2</v>
      </c>
      <c r="T88" s="298">
        <v>-0.105</v>
      </c>
      <c r="U88" s="298">
        <v>0.2525</v>
      </c>
      <c r="V88" s="298">
        <v>5.0000000000000001E-3</v>
      </c>
      <c r="W88" s="298">
        <v>-0.16500000000000001</v>
      </c>
      <c r="X88" s="298">
        <v>-1.4E-2</v>
      </c>
      <c r="Y88" s="313">
        <v>0.21249999999999999</v>
      </c>
      <c r="Z88" s="313">
        <v>1.4999999999999999E-2</v>
      </c>
      <c r="AA88" s="445">
        <v>0.158</v>
      </c>
      <c r="AB88" s="445">
        <v>0.154</v>
      </c>
      <c r="AC88" s="445">
        <v>0.158</v>
      </c>
      <c r="AD88" s="445">
        <v>0.158</v>
      </c>
      <c r="AE88" s="445">
        <v>0.154</v>
      </c>
      <c r="AF88" s="445">
        <v>0.158</v>
      </c>
      <c r="AG88" s="445">
        <v>0.158</v>
      </c>
      <c r="AH88" s="445">
        <v>0.158</v>
      </c>
      <c r="AI88" s="446">
        <v>0.158</v>
      </c>
      <c r="AJ88" s="446">
        <v>0.158</v>
      </c>
      <c r="AK88" s="446">
        <v>0.158</v>
      </c>
      <c r="AL88" s="445">
        <v>0.158</v>
      </c>
      <c r="AM88" s="298">
        <v>7.1261270729536003E-2</v>
      </c>
      <c r="AO88" s="313">
        <f t="shared" si="13"/>
        <v>0.154</v>
      </c>
      <c r="AP88" s="313">
        <f t="shared" si="14"/>
        <v>0.154</v>
      </c>
      <c r="AQ88" s="316">
        <f t="shared" si="15"/>
        <v>0.154</v>
      </c>
      <c r="AR88" s="315">
        <f t="shared" si="16"/>
        <v>38838</v>
      </c>
      <c r="AS88" s="313">
        <f t="shared" si="10"/>
        <v>0.65513997454167927</v>
      </c>
      <c r="AT88" s="313">
        <f t="shared" si="11"/>
        <v>0.65526558171489646</v>
      </c>
      <c r="AV88" s="315">
        <f t="shared" si="17"/>
        <v>38838</v>
      </c>
      <c r="AW88" s="298">
        <v>76</v>
      </c>
    </row>
    <row r="89" spans="2:49" x14ac:dyDescent="0.25">
      <c r="B89" s="303">
        <f t="shared" si="12"/>
        <v>38869</v>
      </c>
      <c r="C89" s="301">
        <v>2.8384999999999998</v>
      </c>
      <c r="D89" s="301">
        <v>0.1575</v>
      </c>
      <c r="E89" s="301">
        <v>7.1627825820259006E-2</v>
      </c>
      <c r="F89" s="301">
        <v>-0.19500000000000001</v>
      </c>
      <c r="G89" s="301">
        <v>0.02</v>
      </c>
      <c r="H89" s="301">
        <v>-0.19500000000000001</v>
      </c>
      <c r="I89" s="301">
        <v>7.7499999999999999E-2</v>
      </c>
      <c r="J89" s="301">
        <v>0.155</v>
      </c>
      <c r="K89" s="301">
        <v>-4.7500000000000001E-2</v>
      </c>
      <c r="L89" s="301">
        <v>-0.02</v>
      </c>
      <c r="M89" s="301">
        <v>-0.29249999999999998</v>
      </c>
      <c r="N89" s="301">
        <v>6.4999999999999997E-3</v>
      </c>
      <c r="O89" s="301">
        <v>5.0000000000000001E-4</v>
      </c>
      <c r="P89" s="298">
        <v>-2.5499999999999998E-2</v>
      </c>
      <c r="Q89" s="298">
        <v>-0.05</v>
      </c>
      <c r="R89" s="298">
        <v>-1.545E-2</v>
      </c>
      <c r="S89" s="298">
        <v>-5.6000000000000001E-2</v>
      </c>
      <c r="T89" s="298">
        <v>-0.105</v>
      </c>
      <c r="U89" s="298">
        <v>0.2525</v>
      </c>
      <c r="V89" s="298">
        <v>5.0000000000000001E-3</v>
      </c>
      <c r="W89" s="298">
        <v>-0.16500000000000001</v>
      </c>
      <c r="X89" s="298">
        <v>-1.6500000000000001E-2</v>
      </c>
      <c r="Y89" s="313">
        <v>0.21249999999999999</v>
      </c>
      <c r="Z89" s="313">
        <v>1.4999999999999999E-2</v>
      </c>
      <c r="AA89" s="445">
        <v>0.158</v>
      </c>
      <c r="AB89" s="445">
        <v>0.154</v>
      </c>
      <c r="AC89" s="445">
        <v>0.158</v>
      </c>
      <c r="AD89" s="445">
        <v>0.158</v>
      </c>
      <c r="AE89" s="445">
        <v>0.154</v>
      </c>
      <c r="AF89" s="445">
        <v>0.158</v>
      </c>
      <c r="AG89" s="445">
        <v>0.158</v>
      </c>
      <c r="AH89" s="445">
        <v>0.158</v>
      </c>
      <c r="AI89" s="446">
        <v>0.158</v>
      </c>
      <c r="AJ89" s="446">
        <v>0.158</v>
      </c>
      <c r="AK89" s="446">
        <v>0.158</v>
      </c>
      <c r="AL89" s="445">
        <v>0.158</v>
      </c>
      <c r="AM89" s="298">
        <v>7.1284620637648996E-2</v>
      </c>
      <c r="AO89" s="313">
        <f t="shared" si="13"/>
        <v>0.154</v>
      </c>
      <c r="AP89" s="313">
        <f t="shared" si="14"/>
        <v>0.154</v>
      </c>
      <c r="AQ89" s="316">
        <f t="shared" si="15"/>
        <v>0.154</v>
      </c>
      <c r="AR89" s="315">
        <f t="shared" si="16"/>
        <v>38869</v>
      </c>
      <c r="AS89" s="313">
        <f t="shared" si="10"/>
        <v>0.65116814752411167</v>
      </c>
      <c r="AT89" s="313">
        <f t="shared" si="11"/>
        <v>0.65129303339951128</v>
      </c>
      <c r="AV89" s="315">
        <f t="shared" si="17"/>
        <v>38869</v>
      </c>
      <c r="AW89" s="298">
        <v>77</v>
      </c>
    </row>
    <row r="90" spans="2:49" x14ac:dyDescent="0.25">
      <c r="B90" s="303">
        <f t="shared" si="12"/>
        <v>38899</v>
      </c>
      <c r="C90" s="301">
        <v>2.8384999999999998</v>
      </c>
      <c r="D90" s="301">
        <v>0.1575</v>
      </c>
      <c r="E90" s="301">
        <v>7.1652242607884997E-2</v>
      </c>
      <c r="F90" s="301">
        <v>-0.19500000000000001</v>
      </c>
      <c r="G90" s="301">
        <v>2.2499999999999999E-2</v>
      </c>
      <c r="H90" s="301">
        <v>-0.19500000000000001</v>
      </c>
      <c r="I90" s="301">
        <v>6.7500000000000004E-2</v>
      </c>
      <c r="J90" s="301">
        <v>0.155</v>
      </c>
      <c r="K90" s="301">
        <v>-4.7500000000000001E-2</v>
      </c>
      <c r="L90" s="301">
        <v>-0.02</v>
      </c>
      <c r="M90" s="301">
        <v>-0.29249999999999998</v>
      </c>
      <c r="N90" s="301">
        <v>6.4999999999999997E-3</v>
      </c>
      <c r="O90" s="301">
        <v>5.0000000000000001E-4</v>
      </c>
      <c r="P90" s="298">
        <v>-2.5499999999999998E-2</v>
      </c>
      <c r="Q90" s="298">
        <v>-0.05</v>
      </c>
      <c r="R90" s="298">
        <v>-1.545E-2</v>
      </c>
      <c r="S90" s="298">
        <v>-5.6000000000000001E-2</v>
      </c>
      <c r="T90" s="298">
        <v>-0.105</v>
      </c>
      <c r="U90" s="298">
        <v>0.25750000000000001</v>
      </c>
      <c r="V90" s="298">
        <v>5.0000000000000001E-3</v>
      </c>
      <c r="W90" s="298">
        <v>-0.16500000000000001</v>
      </c>
      <c r="X90" s="298">
        <v>-1.6500000000000001E-2</v>
      </c>
      <c r="Y90" s="313">
        <v>0.21249999999999999</v>
      </c>
      <c r="Z90" s="313">
        <v>1.4999999999999999E-2</v>
      </c>
      <c r="AA90" s="445">
        <v>0.158</v>
      </c>
      <c r="AB90" s="445">
        <v>0.154</v>
      </c>
      <c r="AC90" s="445">
        <v>0.158</v>
      </c>
      <c r="AD90" s="445">
        <v>0.158</v>
      </c>
      <c r="AE90" s="445">
        <v>0.154</v>
      </c>
      <c r="AF90" s="445">
        <v>0.158</v>
      </c>
      <c r="AG90" s="445">
        <v>0.158</v>
      </c>
      <c r="AH90" s="445">
        <v>0.158</v>
      </c>
      <c r="AI90" s="446">
        <v>0.158</v>
      </c>
      <c r="AJ90" s="446">
        <v>0.158</v>
      </c>
      <c r="AK90" s="446">
        <v>0.158</v>
      </c>
      <c r="AL90" s="445">
        <v>0.158</v>
      </c>
      <c r="AM90" s="298">
        <v>7.1307217323091004E-2</v>
      </c>
      <c r="AO90" s="313">
        <f t="shared" si="13"/>
        <v>0.154</v>
      </c>
      <c r="AP90" s="313">
        <f t="shared" si="14"/>
        <v>0.154</v>
      </c>
      <c r="AQ90" s="316">
        <f t="shared" si="15"/>
        <v>0.154</v>
      </c>
      <c r="AR90" s="315">
        <f t="shared" si="16"/>
        <v>38899</v>
      </c>
      <c r="AS90" s="313">
        <f t="shared" si="10"/>
        <v>0.64734501434823055</v>
      </c>
      <c r="AT90" s="313">
        <f t="shared" si="11"/>
        <v>0.64746920567245936</v>
      </c>
      <c r="AV90" s="315">
        <f t="shared" si="17"/>
        <v>38899</v>
      </c>
      <c r="AW90" s="298">
        <v>78</v>
      </c>
    </row>
    <row r="91" spans="2:49" x14ac:dyDescent="0.25">
      <c r="B91" s="303">
        <f t="shared" si="12"/>
        <v>38930</v>
      </c>
      <c r="C91" s="301">
        <v>2.8414999999999999</v>
      </c>
      <c r="D91" s="301">
        <v>0.1575</v>
      </c>
      <c r="E91" s="301">
        <v>7.1677473288638993E-2</v>
      </c>
      <c r="F91" s="301">
        <v>-0.19500000000000001</v>
      </c>
      <c r="G91" s="301">
        <v>2.5000000000000001E-2</v>
      </c>
      <c r="H91" s="301">
        <v>-0.19500000000000001</v>
      </c>
      <c r="I91" s="301">
        <v>6.5000000000000002E-2</v>
      </c>
      <c r="J91" s="301">
        <v>0.155</v>
      </c>
      <c r="K91" s="301">
        <v>-4.7500000000000001E-2</v>
      </c>
      <c r="L91" s="301">
        <v>-0.02</v>
      </c>
      <c r="M91" s="301">
        <v>-0.29249999999999998</v>
      </c>
      <c r="N91" s="301">
        <v>6.4999999999999997E-3</v>
      </c>
      <c r="O91" s="301">
        <v>5.0000000000000001E-4</v>
      </c>
      <c r="P91" s="298">
        <v>-2.5499999999999998E-2</v>
      </c>
      <c r="Q91" s="298">
        <v>-0.05</v>
      </c>
      <c r="R91" s="298">
        <v>-1.2749999999999999E-2</v>
      </c>
      <c r="S91" s="298">
        <v>-5.6000000000000001E-2</v>
      </c>
      <c r="T91" s="298">
        <v>-0.105</v>
      </c>
      <c r="U91" s="298">
        <v>0.25750000000000001</v>
      </c>
      <c r="V91" s="298">
        <v>5.0000000000000001E-3</v>
      </c>
      <c r="W91" s="298">
        <v>-0.16500000000000001</v>
      </c>
      <c r="X91" s="298">
        <v>-1.6500000000000001E-2</v>
      </c>
      <c r="Y91" s="313">
        <v>0.21249999999999999</v>
      </c>
      <c r="Z91" s="313">
        <v>1.4999999999999999E-2</v>
      </c>
      <c r="AA91" s="445">
        <v>0.158</v>
      </c>
      <c r="AB91" s="445">
        <v>0.154</v>
      </c>
      <c r="AC91" s="445">
        <v>0.158</v>
      </c>
      <c r="AD91" s="445">
        <v>0.158</v>
      </c>
      <c r="AE91" s="445">
        <v>0.154</v>
      </c>
      <c r="AF91" s="445">
        <v>0.158</v>
      </c>
      <c r="AG91" s="445">
        <v>0.158</v>
      </c>
      <c r="AH91" s="445">
        <v>0.158</v>
      </c>
      <c r="AI91" s="446">
        <v>0.158</v>
      </c>
      <c r="AJ91" s="446">
        <v>0.158</v>
      </c>
      <c r="AK91" s="446">
        <v>0.158</v>
      </c>
      <c r="AL91" s="445">
        <v>0.158</v>
      </c>
      <c r="AM91" s="298">
        <v>7.1330567231558006E-2</v>
      </c>
      <c r="AO91" s="313">
        <f t="shared" si="13"/>
        <v>0.154</v>
      </c>
      <c r="AP91" s="313">
        <f t="shared" si="14"/>
        <v>0.154</v>
      </c>
      <c r="AQ91" s="316">
        <f t="shared" si="15"/>
        <v>0.154</v>
      </c>
      <c r="AR91" s="315">
        <f t="shared" si="16"/>
        <v>38930</v>
      </c>
      <c r="AS91" s="313">
        <f t="shared" si="10"/>
        <v>0.64341560127706199</v>
      </c>
      <c r="AT91" s="313">
        <f t="shared" si="11"/>
        <v>0.64353907847841407</v>
      </c>
      <c r="AV91" s="315">
        <f t="shared" si="17"/>
        <v>38930</v>
      </c>
      <c r="AW91" s="298">
        <v>79</v>
      </c>
    </row>
    <row r="92" spans="2:49" x14ac:dyDescent="0.25">
      <c r="B92" s="303">
        <f t="shared" si="12"/>
        <v>38961</v>
      </c>
      <c r="C92" s="301">
        <v>2.8424999999999998</v>
      </c>
      <c r="D92" s="301">
        <v>0.1575</v>
      </c>
      <c r="E92" s="301">
        <v>7.1702703969603002E-2</v>
      </c>
      <c r="F92" s="301">
        <v>-0.19500000000000001</v>
      </c>
      <c r="G92" s="301">
        <v>1.7500000000000002E-2</v>
      </c>
      <c r="H92" s="301">
        <v>-0.19500000000000001</v>
      </c>
      <c r="I92" s="301">
        <v>6.25E-2</v>
      </c>
      <c r="J92" s="301">
        <v>0.155</v>
      </c>
      <c r="K92" s="301">
        <v>-0.05</v>
      </c>
      <c r="L92" s="301">
        <v>-0.02</v>
      </c>
      <c r="M92" s="301">
        <v>-0.29249999999999998</v>
      </c>
      <c r="N92" s="301">
        <v>6.4999999999999997E-3</v>
      </c>
      <c r="O92" s="301">
        <v>5.0000000000000001E-4</v>
      </c>
      <c r="P92" s="298">
        <v>-2.5499999999999998E-2</v>
      </c>
      <c r="Q92" s="298">
        <v>-0.05</v>
      </c>
      <c r="R92" s="298">
        <v>-1.2749999999999999E-2</v>
      </c>
      <c r="S92" s="298">
        <v>-6.0999999999999999E-2</v>
      </c>
      <c r="T92" s="298">
        <v>-0.105</v>
      </c>
      <c r="U92" s="298">
        <v>0.2525</v>
      </c>
      <c r="V92" s="298">
        <v>5.0000000000000001E-3</v>
      </c>
      <c r="W92" s="298">
        <v>-0.16500000000000001</v>
      </c>
      <c r="X92" s="298">
        <v>-1.9E-2</v>
      </c>
      <c r="Y92" s="313">
        <v>0.21249999999999999</v>
      </c>
      <c r="Z92" s="313">
        <v>1.4999999999999999E-2</v>
      </c>
      <c r="AA92" s="445">
        <v>0.158</v>
      </c>
      <c r="AB92" s="445">
        <v>0.154</v>
      </c>
      <c r="AC92" s="445">
        <v>0.158</v>
      </c>
      <c r="AD92" s="445">
        <v>0.158</v>
      </c>
      <c r="AE92" s="445">
        <v>0.154</v>
      </c>
      <c r="AF92" s="445">
        <v>0.158</v>
      </c>
      <c r="AG92" s="445">
        <v>0.158</v>
      </c>
      <c r="AH92" s="445">
        <v>0.158</v>
      </c>
      <c r="AI92" s="446">
        <v>0.158</v>
      </c>
      <c r="AJ92" s="446">
        <v>0.158</v>
      </c>
      <c r="AK92" s="446">
        <v>0.158</v>
      </c>
      <c r="AL92" s="445">
        <v>0.158</v>
      </c>
      <c r="AM92" s="298">
        <v>7.1353917140205003E-2</v>
      </c>
      <c r="AO92" s="313">
        <f t="shared" si="13"/>
        <v>0.154</v>
      </c>
      <c r="AP92" s="313">
        <f t="shared" si="14"/>
        <v>0.154</v>
      </c>
      <c r="AQ92" s="316">
        <f t="shared" si="15"/>
        <v>0.154</v>
      </c>
      <c r="AR92" s="315">
        <f t="shared" si="16"/>
        <v>38961</v>
      </c>
      <c r="AS92" s="313">
        <f t="shared" si="10"/>
        <v>0.63950759349051001</v>
      </c>
      <c r="AT92" s="313">
        <f t="shared" si="11"/>
        <v>0.63963036019253183</v>
      </c>
      <c r="AV92" s="315">
        <f t="shared" si="17"/>
        <v>38961</v>
      </c>
      <c r="AW92" s="298">
        <v>80</v>
      </c>
    </row>
    <row r="93" spans="2:49" x14ac:dyDescent="0.25">
      <c r="B93" s="303">
        <f t="shared" si="12"/>
        <v>38991</v>
      </c>
      <c r="C93" s="301">
        <v>2.8664999999999998</v>
      </c>
      <c r="D93" s="301">
        <v>0.1575</v>
      </c>
      <c r="E93" s="301">
        <v>7.1727120757833995E-2</v>
      </c>
      <c r="F93" s="301">
        <v>-0.19500000000000001</v>
      </c>
      <c r="G93" s="301">
        <v>7.4999999999999997E-3</v>
      </c>
      <c r="H93" s="301">
        <v>-0.19500000000000001</v>
      </c>
      <c r="I93" s="301">
        <v>7.7499999999999999E-2</v>
      </c>
      <c r="J93" s="301">
        <v>0.1575</v>
      </c>
      <c r="K93" s="301">
        <v>-0.05</v>
      </c>
      <c r="L93" s="301">
        <v>-0.02</v>
      </c>
      <c r="M93" s="301">
        <v>-0.29249999999999998</v>
      </c>
      <c r="N93" s="301">
        <v>6.4999999999999997E-3</v>
      </c>
      <c r="O93" s="301">
        <v>5.0000000000000001E-4</v>
      </c>
      <c r="P93" s="298">
        <v>-2.5499999999999998E-2</v>
      </c>
      <c r="Q93" s="298">
        <v>-0.05</v>
      </c>
      <c r="R93" s="298">
        <v>-3.3500000000000002E-2</v>
      </c>
      <c r="S93" s="298">
        <v>-6.0999999999999999E-2</v>
      </c>
      <c r="T93" s="298">
        <v>-0.105</v>
      </c>
      <c r="U93" s="298">
        <v>0.255</v>
      </c>
      <c r="V93" s="298">
        <v>5.0000000000000001E-3</v>
      </c>
      <c r="W93" s="298">
        <v>-0.16500000000000001</v>
      </c>
      <c r="X93" s="298">
        <v>-1.9E-2</v>
      </c>
      <c r="Y93" s="313">
        <v>0.21249999999999999</v>
      </c>
      <c r="Z93" s="313">
        <v>1.4999999999999999E-2</v>
      </c>
      <c r="AA93" s="445">
        <v>0.158</v>
      </c>
      <c r="AB93" s="445">
        <v>0.154</v>
      </c>
      <c r="AC93" s="445">
        <v>0.158</v>
      </c>
      <c r="AD93" s="445">
        <v>0.158</v>
      </c>
      <c r="AE93" s="445">
        <v>0.154</v>
      </c>
      <c r="AF93" s="445">
        <v>0.158</v>
      </c>
      <c r="AG93" s="445">
        <v>0.158</v>
      </c>
      <c r="AH93" s="445">
        <v>0.158</v>
      </c>
      <c r="AI93" s="446">
        <v>0.158</v>
      </c>
      <c r="AJ93" s="446">
        <v>0.158</v>
      </c>
      <c r="AK93" s="446">
        <v>0.158</v>
      </c>
      <c r="AL93" s="445">
        <v>0.158</v>
      </c>
      <c r="AM93" s="298">
        <v>7.1376513826165E-2</v>
      </c>
      <c r="AO93" s="313">
        <f t="shared" si="13"/>
        <v>0.154</v>
      </c>
      <c r="AP93" s="313">
        <f t="shared" si="14"/>
        <v>0.154</v>
      </c>
      <c r="AQ93" s="316">
        <f t="shared" si="15"/>
        <v>0.154</v>
      </c>
      <c r="AR93" s="315">
        <f t="shared" si="16"/>
        <v>38991</v>
      </c>
      <c r="AS93" s="313">
        <f t="shared" si="10"/>
        <v>0.63574593680822955</v>
      </c>
      <c r="AT93" s="313">
        <f t="shared" si="11"/>
        <v>0.63586801936597825</v>
      </c>
      <c r="AV93" s="315">
        <f t="shared" si="17"/>
        <v>38991</v>
      </c>
      <c r="AW93" s="298">
        <v>81</v>
      </c>
    </row>
    <row r="94" spans="2:49" x14ac:dyDescent="0.25">
      <c r="B94" s="303">
        <f t="shared" si="12"/>
        <v>39022</v>
      </c>
      <c r="C94" s="301">
        <v>2.9845000000000002</v>
      </c>
      <c r="D94" s="301">
        <v>0.1575</v>
      </c>
      <c r="E94" s="301">
        <v>7.1752351439212006E-2</v>
      </c>
      <c r="F94" s="301">
        <v>-0.19</v>
      </c>
      <c r="G94" s="301">
        <v>-3.2500000000000001E-2</v>
      </c>
      <c r="H94" s="301">
        <v>-0.19</v>
      </c>
      <c r="I94" s="301">
        <v>0.13500000000000001</v>
      </c>
      <c r="J94" s="301">
        <v>0.24</v>
      </c>
      <c r="K94" s="301">
        <v>-5.6500000000000002E-2</v>
      </c>
      <c r="L94" s="301">
        <v>-1.7500000000000002E-2</v>
      </c>
      <c r="M94" s="301">
        <v>-0.24249999999999999</v>
      </c>
      <c r="N94" s="301">
        <v>8.9999999999999993E-3</v>
      </c>
      <c r="O94" s="301">
        <v>5.0000000000000001E-3</v>
      </c>
      <c r="P94" s="298">
        <v>-2.8500000000000001E-2</v>
      </c>
      <c r="Q94" s="298">
        <v>-0.05</v>
      </c>
      <c r="R94" s="298">
        <v>-3.2500000000000001E-2</v>
      </c>
      <c r="S94" s="298">
        <v>-7.5999999999999998E-2</v>
      </c>
      <c r="T94" s="298">
        <v>-0.14499999999999999</v>
      </c>
      <c r="U94" s="298">
        <v>0.72499999999999998</v>
      </c>
      <c r="V94" s="298">
        <v>5.0000000000000001E-3</v>
      </c>
      <c r="W94" s="298">
        <v>-0.1875</v>
      </c>
      <c r="X94" s="298">
        <v>-1.6500000000000001E-2</v>
      </c>
      <c r="Y94" s="313">
        <v>0.10249999999999999</v>
      </c>
      <c r="Z94" s="313">
        <v>2.4500000000000001E-2</v>
      </c>
      <c r="AA94" s="445">
        <v>0.158</v>
      </c>
      <c r="AB94" s="445">
        <v>0.17299999999999999</v>
      </c>
      <c r="AC94" s="445">
        <v>0.158</v>
      </c>
      <c r="AD94" s="445">
        <v>0.158</v>
      </c>
      <c r="AE94" s="445">
        <v>0.158</v>
      </c>
      <c r="AF94" s="445">
        <v>0.158</v>
      </c>
      <c r="AG94" s="445">
        <v>0.158</v>
      </c>
      <c r="AH94" s="445">
        <v>0.158</v>
      </c>
      <c r="AI94" s="446">
        <v>0.158</v>
      </c>
      <c r="AJ94" s="446">
        <v>0.158</v>
      </c>
      <c r="AK94" s="446">
        <v>0.158</v>
      </c>
      <c r="AL94" s="445">
        <v>0.158</v>
      </c>
      <c r="AM94" s="298">
        <v>7.1399863735167005E-2</v>
      </c>
      <c r="AO94" s="313">
        <f t="shared" si="13"/>
        <v>0.17299999999999999</v>
      </c>
      <c r="AP94" s="313">
        <f t="shared" si="14"/>
        <v>0.17299999999999999</v>
      </c>
      <c r="AQ94" s="316">
        <f t="shared" si="15"/>
        <v>0.17299999999999999</v>
      </c>
      <c r="AR94" s="315">
        <f t="shared" si="16"/>
        <v>39022</v>
      </c>
      <c r="AS94" s="313">
        <f t="shared" si="10"/>
        <v>0.63187975697966059</v>
      </c>
      <c r="AT94" s="313">
        <f t="shared" si="11"/>
        <v>0.63200113612376396</v>
      </c>
      <c r="AV94" s="315">
        <f t="shared" si="17"/>
        <v>39022</v>
      </c>
      <c r="AW94" s="298">
        <v>82</v>
      </c>
    </row>
    <row r="95" spans="2:49" x14ac:dyDescent="0.25">
      <c r="B95" s="303">
        <f t="shared" si="12"/>
        <v>39052</v>
      </c>
      <c r="C95" s="301">
        <v>3.0985</v>
      </c>
      <c r="D95" s="301">
        <v>0.1575</v>
      </c>
      <c r="E95" s="301">
        <v>7.1776768227842999E-2</v>
      </c>
      <c r="F95" s="301">
        <v>-0.19750000000000001</v>
      </c>
      <c r="G95" s="301">
        <v>-5.5E-2</v>
      </c>
      <c r="H95" s="301">
        <v>-0.19750000000000001</v>
      </c>
      <c r="I95" s="301">
        <v>0.17499999999999999</v>
      </c>
      <c r="J95" s="301">
        <v>0.29499999999999998</v>
      </c>
      <c r="K95" s="301">
        <v>-5.6500000000000002E-2</v>
      </c>
      <c r="L95" s="301">
        <v>-1.7500000000000002E-2</v>
      </c>
      <c r="M95" s="301">
        <v>-0.24249999999999999</v>
      </c>
      <c r="N95" s="301">
        <v>8.9999999999999993E-3</v>
      </c>
      <c r="O95" s="301">
        <v>5.0000000000000001E-3</v>
      </c>
      <c r="P95" s="298">
        <v>-2.8500000000000001E-2</v>
      </c>
      <c r="Q95" s="298">
        <v>-0.05</v>
      </c>
      <c r="R95" s="298">
        <v>-3.2500000000000001E-2</v>
      </c>
      <c r="S95" s="298">
        <v>-9.0999999999999998E-2</v>
      </c>
      <c r="T95" s="298">
        <v>-0.14499999999999999</v>
      </c>
      <c r="U95" s="298">
        <v>1.0449999999999999</v>
      </c>
      <c r="V95" s="298">
        <v>5.0000000000000001E-3</v>
      </c>
      <c r="W95" s="298">
        <v>-0.1875</v>
      </c>
      <c r="X95" s="298">
        <v>-1.6500000000000001E-2</v>
      </c>
      <c r="Y95" s="313">
        <v>0.10249999999999999</v>
      </c>
      <c r="Z95" s="313">
        <v>2.4500000000000001E-2</v>
      </c>
      <c r="AA95" s="445">
        <v>0.158</v>
      </c>
      <c r="AB95" s="445">
        <v>0.17299999999999999</v>
      </c>
      <c r="AC95" s="445">
        <v>0.158</v>
      </c>
      <c r="AD95" s="445">
        <v>0.158</v>
      </c>
      <c r="AE95" s="445">
        <v>0.158</v>
      </c>
      <c r="AF95" s="445">
        <v>0.158</v>
      </c>
      <c r="AG95" s="445">
        <v>0.158</v>
      </c>
      <c r="AH95" s="445">
        <v>0.158</v>
      </c>
      <c r="AI95" s="446">
        <v>0.158</v>
      </c>
      <c r="AJ95" s="446">
        <v>0.158</v>
      </c>
      <c r="AK95" s="446">
        <v>0.158</v>
      </c>
      <c r="AL95" s="445">
        <v>0.158</v>
      </c>
      <c r="AM95" s="298">
        <v>7.1422460421469006E-2</v>
      </c>
      <c r="AO95" s="313">
        <f t="shared" si="13"/>
        <v>0.17299999999999999</v>
      </c>
      <c r="AP95" s="313">
        <f t="shared" si="14"/>
        <v>0.17299999999999999</v>
      </c>
      <c r="AQ95" s="316">
        <f t="shared" si="15"/>
        <v>0.17299999999999999</v>
      </c>
      <c r="AR95" s="315">
        <f t="shared" si="16"/>
        <v>39052</v>
      </c>
      <c r="AS95" s="313">
        <f t="shared" si="10"/>
        <v>0.62815839231144333</v>
      </c>
      <c r="AT95" s="313">
        <f t="shared" si="11"/>
        <v>0.62827909413991889</v>
      </c>
      <c r="AV95" s="315">
        <f t="shared" si="17"/>
        <v>39052</v>
      </c>
      <c r="AW95" s="298">
        <v>83</v>
      </c>
    </row>
    <row r="96" spans="2:49" x14ac:dyDescent="0.25">
      <c r="B96" s="303">
        <f t="shared" si="12"/>
        <v>39083</v>
      </c>
      <c r="C96" s="301">
        <v>3.1444999999999999</v>
      </c>
      <c r="D96" s="301">
        <v>0.1575</v>
      </c>
      <c r="E96" s="301">
        <v>7.1801998909634998E-2</v>
      </c>
      <c r="F96" s="301">
        <v>-0.2</v>
      </c>
      <c r="G96" s="301">
        <v>-5.7500000000000002E-2</v>
      </c>
      <c r="H96" s="301">
        <v>-0.2</v>
      </c>
      <c r="I96" s="301">
        <v>0.22</v>
      </c>
      <c r="J96" s="301">
        <v>0.34250000000000003</v>
      </c>
      <c r="K96" s="301">
        <v>-6.0499999999999998E-2</v>
      </c>
      <c r="L96" s="301">
        <v>-1.55E-2</v>
      </c>
      <c r="M96" s="301">
        <v>-0.24249999999999999</v>
      </c>
      <c r="N96" s="301">
        <v>8.9999999999999993E-3</v>
      </c>
      <c r="O96" s="301">
        <v>5.0000000000000001E-3</v>
      </c>
      <c r="P96" s="298">
        <v>-2.4E-2</v>
      </c>
      <c r="Q96" s="298">
        <v>-0.05</v>
      </c>
      <c r="R96" s="298">
        <v>-3.2500000000000001E-2</v>
      </c>
      <c r="S96" s="298">
        <v>-0.10150000000000001</v>
      </c>
      <c r="T96" s="298">
        <v>-0.14499999999999999</v>
      </c>
      <c r="U96" s="298">
        <v>1.52</v>
      </c>
      <c r="V96" s="298">
        <v>5.0000000000000001E-3</v>
      </c>
      <c r="W96" s="298">
        <v>-0.1875</v>
      </c>
      <c r="X96" s="298">
        <v>-1.6500000000000001E-2</v>
      </c>
      <c r="Y96" s="313">
        <v>0.10249999999999999</v>
      </c>
      <c r="Z96" s="313">
        <v>2.4500000000000001E-2</v>
      </c>
      <c r="AA96" s="445">
        <v>0.158</v>
      </c>
      <c r="AB96" s="445">
        <v>0.158</v>
      </c>
      <c r="AC96" s="445">
        <v>0.158</v>
      </c>
      <c r="AD96" s="445">
        <v>0.158</v>
      </c>
      <c r="AE96" s="445">
        <v>0.158</v>
      </c>
      <c r="AF96" s="445">
        <v>0.158</v>
      </c>
      <c r="AG96" s="445">
        <v>0.158</v>
      </c>
      <c r="AH96" s="445">
        <v>0.158</v>
      </c>
      <c r="AI96" s="446">
        <v>0.158</v>
      </c>
      <c r="AJ96" s="446">
        <v>0.158</v>
      </c>
      <c r="AK96" s="446">
        <v>0.158</v>
      </c>
      <c r="AL96" s="445">
        <v>0.158</v>
      </c>
      <c r="AM96" s="298">
        <v>7.1445810330826004E-2</v>
      </c>
      <c r="AO96" s="313">
        <f t="shared" si="13"/>
        <v>0.158</v>
      </c>
      <c r="AP96" s="313">
        <f t="shared" si="14"/>
        <v>0.158</v>
      </c>
      <c r="AQ96" s="316">
        <f t="shared" si="15"/>
        <v>0.158</v>
      </c>
      <c r="AR96" s="315">
        <f t="shared" si="16"/>
        <v>39083</v>
      </c>
      <c r="AS96" s="313">
        <f t="shared" si="10"/>
        <v>0.62433365538257268</v>
      </c>
      <c r="AT96" s="313">
        <f t="shared" si="11"/>
        <v>0.62445366082433784</v>
      </c>
      <c r="AV96" s="315">
        <f t="shared" si="17"/>
        <v>39083</v>
      </c>
      <c r="AW96" s="298">
        <v>84</v>
      </c>
    </row>
    <row r="97" spans="2:49" x14ac:dyDescent="0.25">
      <c r="B97" s="303">
        <f t="shared" si="12"/>
        <v>39114</v>
      </c>
      <c r="C97" s="301">
        <v>3.0474999999999999</v>
      </c>
      <c r="D97" s="301">
        <v>0.1575</v>
      </c>
      <c r="E97" s="301">
        <v>7.1827229591636996E-2</v>
      </c>
      <c r="F97" s="301">
        <v>-0.20250000000000001</v>
      </c>
      <c r="G97" s="301">
        <v>-0.04</v>
      </c>
      <c r="H97" s="301">
        <v>-0.20250000000000001</v>
      </c>
      <c r="I97" s="301">
        <v>0.19500000000000001</v>
      </c>
      <c r="J97" s="301">
        <v>0.33750000000000002</v>
      </c>
      <c r="K97" s="301">
        <v>-5.6500000000000002E-2</v>
      </c>
      <c r="L97" s="301">
        <v>-1.55E-2</v>
      </c>
      <c r="M97" s="301">
        <v>-0.24249999999999999</v>
      </c>
      <c r="N97" s="301">
        <v>8.9999999999999993E-3</v>
      </c>
      <c r="O97" s="301">
        <v>5.0000000000000001E-3</v>
      </c>
      <c r="P97" s="298">
        <v>-2.4E-2</v>
      </c>
      <c r="Q97" s="298">
        <v>-0.05</v>
      </c>
      <c r="R97" s="298">
        <v>-3.2500000000000001E-2</v>
      </c>
      <c r="S97" s="298">
        <v>-8.8999999999999996E-2</v>
      </c>
      <c r="T97" s="298">
        <v>-0.14499999999999999</v>
      </c>
      <c r="U97" s="298">
        <v>1.4</v>
      </c>
      <c r="V97" s="298">
        <v>5.0000000000000001E-3</v>
      </c>
      <c r="W97" s="298">
        <v>-0.1875</v>
      </c>
      <c r="X97" s="298">
        <v>-1.6500000000000001E-2</v>
      </c>
      <c r="Y97" s="313">
        <v>0.10249999999999999</v>
      </c>
      <c r="Z97" s="313">
        <v>2.4500000000000001E-2</v>
      </c>
      <c r="AA97" s="445">
        <v>0.158</v>
      </c>
      <c r="AB97" s="445">
        <v>0.17299999999999999</v>
      </c>
      <c r="AC97" s="445">
        <v>0.158</v>
      </c>
      <c r="AD97" s="445">
        <v>0.158</v>
      </c>
      <c r="AE97" s="445">
        <v>0.158</v>
      </c>
      <c r="AF97" s="445">
        <v>0.158</v>
      </c>
      <c r="AG97" s="445">
        <v>0.158</v>
      </c>
      <c r="AH97" s="445">
        <v>0.158</v>
      </c>
      <c r="AI97" s="446">
        <v>0.158</v>
      </c>
      <c r="AJ97" s="446">
        <v>0.158</v>
      </c>
      <c r="AK97" s="446">
        <v>0.158</v>
      </c>
      <c r="AL97" s="445">
        <v>0.158</v>
      </c>
      <c r="AM97" s="298">
        <v>7.1469160240361998E-2</v>
      </c>
      <c r="AO97" s="313">
        <f t="shared" si="13"/>
        <v>0.17299999999999999</v>
      </c>
      <c r="AP97" s="313">
        <f t="shared" si="14"/>
        <v>0.17299999999999999</v>
      </c>
      <c r="AQ97" s="316">
        <f t="shared" si="15"/>
        <v>0.17299999999999999</v>
      </c>
      <c r="AR97" s="315">
        <f t="shared" si="16"/>
        <v>39114</v>
      </c>
      <c r="AS97" s="313">
        <f t="shared" si="10"/>
        <v>0.62052983291847486</v>
      </c>
      <c r="AT97" s="313">
        <f t="shared" si="11"/>
        <v>0.62064914552219042</v>
      </c>
      <c r="AV97" s="315">
        <f t="shared" si="17"/>
        <v>39114</v>
      </c>
      <c r="AW97" s="298">
        <v>85</v>
      </c>
    </row>
    <row r="98" spans="2:49" x14ac:dyDescent="0.25">
      <c r="B98" s="303">
        <f t="shared" si="12"/>
        <v>39142</v>
      </c>
      <c r="C98" s="301">
        <v>2.9445000000000001</v>
      </c>
      <c r="D98" s="301">
        <v>0.1575</v>
      </c>
      <c r="E98" s="301">
        <v>7.1850018594917006E-2</v>
      </c>
      <c r="F98" s="301">
        <v>-0.20499999999999999</v>
      </c>
      <c r="G98" s="301">
        <v>-2.75E-2</v>
      </c>
      <c r="H98" s="301">
        <v>-0.20499999999999999</v>
      </c>
      <c r="I98" s="301">
        <v>0.1925</v>
      </c>
      <c r="J98" s="301">
        <v>0.26</v>
      </c>
      <c r="K98" s="301">
        <v>-5.8000000000000003E-2</v>
      </c>
      <c r="L98" s="301">
        <v>-1.55E-2</v>
      </c>
      <c r="M98" s="301">
        <v>-0.24249999999999999</v>
      </c>
      <c r="N98" s="301">
        <v>8.9999999999999993E-3</v>
      </c>
      <c r="O98" s="301">
        <v>5.0000000000000001E-3</v>
      </c>
      <c r="P98" s="298">
        <v>-2.4E-2</v>
      </c>
      <c r="Q98" s="298">
        <v>-0.05</v>
      </c>
      <c r="R98" s="298">
        <v>-1.4200000000000001E-2</v>
      </c>
      <c r="S98" s="298">
        <v>-7.6499999999999999E-2</v>
      </c>
      <c r="T98" s="298">
        <v>-0.14499999999999999</v>
      </c>
      <c r="U98" s="298">
        <v>0.88</v>
      </c>
      <c r="V98" s="298">
        <v>5.0000000000000001E-3</v>
      </c>
      <c r="W98" s="298">
        <v>-0.1875</v>
      </c>
      <c r="X98" s="298">
        <v>-1.6500000000000001E-2</v>
      </c>
      <c r="Y98" s="313">
        <v>0.10249999999999999</v>
      </c>
      <c r="Z98" s="313">
        <v>2.4500000000000001E-2</v>
      </c>
      <c r="AA98" s="445">
        <v>0.158</v>
      </c>
      <c r="AB98" s="445">
        <v>0.17299999999999999</v>
      </c>
      <c r="AC98" s="445">
        <v>0.158</v>
      </c>
      <c r="AD98" s="445">
        <v>0.158</v>
      </c>
      <c r="AE98" s="445">
        <v>0.158</v>
      </c>
      <c r="AF98" s="445">
        <v>0.158</v>
      </c>
      <c r="AG98" s="445">
        <v>0.158</v>
      </c>
      <c r="AH98" s="445">
        <v>0.158</v>
      </c>
      <c r="AI98" s="446">
        <v>0.158</v>
      </c>
      <c r="AJ98" s="446">
        <v>0.158</v>
      </c>
      <c r="AK98" s="446">
        <v>0.158</v>
      </c>
      <c r="AL98" s="445">
        <v>0.158</v>
      </c>
      <c r="AM98" s="298">
        <v>7.1490250481389003E-2</v>
      </c>
      <c r="AO98" s="313">
        <f t="shared" si="13"/>
        <v>0.17299999999999999</v>
      </c>
      <c r="AP98" s="313">
        <f t="shared" si="14"/>
        <v>0.17299999999999999</v>
      </c>
      <c r="AQ98" s="316">
        <f t="shared" si="15"/>
        <v>0.17299999999999999</v>
      </c>
      <c r="AR98" s="315">
        <f t="shared" si="16"/>
        <v>39142</v>
      </c>
      <c r="AS98" s="313">
        <f t="shared" si="10"/>
        <v>0.61711201690168582</v>
      </c>
      <c r="AT98" s="313">
        <f t="shared" si="11"/>
        <v>0.6172307067538344</v>
      </c>
      <c r="AV98" s="315">
        <f t="shared" si="17"/>
        <v>39142</v>
      </c>
      <c r="AW98" s="298">
        <v>86</v>
      </c>
    </row>
    <row r="99" spans="2:49" x14ac:dyDescent="0.25">
      <c r="B99" s="303">
        <f t="shared" si="12"/>
        <v>39173</v>
      </c>
      <c r="C99" s="301">
        <v>2.8565</v>
      </c>
      <c r="D99" s="301">
        <v>0.1575</v>
      </c>
      <c r="E99" s="301">
        <v>7.1875249277319003E-2</v>
      </c>
      <c r="F99" s="301">
        <v>-0.19500000000000001</v>
      </c>
      <c r="G99" s="301">
        <v>1.4999999999999999E-2</v>
      </c>
      <c r="H99" s="301">
        <v>-0.19500000000000001</v>
      </c>
      <c r="I99" s="301">
        <v>0.09</v>
      </c>
      <c r="J99" s="301">
        <v>0.17</v>
      </c>
      <c r="K99" s="301">
        <v>-6.8000000000000005E-2</v>
      </c>
      <c r="L99" s="301">
        <v>-1.7999999999999999E-2</v>
      </c>
      <c r="M99" s="301">
        <v>-0.29249999999999998</v>
      </c>
      <c r="N99" s="301">
        <v>6.4999999999999997E-3</v>
      </c>
      <c r="O99" s="301">
        <v>2.5000000000000001E-3</v>
      </c>
      <c r="P99" s="298">
        <v>-2.5999999999999999E-2</v>
      </c>
      <c r="Q99" s="298">
        <v>-4.7500000000000001E-2</v>
      </c>
      <c r="R99" s="298">
        <v>-1.4200000000000001E-2</v>
      </c>
      <c r="S99" s="298">
        <v>-5.8999999999999997E-2</v>
      </c>
      <c r="T99" s="298">
        <v>-0.105</v>
      </c>
      <c r="U99" s="298">
        <v>0.37</v>
      </c>
      <c r="V99" s="298">
        <v>5.0000000000000001E-3</v>
      </c>
      <c r="W99" s="298">
        <v>-0.16500000000000001</v>
      </c>
      <c r="X99" s="298">
        <v>-1.6500000000000001E-2</v>
      </c>
      <c r="Y99" s="313">
        <v>0.21249999999999999</v>
      </c>
      <c r="Z99" s="313">
        <v>1.7000000000000001E-2</v>
      </c>
      <c r="AA99" s="445">
        <v>0.158</v>
      </c>
      <c r="AB99" s="445">
        <v>0.154</v>
      </c>
      <c r="AC99" s="445">
        <v>0.158</v>
      </c>
      <c r="AD99" s="445">
        <v>0.158</v>
      </c>
      <c r="AE99" s="445">
        <v>0.154</v>
      </c>
      <c r="AF99" s="445">
        <v>0.158</v>
      </c>
      <c r="AG99" s="445">
        <v>0.158</v>
      </c>
      <c r="AH99" s="445">
        <v>0.158</v>
      </c>
      <c r="AI99" s="446">
        <v>0.158</v>
      </c>
      <c r="AJ99" s="446">
        <v>0.158</v>
      </c>
      <c r="AK99" s="446">
        <v>0.158</v>
      </c>
      <c r="AL99" s="445">
        <v>0.158</v>
      </c>
      <c r="AM99" s="298">
        <v>7.1513600391269E-2</v>
      </c>
      <c r="AO99" s="313">
        <f t="shared" si="13"/>
        <v>0.154</v>
      </c>
      <c r="AP99" s="313">
        <f t="shared" si="14"/>
        <v>0.154</v>
      </c>
      <c r="AQ99" s="316">
        <f t="shared" si="15"/>
        <v>0.154</v>
      </c>
      <c r="AR99" s="315">
        <f t="shared" si="16"/>
        <v>39173</v>
      </c>
      <c r="AS99" s="313">
        <f t="shared" si="10"/>
        <v>0.61334772790942538</v>
      </c>
      <c r="AT99" s="313">
        <f t="shared" si="11"/>
        <v>0.61346573163591489</v>
      </c>
      <c r="AV99" s="315">
        <f t="shared" si="17"/>
        <v>39173</v>
      </c>
      <c r="AW99" s="298">
        <v>87</v>
      </c>
    </row>
    <row r="100" spans="2:49" x14ac:dyDescent="0.25">
      <c r="B100" s="303">
        <f t="shared" si="12"/>
        <v>39203</v>
      </c>
      <c r="C100" s="301">
        <v>2.8915000000000002</v>
      </c>
      <c r="D100" s="301">
        <v>0.1575</v>
      </c>
      <c r="E100" s="301">
        <v>7.1896293892128996E-2</v>
      </c>
      <c r="F100" s="301">
        <v>-0.19500000000000001</v>
      </c>
      <c r="G100" s="301">
        <v>1.4999999999999999E-2</v>
      </c>
      <c r="H100" s="301">
        <v>-0.19500000000000001</v>
      </c>
      <c r="I100" s="301">
        <v>9.2499999999999999E-2</v>
      </c>
      <c r="J100" s="301">
        <v>0.155</v>
      </c>
      <c r="K100" s="301">
        <v>-5.0500000000000003E-2</v>
      </c>
      <c r="L100" s="301">
        <v>-1.7999999999999999E-2</v>
      </c>
      <c r="M100" s="301">
        <v>-0.29249999999999998</v>
      </c>
      <c r="N100" s="301">
        <v>6.4999999999999997E-3</v>
      </c>
      <c r="O100" s="301">
        <v>2.5000000000000001E-3</v>
      </c>
      <c r="P100" s="298">
        <v>-2.5999999999999999E-2</v>
      </c>
      <c r="Q100" s="298">
        <v>-4.7500000000000001E-2</v>
      </c>
      <c r="R100" s="298">
        <v>-1.4449999999999999E-2</v>
      </c>
      <c r="S100" s="298">
        <v>-6.1499999999999999E-2</v>
      </c>
      <c r="T100" s="298">
        <v>-0.105</v>
      </c>
      <c r="U100" s="298">
        <v>0.2525</v>
      </c>
      <c r="V100" s="298">
        <v>5.0000000000000001E-3</v>
      </c>
      <c r="W100" s="298">
        <v>-0.16500000000000001</v>
      </c>
      <c r="X100" s="298">
        <v>-1.2999999999999999E-2</v>
      </c>
      <c r="Y100" s="313">
        <v>0.21249999999999999</v>
      </c>
      <c r="Z100" s="313">
        <v>1.7000000000000001E-2</v>
      </c>
      <c r="AA100" s="445">
        <v>0.158</v>
      </c>
      <c r="AB100" s="445">
        <v>0.154</v>
      </c>
      <c r="AC100" s="445">
        <v>0.158</v>
      </c>
      <c r="AD100" s="445">
        <v>0.158</v>
      </c>
      <c r="AE100" s="445">
        <v>0.154</v>
      </c>
      <c r="AF100" s="445">
        <v>0.158</v>
      </c>
      <c r="AG100" s="445">
        <v>0.158</v>
      </c>
      <c r="AH100" s="445">
        <v>0.158</v>
      </c>
      <c r="AI100" s="446">
        <v>0.158</v>
      </c>
      <c r="AJ100" s="446">
        <v>0.158</v>
      </c>
      <c r="AK100" s="446">
        <v>0.158</v>
      </c>
      <c r="AL100" s="445">
        <v>0.158</v>
      </c>
      <c r="AM100" s="298">
        <v>7.1532902295052006E-2</v>
      </c>
      <c r="AO100" s="313">
        <f t="shared" si="13"/>
        <v>0.154</v>
      </c>
      <c r="AP100" s="313">
        <f t="shared" si="14"/>
        <v>0.154</v>
      </c>
      <c r="AQ100" s="316">
        <f t="shared" si="15"/>
        <v>0.154</v>
      </c>
      <c r="AR100" s="315">
        <f t="shared" si="16"/>
        <v>39203</v>
      </c>
      <c r="AS100" s="313">
        <f t="shared" si="10"/>
        <v>0.60973816356019239</v>
      </c>
      <c r="AT100" s="313">
        <f t="shared" si="11"/>
        <v>0.60985550394777444</v>
      </c>
      <c r="AV100" s="315">
        <f t="shared" si="17"/>
        <v>39203</v>
      </c>
      <c r="AW100" s="298">
        <v>88</v>
      </c>
    </row>
    <row r="101" spans="2:49" x14ac:dyDescent="0.25">
      <c r="B101" s="303">
        <f t="shared" si="12"/>
        <v>39234</v>
      </c>
      <c r="C101" s="301">
        <v>2.8975</v>
      </c>
      <c r="D101" s="301">
        <v>0.1575</v>
      </c>
      <c r="E101" s="301">
        <v>7.1912813123264002E-2</v>
      </c>
      <c r="F101" s="301">
        <v>-0.19500000000000001</v>
      </c>
      <c r="G101" s="301">
        <v>0.02</v>
      </c>
      <c r="H101" s="301">
        <v>-0.19500000000000001</v>
      </c>
      <c r="I101" s="301">
        <v>8.7499999999999994E-2</v>
      </c>
      <c r="J101" s="301">
        <v>0.155</v>
      </c>
      <c r="K101" s="301">
        <v>-4.5499999999999999E-2</v>
      </c>
      <c r="L101" s="301">
        <v>-1.7999999999999999E-2</v>
      </c>
      <c r="M101" s="301">
        <v>-0.29249999999999998</v>
      </c>
      <c r="N101" s="301">
        <v>6.4999999999999997E-3</v>
      </c>
      <c r="O101" s="301">
        <v>2.5000000000000001E-3</v>
      </c>
      <c r="P101" s="298">
        <v>-2.35E-2</v>
      </c>
      <c r="Q101" s="298">
        <v>-4.7500000000000001E-2</v>
      </c>
      <c r="R101" s="298">
        <v>-1.4449999999999999E-2</v>
      </c>
      <c r="S101" s="298">
        <v>-5.3999999999999999E-2</v>
      </c>
      <c r="T101" s="298">
        <v>-0.105</v>
      </c>
      <c r="U101" s="298">
        <v>0.2525</v>
      </c>
      <c r="V101" s="298">
        <v>5.0000000000000001E-3</v>
      </c>
      <c r="W101" s="298">
        <v>-0.16500000000000001</v>
      </c>
      <c r="X101" s="298">
        <v>-1.55E-2</v>
      </c>
      <c r="Y101" s="313">
        <v>0.21249999999999999</v>
      </c>
      <c r="Z101" s="313">
        <v>1.7000000000000001E-2</v>
      </c>
      <c r="AA101" s="445">
        <v>0.158</v>
      </c>
      <c r="AB101" s="445">
        <v>0.154</v>
      </c>
      <c r="AC101" s="445">
        <v>0.158</v>
      </c>
      <c r="AD101" s="445">
        <v>0.158</v>
      </c>
      <c r="AE101" s="445">
        <v>0.154</v>
      </c>
      <c r="AF101" s="445">
        <v>0.158</v>
      </c>
      <c r="AG101" s="445">
        <v>0.158</v>
      </c>
      <c r="AH101" s="445">
        <v>0.158</v>
      </c>
      <c r="AI101" s="446">
        <v>0.158</v>
      </c>
      <c r="AJ101" s="446">
        <v>0.158</v>
      </c>
      <c r="AK101" s="446">
        <v>0.158</v>
      </c>
      <c r="AL101" s="445">
        <v>0.158</v>
      </c>
      <c r="AM101" s="298">
        <v>7.1548395414106999E-2</v>
      </c>
      <c r="AO101" s="313">
        <f t="shared" si="13"/>
        <v>0.154</v>
      </c>
      <c r="AP101" s="313">
        <f t="shared" si="14"/>
        <v>0.154</v>
      </c>
      <c r="AQ101" s="316">
        <f t="shared" si="15"/>
        <v>0.154</v>
      </c>
      <c r="AR101" s="315">
        <f t="shared" si="16"/>
        <v>39234</v>
      </c>
      <c r="AS101" s="313">
        <f t="shared" si="10"/>
        <v>0.60604720469801143</v>
      </c>
      <c r="AT101" s="313">
        <f t="shared" si="11"/>
        <v>0.60616385960728747</v>
      </c>
      <c r="AV101" s="315">
        <f t="shared" si="17"/>
        <v>39234</v>
      </c>
      <c r="AW101" s="298">
        <v>89</v>
      </c>
    </row>
    <row r="102" spans="2:49" x14ac:dyDescent="0.25">
      <c r="B102" s="303">
        <f t="shared" si="12"/>
        <v>39264</v>
      </c>
      <c r="C102" s="301">
        <v>2.8975</v>
      </c>
      <c r="D102" s="301">
        <v>0.1575</v>
      </c>
      <c r="E102" s="301">
        <v>7.1928799476060998E-2</v>
      </c>
      <c r="F102" s="301">
        <v>-0.19500000000000001</v>
      </c>
      <c r="G102" s="301">
        <v>2.2499999999999999E-2</v>
      </c>
      <c r="H102" s="301">
        <v>-0.19500000000000001</v>
      </c>
      <c r="I102" s="301">
        <v>7.7499999999999999E-2</v>
      </c>
      <c r="J102" s="301">
        <v>0.155</v>
      </c>
      <c r="K102" s="301">
        <v>-4.5499999999999999E-2</v>
      </c>
      <c r="L102" s="301">
        <v>-1.7999999999999999E-2</v>
      </c>
      <c r="M102" s="301">
        <v>-0.29249999999999998</v>
      </c>
      <c r="N102" s="301">
        <v>6.4999999999999997E-3</v>
      </c>
      <c r="O102" s="301">
        <v>2.5000000000000001E-3</v>
      </c>
      <c r="P102" s="298">
        <v>-2.35E-2</v>
      </c>
      <c r="Q102" s="298">
        <v>-4.7500000000000001E-2</v>
      </c>
      <c r="R102" s="298">
        <v>-1.4449999999999999E-2</v>
      </c>
      <c r="S102" s="298">
        <v>-5.3999999999999999E-2</v>
      </c>
      <c r="T102" s="298">
        <v>-0.105</v>
      </c>
      <c r="U102" s="298">
        <v>0.25750000000000001</v>
      </c>
      <c r="V102" s="298">
        <v>5.0000000000000001E-3</v>
      </c>
      <c r="W102" s="298">
        <v>-0.16500000000000001</v>
      </c>
      <c r="X102" s="298">
        <v>-1.55E-2</v>
      </c>
      <c r="Y102" s="313">
        <v>0.21249999999999999</v>
      </c>
      <c r="Z102" s="313">
        <v>1.7000000000000001E-2</v>
      </c>
      <c r="AA102" s="445">
        <v>0.158</v>
      </c>
      <c r="AB102" s="445">
        <v>0.154</v>
      </c>
      <c r="AC102" s="445">
        <v>0.158</v>
      </c>
      <c r="AD102" s="445">
        <v>0.158</v>
      </c>
      <c r="AE102" s="445">
        <v>0.154</v>
      </c>
      <c r="AF102" s="445">
        <v>0.158</v>
      </c>
      <c r="AG102" s="445">
        <v>0.158</v>
      </c>
      <c r="AH102" s="445">
        <v>0.158</v>
      </c>
      <c r="AI102" s="446">
        <v>0.158</v>
      </c>
      <c r="AJ102" s="446">
        <v>0.158</v>
      </c>
      <c r="AK102" s="446">
        <v>0.158</v>
      </c>
      <c r="AL102" s="445">
        <v>0.158</v>
      </c>
      <c r="AM102" s="298">
        <v>7.1563388755202004E-2</v>
      </c>
      <c r="AO102" s="313">
        <f t="shared" si="13"/>
        <v>0.154</v>
      </c>
      <c r="AP102" s="313">
        <f t="shared" si="14"/>
        <v>0.154</v>
      </c>
      <c r="AQ102" s="316">
        <f t="shared" si="15"/>
        <v>0.154</v>
      </c>
      <c r="AR102" s="315">
        <f t="shared" si="16"/>
        <v>39264</v>
      </c>
      <c r="AS102" s="313">
        <f t="shared" si="10"/>
        <v>0.60249512750887879</v>
      </c>
      <c r="AT102" s="313">
        <f t="shared" si="11"/>
        <v>0.6026111225795252</v>
      </c>
      <c r="AV102" s="315">
        <f t="shared" si="17"/>
        <v>39264</v>
      </c>
      <c r="AW102" s="298">
        <v>90</v>
      </c>
    </row>
    <row r="103" spans="2:49" x14ac:dyDescent="0.25">
      <c r="B103" s="303">
        <f t="shared" si="12"/>
        <v>39295</v>
      </c>
      <c r="C103" s="301">
        <v>2.9005000000000001</v>
      </c>
      <c r="D103" s="301">
        <v>0.1575</v>
      </c>
      <c r="E103" s="301">
        <v>7.1945318707373002E-2</v>
      </c>
      <c r="F103" s="301">
        <v>-0.19500000000000001</v>
      </c>
      <c r="G103" s="301">
        <v>2.5000000000000001E-2</v>
      </c>
      <c r="H103" s="301">
        <v>-0.19500000000000001</v>
      </c>
      <c r="I103" s="301">
        <v>7.4999999999999997E-2</v>
      </c>
      <c r="J103" s="301">
        <v>0.155</v>
      </c>
      <c r="K103" s="301">
        <v>-4.5499999999999999E-2</v>
      </c>
      <c r="L103" s="301">
        <v>-1.7999999999999999E-2</v>
      </c>
      <c r="M103" s="301">
        <v>-0.29249999999999998</v>
      </c>
      <c r="N103" s="301">
        <v>6.4999999999999997E-3</v>
      </c>
      <c r="O103" s="301">
        <v>2.5000000000000001E-3</v>
      </c>
      <c r="P103" s="298">
        <v>-2.35E-2</v>
      </c>
      <c r="Q103" s="298">
        <v>-4.7500000000000001E-2</v>
      </c>
      <c r="R103" s="298">
        <v>-1.175E-2</v>
      </c>
      <c r="S103" s="298">
        <v>-5.3999999999999999E-2</v>
      </c>
      <c r="T103" s="298">
        <v>-0.105</v>
      </c>
      <c r="U103" s="298">
        <v>0.25750000000000001</v>
      </c>
      <c r="V103" s="298">
        <v>5.0000000000000001E-3</v>
      </c>
      <c r="W103" s="298">
        <v>-0.16500000000000001</v>
      </c>
      <c r="X103" s="298">
        <v>-1.55E-2</v>
      </c>
      <c r="Y103" s="313">
        <v>0.21249999999999999</v>
      </c>
      <c r="Z103" s="313">
        <v>1.7000000000000001E-2</v>
      </c>
      <c r="AA103" s="445">
        <v>0.158</v>
      </c>
      <c r="AB103" s="445">
        <v>0.154</v>
      </c>
      <c r="AC103" s="445">
        <v>0.158</v>
      </c>
      <c r="AD103" s="445">
        <v>0.158</v>
      </c>
      <c r="AE103" s="445">
        <v>0.154</v>
      </c>
      <c r="AF103" s="445">
        <v>0.158</v>
      </c>
      <c r="AG103" s="445">
        <v>0.158</v>
      </c>
      <c r="AH103" s="445">
        <v>0.158</v>
      </c>
      <c r="AI103" s="446">
        <v>0.158</v>
      </c>
      <c r="AJ103" s="446">
        <v>0.158</v>
      </c>
      <c r="AK103" s="446">
        <v>0.158</v>
      </c>
      <c r="AL103" s="445">
        <v>0.158</v>
      </c>
      <c r="AM103" s="298">
        <v>7.1578881874411998E-2</v>
      </c>
      <c r="AO103" s="313">
        <f t="shared" si="13"/>
        <v>0.154</v>
      </c>
      <c r="AP103" s="313">
        <f t="shared" si="14"/>
        <v>0.154</v>
      </c>
      <c r="AQ103" s="316">
        <f t="shared" si="15"/>
        <v>0.154</v>
      </c>
      <c r="AR103" s="315">
        <f t="shared" si="16"/>
        <v>39295</v>
      </c>
      <c r="AS103" s="313">
        <f t="shared" si="10"/>
        <v>0.59884502225632164</v>
      </c>
      <c r="AT103" s="313">
        <f t="shared" si="11"/>
        <v>0.59896033912112501</v>
      </c>
      <c r="AV103" s="315">
        <f t="shared" si="17"/>
        <v>39295</v>
      </c>
      <c r="AW103" s="298">
        <v>91</v>
      </c>
    </row>
    <row r="104" spans="2:49" x14ac:dyDescent="0.25">
      <c r="B104" s="303">
        <f t="shared" si="12"/>
        <v>39326</v>
      </c>
      <c r="C104" s="301">
        <v>2.9005000000000001</v>
      </c>
      <c r="D104" s="301">
        <v>0.1575</v>
      </c>
      <c r="E104" s="301">
        <v>7.1961837938775003E-2</v>
      </c>
      <c r="F104" s="301">
        <v>-0.19500000000000001</v>
      </c>
      <c r="G104" s="301">
        <v>1.7500000000000002E-2</v>
      </c>
      <c r="H104" s="301">
        <v>-0.19500000000000001</v>
      </c>
      <c r="I104" s="301">
        <v>7.2499999999999995E-2</v>
      </c>
      <c r="J104" s="301">
        <v>0.155</v>
      </c>
      <c r="K104" s="301">
        <v>-4.8000000000000001E-2</v>
      </c>
      <c r="L104" s="301">
        <v>-1.7999999999999999E-2</v>
      </c>
      <c r="M104" s="301">
        <v>-0.29249999999999998</v>
      </c>
      <c r="N104" s="301">
        <v>6.4999999999999997E-3</v>
      </c>
      <c r="O104" s="301">
        <v>2.5000000000000001E-3</v>
      </c>
      <c r="P104" s="298">
        <v>-2.35E-2</v>
      </c>
      <c r="Q104" s="298">
        <v>-4.7500000000000001E-2</v>
      </c>
      <c r="R104" s="298">
        <v>-1.175E-2</v>
      </c>
      <c r="S104" s="298">
        <v>-5.8999999999999997E-2</v>
      </c>
      <c r="T104" s="298">
        <v>-0.105</v>
      </c>
      <c r="U104" s="298">
        <v>0.2525</v>
      </c>
      <c r="V104" s="298">
        <v>5.0000000000000001E-3</v>
      </c>
      <c r="W104" s="298">
        <v>-0.16500000000000001</v>
      </c>
      <c r="X104" s="298">
        <v>-1.7999999999999999E-2</v>
      </c>
      <c r="Y104" s="313">
        <v>0.21249999999999999</v>
      </c>
      <c r="Z104" s="313">
        <v>1.7000000000000001E-2</v>
      </c>
      <c r="AA104" s="445">
        <v>0.158</v>
      </c>
      <c r="AB104" s="445">
        <v>0.154</v>
      </c>
      <c r="AC104" s="445">
        <v>0.158</v>
      </c>
      <c r="AD104" s="445">
        <v>0.158</v>
      </c>
      <c r="AE104" s="445">
        <v>0.154</v>
      </c>
      <c r="AF104" s="445">
        <v>0.158</v>
      </c>
      <c r="AG104" s="445">
        <v>0.158</v>
      </c>
      <c r="AH104" s="445">
        <v>0.158</v>
      </c>
      <c r="AI104" s="446">
        <v>0.158</v>
      </c>
      <c r="AJ104" s="446">
        <v>0.158</v>
      </c>
      <c r="AK104" s="446">
        <v>0.158</v>
      </c>
      <c r="AL104" s="445">
        <v>0.158</v>
      </c>
      <c r="AM104" s="298">
        <v>7.1594374993701998E-2</v>
      </c>
      <c r="AO104" s="313">
        <f t="shared" si="13"/>
        <v>0.154</v>
      </c>
      <c r="AP104" s="313">
        <f t="shared" si="14"/>
        <v>0.154</v>
      </c>
      <c r="AQ104" s="316">
        <f t="shared" si="15"/>
        <v>0.154</v>
      </c>
      <c r="AR104" s="315">
        <f t="shared" si="16"/>
        <v>39326</v>
      </c>
      <c r="AS104" s="313">
        <f t="shared" si="10"/>
        <v>0.59521551970068542</v>
      </c>
      <c r="AT104" s="313">
        <f t="shared" si="11"/>
        <v>0.59533016202865796</v>
      </c>
      <c r="AV104" s="315">
        <f t="shared" si="17"/>
        <v>39326</v>
      </c>
      <c r="AW104" s="298">
        <v>92</v>
      </c>
    </row>
    <row r="105" spans="2:49" x14ac:dyDescent="0.25">
      <c r="B105" s="303">
        <f t="shared" si="12"/>
        <v>39356</v>
      </c>
      <c r="C105" s="301">
        <v>2.9235000000000002</v>
      </c>
      <c r="D105" s="301">
        <v>0.1575</v>
      </c>
      <c r="E105" s="301">
        <v>7.1977824291831E-2</v>
      </c>
      <c r="F105" s="301">
        <v>-0.19500000000000001</v>
      </c>
      <c r="G105" s="301">
        <v>7.4999999999999997E-3</v>
      </c>
      <c r="H105" s="301">
        <v>-0.19500000000000001</v>
      </c>
      <c r="I105" s="301">
        <v>8.7499999999999994E-2</v>
      </c>
      <c r="J105" s="301">
        <v>0.1575</v>
      </c>
      <c r="K105" s="301">
        <v>-4.8000000000000001E-2</v>
      </c>
      <c r="L105" s="301">
        <v>-1.7999999999999999E-2</v>
      </c>
      <c r="M105" s="301">
        <v>-0.29249999999999998</v>
      </c>
      <c r="N105" s="301">
        <v>6.4999999999999997E-3</v>
      </c>
      <c r="O105" s="301">
        <v>2.5000000000000001E-3</v>
      </c>
      <c r="P105" s="298">
        <v>-2.35E-2</v>
      </c>
      <c r="Q105" s="298">
        <v>-4.7500000000000001E-2</v>
      </c>
      <c r="R105" s="298">
        <v>-3.2500000000000001E-2</v>
      </c>
      <c r="S105" s="298">
        <v>-5.8999999999999997E-2</v>
      </c>
      <c r="T105" s="298">
        <v>-0.105</v>
      </c>
      <c r="U105" s="298">
        <v>0.255</v>
      </c>
      <c r="V105" s="298">
        <v>5.0000000000000001E-3</v>
      </c>
      <c r="W105" s="298">
        <v>-0.16500000000000001</v>
      </c>
      <c r="X105" s="298">
        <v>-1.7999999999999999E-2</v>
      </c>
      <c r="Y105" s="313">
        <v>0.21249999999999999</v>
      </c>
      <c r="Z105" s="313">
        <v>1.7000000000000001E-2</v>
      </c>
      <c r="AA105" s="445">
        <v>0.158</v>
      </c>
      <c r="AB105" s="445">
        <v>0.154</v>
      </c>
      <c r="AC105" s="445">
        <v>0.158</v>
      </c>
      <c r="AD105" s="445">
        <v>0.158</v>
      </c>
      <c r="AE105" s="445">
        <v>0.154</v>
      </c>
      <c r="AF105" s="445">
        <v>0.158</v>
      </c>
      <c r="AG105" s="445">
        <v>0.158</v>
      </c>
      <c r="AH105" s="445">
        <v>0.158</v>
      </c>
      <c r="AI105" s="446">
        <v>0.158</v>
      </c>
      <c r="AJ105" s="446">
        <v>0.158</v>
      </c>
      <c r="AK105" s="446">
        <v>0.158</v>
      </c>
      <c r="AL105" s="445">
        <v>0.158</v>
      </c>
      <c r="AM105" s="298">
        <v>7.1609368335025E-2</v>
      </c>
      <c r="AO105" s="313">
        <f t="shared" si="13"/>
        <v>0.154</v>
      </c>
      <c r="AP105" s="313">
        <f t="shared" si="14"/>
        <v>0.154</v>
      </c>
      <c r="AQ105" s="316">
        <f t="shared" si="15"/>
        <v>0.154</v>
      </c>
      <c r="AR105" s="315">
        <f t="shared" si="16"/>
        <v>39356</v>
      </c>
      <c r="AS105" s="313">
        <f t="shared" si="10"/>
        <v>0.59172261408411253</v>
      </c>
      <c r="AT105" s="313">
        <f t="shared" si="11"/>
        <v>0.5918366071109602</v>
      </c>
      <c r="AV105" s="315">
        <f t="shared" si="17"/>
        <v>39356</v>
      </c>
      <c r="AW105" s="298">
        <v>93</v>
      </c>
    </row>
    <row r="106" spans="2:49" x14ac:dyDescent="0.25">
      <c r="B106" s="303">
        <f t="shared" si="12"/>
        <v>39387</v>
      </c>
      <c r="C106" s="301">
        <v>3.0365000000000002</v>
      </c>
      <c r="D106" s="301">
        <v>0.1575</v>
      </c>
      <c r="E106" s="301">
        <v>7.1994343523410997E-2</v>
      </c>
      <c r="F106" s="301">
        <v>-0.19</v>
      </c>
      <c r="G106" s="301">
        <v>-3.2500000000000001E-2</v>
      </c>
      <c r="H106" s="301">
        <v>-0.19</v>
      </c>
      <c r="I106" s="301">
        <v>0.16500000000000001</v>
      </c>
      <c r="J106" s="301">
        <v>0.24</v>
      </c>
      <c r="K106" s="301">
        <v>-5.45E-2</v>
      </c>
      <c r="L106" s="301">
        <v>-1.55E-2</v>
      </c>
      <c r="M106" s="301">
        <v>-0.24249999999999999</v>
      </c>
      <c r="N106" s="301">
        <v>0.01</v>
      </c>
      <c r="O106" s="301">
        <v>7.0000000000000001E-3</v>
      </c>
      <c r="P106" s="298">
        <v>-2.6499999999999999E-2</v>
      </c>
      <c r="Q106" s="298">
        <v>-0.03</v>
      </c>
      <c r="R106" s="298">
        <v>-3.15E-2</v>
      </c>
      <c r="S106" s="298">
        <v>-7.3999999999999996E-2</v>
      </c>
      <c r="T106" s="298">
        <v>-0.14499999999999999</v>
      </c>
      <c r="U106" s="298">
        <v>0.72499999999999998</v>
      </c>
      <c r="V106" s="298">
        <v>5.0000000000000001E-3</v>
      </c>
      <c r="W106" s="298">
        <v>-0.1875</v>
      </c>
      <c r="X106" s="298">
        <v>-1.55E-2</v>
      </c>
      <c r="Y106" s="313">
        <v>0.10249999999999999</v>
      </c>
      <c r="Z106" s="313">
        <v>2.6499999999999999E-2</v>
      </c>
      <c r="AA106" s="445">
        <v>0.158</v>
      </c>
      <c r="AB106" s="445">
        <v>0.17299999999999999</v>
      </c>
      <c r="AC106" s="445">
        <v>0.158</v>
      </c>
      <c r="AD106" s="445">
        <v>0.158</v>
      </c>
      <c r="AE106" s="445">
        <v>0.158</v>
      </c>
      <c r="AF106" s="445">
        <v>0.158</v>
      </c>
      <c r="AG106" s="445">
        <v>0.158</v>
      </c>
      <c r="AH106" s="445">
        <v>0.158</v>
      </c>
      <c r="AI106" s="446">
        <v>0.158</v>
      </c>
      <c r="AJ106" s="446">
        <v>0.158</v>
      </c>
      <c r="AK106" s="446">
        <v>0.158</v>
      </c>
      <c r="AL106" s="445">
        <v>0.158</v>
      </c>
      <c r="AM106" s="298">
        <v>7.1624861454471E-2</v>
      </c>
      <c r="AO106" s="313">
        <f t="shared" si="13"/>
        <v>0.17299999999999999</v>
      </c>
      <c r="AP106" s="313">
        <f t="shared" si="14"/>
        <v>0.17299999999999999</v>
      </c>
      <c r="AQ106" s="316">
        <f t="shared" si="15"/>
        <v>0.17299999999999999</v>
      </c>
      <c r="AR106" s="315">
        <f t="shared" si="16"/>
        <v>39387</v>
      </c>
      <c r="AS106" s="313">
        <f t="shared" si="10"/>
        <v>0.58813334186134936</v>
      </c>
      <c r="AT106" s="313">
        <f t="shared" si="11"/>
        <v>0.58824666751861154</v>
      </c>
      <c r="AV106" s="315">
        <f t="shared" si="17"/>
        <v>39387</v>
      </c>
      <c r="AW106" s="298">
        <v>94</v>
      </c>
    </row>
    <row r="107" spans="2:49" x14ac:dyDescent="0.25">
      <c r="B107" s="303">
        <f t="shared" si="12"/>
        <v>39417</v>
      </c>
      <c r="C107" s="301">
        <v>3.1475</v>
      </c>
      <c r="D107" s="301">
        <v>0.1575</v>
      </c>
      <c r="E107" s="301">
        <v>7.2010329876637996E-2</v>
      </c>
      <c r="F107" s="301">
        <v>-0.19750000000000001</v>
      </c>
      <c r="G107" s="301">
        <v>-5.5E-2</v>
      </c>
      <c r="H107" s="301">
        <v>-0.19750000000000001</v>
      </c>
      <c r="I107" s="301">
        <v>0.20499999999999999</v>
      </c>
      <c r="J107" s="301">
        <v>0.29499999999999998</v>
      </c>
      <c r="K107" s="301">
        <v>-5.45E-2</v>
      </c>
      <c r="L107" s="301">
        <v>-1.55E-2</v>
      </c>
      <c r="M107" s="301">
        <v>-0.24249999999999999</v>
      </c>
      <c r="N107" s="301">
        <v>0.01</v>
      </c>
      <c r="O107" s="301">
        <v>7.0000000000000001E-3</v>
      </c>
      <c r="P107" s="298">
        <v>-2.6499999999999999E-2</v>
      </c>
      <c r="Q107" s="298">
        <v>-0.03</v>
      </c>
      <c r="R107" s="298">
        <v>-3.15E-2</v>
      </c>
      <c r="S107" s="298">
        <v>-8.8999999999999996E-2</v>
      </c>
      <c r="T107" s="298">
        <v>-0.14499999999999999</v>
      </c>
      <c r="U107" s="298">
        <v>1.0449999999999999</v>
      </c>
      <c r="V107" s="298">
        <v>5.0000000000000001E-3</v>
      </c>
      <c r="W107" s="298">
        <v>-0.1875</v>
      </c>
      <c r="X107" s="298">
        <v>-1.55E-2</v>
      </c>
      <c r="Y107" s="313">
        <v>0.10249999999999999</v>
      </c>
      <c r="Z107" s="313">
        <v>2.6499999999999999E-2</v>
      </c>
      <c r="AA107" s="445">
        <v>0.158</v>
      </c>
      <c r="AB107" s="445">
        <v>0.17299999999999999</v>
      </c>
      <c r="AC107" s="445">
        <v>0.158</v>
      </c>
      <c r="AD107" s="445">
        <v>0.158</v>
      </c>
      <c r="AE107" s="445">
        <v>0.158</v>
      </c>
      <c r="AF107" s="445">
        <v>0.158</v>
      </c>
      <c r="AG107" s="445">
        <v>0.158</v>
      </c>
      <c r="AH107" s="445">
        <v>0.158</v>
      </c>
      <c r="AI107" s="446">
        <v>0.158</v>
      </c>
      <c r="AJ107" s="446">
        <v>0.158</v>
      </c>
      <c r="AK107" s="446">
        <v>0.158</v>
      </c>
      <c r="AL107" s="445">
        <v>0.158</v>
      </c>
      <c r="AM107" s="298">
        <v>7.1639854795944993E-2</v>
      </c>
      <c r="AO107" s="313">
        <f t="shared" si="13"/>
        <v>0.17299999999999999</v>
      </c>
      <c r="AP107" s="313">
        <f t="shared" si="14"/>
        <v>0.17299999999999999</v>
      </c>
      <c r="AQ107" s="316">
        <f t="shared" si="15"/>
        <v>0.17299999999999999</v>
      </c>
      <c r="AR107" s="315">
        <f t="shared" si="16"/>
        <v>39417</v>
      </c>
      <c r="AS107" s="313">
        <f t="shared" si="10"/>
        <v>0.58467917067189046</v>
      </c>
      <c r="AT107" s="313">
        <f t="shared" si="11"/>
        <v>0.5847918539305994</v>
      </c>
      <c r="AV107" s="315">
        <f t="shared" si="17"/>
        <v>39417</v>
      </c>
      <c r="AW107" s="298">
        <v>95</v>
      </c>
    </row>
    <row r="108" spans="2:49" x14ac:dyDescent="0.25">
      <c r="B108" s="303">
        <f t="shared" si="12"/>
        <v>39448</v>
      </c>
      <c r="C108" s="301">
        <v>3.1964999999999999</v>
      </c>
      <c r="D108" s="301">
        <v>0.1575</v>
      </c>
      <c r="E108" s="301">
        <v>7.2026849108395005E-2</v>
      </c>
      <c r="F108" s="301">
        <v>-0.2</v>
      </c>
      <c r="G108" s="301">
        <v>-5.7500000000000002E-2</v>
      </c>
      <c r="H108" s="301">
        <v>-0.2</v>
      </c>
      <c r="I108" s="301">
        <v>0.26</v>
      </c>
      <c r="J108" s="301">
        <v>0.34250000000000003</v>
      </c>
      <c r="K108" s="301">
        <v>-5.8500000000000003E-2</v>
      </c>
      <c r="L108" s="301">
        <v>-1.35E-2</v>
      </c>
      <c r="M108" s="301">
        <v>-0.24249999999999999</v>
      </c>
      <c r="N108" s="301">
        <v>0.01</v>
      </c>
      <c r="O108" s="301">
        <v>7.0000000000000001E-3</v>
      </c>
      <c r="P108" s="298">
        <v>-2.1999999999999999E-2</v>
      </c>
      <c r="Q108" s="298">
        <v>-0.03</v>
      </c>
      <c r="R108" s="298">
        <v>-3.15E-2</v>
      </c>
      <c r="S108" s="298">
        <v>-9.9500000000000005E-2</v>
      </c>
      <c r="T108" s="298">
        <v>-0.14499999999999999</v>
      </c>
      <c r="U108" s="298">
        <v>1.52</v>
      </c>
      <c r="V108" s="298">
        <v>5.0000000000000001E-3</v>
      </c>
      <c r="W108" s="298">
        <v>-0.1875</v>
      </c>
      <c r="X108" s="298">
        <v>-1.55E-2</v>
      </c>
      <c r="Y108" s="313">
        <v>0.10249999999999999</v>
      </c>
      <c r="Z108" s="313">
        <v>2.6499999999999999E-2</v>
      </c>
      <c r="AA108" s="445">
        <v>0.158</v>
      </c>
      <c r="AB108" s="445">
        <v>0.158</v>
      </c>
      <c r="AC108" s="445">
        <v>0.158</v>
      </c>
      <c r="AD108" s="445">
        <v>0.158</v>
      </c>
      <c r="AE108" s="445">
        <v>0.158</v>
      </c>
      <c r="AF108" s="445">
        <v>0.158</v>
      </c>
      <c r="AG108" s="445">
        <v>0.158</v>
      </c>
      <c r="AH108" s="445">
        <v>0.158</v>
      </c>
      <c r="AI108" s="446">
        <v>0.158</v>
      </c>
      <c r="AJ108" s="446">
        <v>0.158</v>
      </c>
      <c r="AK108" s="446">
        <v>0.158</v>
      </c>
      <c r="AL108" s="445">
        <v>0.158</v>
      </c>
      <c r="AM108" s="298">
        <v>7.1655347915546994E-2</v>
      </c>
      <c r="AO108" s="313">
        <f t="shared" si="13"/>
        <v>0.158</v>
      </c>
      <c r="AP108" s="313">
        <f t="shared" si="14"/>
        <v>0.158</v>
      </c>
      <c r="AQ108" s="316">
        <f t="shared" si="15"/>
        <v>0.158</v>
      </c>
      <c r="AR108" s="315">
        <f t="shared" si="16"/>
        <v>39448</v>
      </c>
      <c r="AS108" s="313">
        <f t="shared" si="10"/>
        <v>0.58112972019799936</v>
      </c>
      <c r="AT108" s="313">
        <f t="shared" si="11"/>
        <v>0.58124174318533839</v>
      </c>
      <c r="AV108" s="315">
        <f t="shared" si="17"/>
        <v>39448</v>
      </c>
      <c r="AW108" s="298">
        <v>96</v>
      </c>
    </row>
    <row r="109" spans="2:49" x14ac:dyDescent="0.25">
      <c r="B109" s="303">
        <f t="shared" si="12"/>
        <v>39479</v>
      </c>
      <c r="C109" s="301">
        <v>3.1034999999999999</v>
      </c>
      <c r="D109" s="301">
        <v>0.1575</v>
      </c>
      <c r="E109" s="301">
        <v>7.2043368340242997E-2</v>
      </c>
      <c r="F109" s="301">
        <v>-0.20250000000000001</v>
      </c>
      <c r="G109" s="301">
        <v>-0.04</v>
      </c>
      <c r="H109" s="301">
        <v>-0.20250000000000001</v>
      </c>
      <c r="I109" s="301">
        <v>0.23499999999999999</v>
      </c>
      <c r="J109" s="301">
        <v>0.33750000000000002</v>
      </c>
      <c r="K109" s="301">
        <v>-5.45E-2</v>
      </c>
      <c r="L109" s="301">
        <v>-1.35E-2</v>
      </c>
      <c r="M109" s="301">
        <v>-0.24249999999999999</v>
      </c>
      <c r="N109" s="301">
        <v>0.01</v>
      </c>
      <c r="O109" s="301">
        <v>7.0000000000000001E-3</v>
      </c>
      <c r="P109" s="298">
        <v>-2.1999999999999999E-2</v>
      </c>
      <c r="Q109" s="298">
        <v>-0.03</v>
      </c>
      <c r="R109" s="298">
        <v>-3.15E-2</v>
      </c>
      <c r="S109" s="298">
        <v>-8.6999999999999994E-2</v>
      </c>
      <c r="T109" s="298">
        <v>-0.14499999999999999</v>
      </c>
      <c r="U109" s="298">
        <v>1.4</v>
      </c>
      <c r="V109" s="298">
        <v>5.0000000000000001E-3</v>
      </c>
      <c r="W109" s="298">
        <v>-0.1875</v>
      </c>
      <c r="X109" s="298">
        <v>-1.55E-2</v>
      </c>
      <c r="Y109" s="313">
        <v>0.10249999999999999</v>
      </c>
      <c r="Z109" s="313">
        <v>2.6499999999999999E-2</v>
      </c>
      <c r="AA109" s="445">
        <v>0.158</v>
      </c>
      <c r="AB109" s="445">
        <v>0.17299999999999999</v>
      </c>
      <c r="AC109" s="445">
        <v>0.158</v>
      </c>
      <c r="AD109" s="445">
        <v>0.158</v>
      </c>
      <c r="AE109" s="445">
        <v>0.158</v>
      </c>
      <c r="AF109" s="445">
        <v>0.158</v>
      </c>
      <c r="AG109" s="445">
        <v>0.158</v>
      </c>
      <c r="AH109" s="445">
        <v>0.158</v>
      </c>
      <c r="AI109" s="446">
        <v>0.158</v>
      </c>
      <c r="AJ109" s="446">
        <v>0.158</v>
      </c>
      <c r="AK109" s="446">
        <v>0.158</v>
      </c>
      <c r="AL109" s="445">
        <v>0.158</v>
      </c>
      <c r="AM109" s="298">
        <v>7.1670841035228E-2</v>
      </c>
      <c r="AO109" s="313">
        <f t="shared" si="13"/>
        <v>0.17299999999999999</v>
      </c>
      <c r="AP109" s="313">
        <f t="shared" si="14"/>
        <v>0.17299999999999999</v>
      </c>
      <c r="AQ109" s="316">
        <f t="shared" si="15"/>
        <v>0.17299999999999999</v>
      </c>
      <c r="AR109" s="315">
        <f t="shared" si="16"/>
        <v>39479</v>
      </c>
      <c r="AS109" s="313">
        <f t="shared" si="10"/>
        <v>0.57760035160959833</v>
      </c>
      <c r="AT109" s="313">
        <f t="shared" si="11"/>
        <v>0.57771171790658937</v>
      </c>
      <c r="AV109" s="315">
        <f t="shared" si="17"/>
        <v>39479</v>
      </c>
      <c r="AW109" s="298">
        <v>97</v>
      </c>
    </row>
    <row r="110" spans="2:49" x14ac:dyDescent="0.25">
      <c r="B110" s="303">
        <f t="shared" si="12"/>
        <v>39508</v>
      </c>
      <c r="C110" s="301">
        <v>3.0034999999999998</v>
      </c>
      <c r="D110" s="301">
        <v>0.1575</v>
      </c>
      <c r="E110" s="301">
        <v>7.2058821815278007E-2</v>
      </c>
      <c r="F110" s="301">
        <v>-0.20499999999999999</v>
      </c>
      <c r="G110" s="301">
        <v>-2.75E-2</v>
      </c>
      <c r="H110" s="301">
        <v>-0.20499999999999999</v>
      </c>
      <c r="I110" s="301">
        <v>0.23250000000000001</v>
      </c>
      <c r="J110" s="301">
        <v>0.26</v>
      </c>
      <c r="K110" s="301">
        <v>-5.6000000000000001E-2</v>
      </c>
      <c r="L110" s="301">
        <v>-1.35E-2</v>
      </c>
      <c r="M110" s="301">
        <v>-0.24249999999999999</v>
      </c>
      <c r="N110" s="301">
        <v>0.01</v>
      </c>
      <c r="O110" s="301">
        <v>7.0000000000000001E-3</v>
      </c>
      <c r="P110" s="298">
        <v>-2.1999999999999999E-2</v>
      </c>
      <c r="Q110" s="298">
        <v>-0.03</v>
      </c>
      <c r="R110" s="298">
        <v>-1.32E-2</v>
      </c>
      <c r="S110" s="298">
        <v>-7.4499999999999997E-2</v>
      </c>
      <c r="T110" s="298">
        <v>-0.14499999999999999</v>
      </c>
      <c r="U110" s="298">
        <v>0.88</v>
      </c>
      <c r="V110" s="298">
        <v>5.0000000000000001E-3</v>
      </c>
      <c r="W110" s="298">
        <v>-0.1875</v>
      </c>
      <c r="X110" s="298">
        <v>-1.55E-2</v>
      </c>
      <c r="Y110" s="313">
        <v>0.10249999999999999</v>
      </c>
      <c r="Z110" s="313">
        <v>2.6499999999999999E-2</v>
      </c>
      <c r="AA110" s="445">
        <v>0.158</v>
      </c>
      <c r="AB110" s="445">
        <v>0.17299999999999999</v>
      </c>
      <c r="AC110" s="445">
        <v>0.158</v>
      </c>
      <c r="AD110" s="445">
        <v>0.158</v>
      </c>
      <c r="AE110" s="445">
        <v>0.158</v>
      </c>
      <c r="AF110" s="445">
        <v>0.158</v>
      </c>
      <c r="AG110" s="445">
        <v>0.158</v>
      </c>
      <c r="AH110" s="445">
        <v>0.158</v>
      </c>
      <c r="AI110" s="446">
        <v>0.158</v>
      </c>
      <c r="AJ110" s="446">
        <v>0.158</v>
      </c>
      <c r="AK110" s="446">
        <v>0.158</v>
      </c>
      <c r="AL110" s="445">
        <v>0.158</v>
      </c>
      <c r="AM110" s="298">
        <v>7.1685334598871997E-2</v>
      </c>
      <c r="AO110" s="313">
        <f t="shared" si="13"/>
        <v>0.17299999999999999</v>
      </c>
      <c r="AP110" s="313">
        <f t="shared" si="14"/>
        <v>0.17299999999999999</v>
      </c>
      <c r="AQ110" s="316">
        <f t="shared" si="15"/>
        <v>0.17299999999999999</v>
      </c>
      <c r="AR110" s="315">
        <f t="shared" si="16"/>
        <v>39508</v>
      </c>
      <c r="AS110" s="313">
        <f t="shared" si="10"/>
        <v>0.57431677228159561</v>
      </c>
      <c r="AT110" s="313">
        <f t="shared" si="11"/>
        <v>0.57442752748168824</v>
      </c>
      <c r="AV110" s="315">
        <f t="shared" si="17"/>
        <v>39508</v>
      </c>
      <c r="AW110" s="298">
        <v>98</v>
      </c>
    </row>
    <row r="111" spans="2:49" x14ac:dyDescent="0.25">
      <c r="B111" s="303">
        <f t="shared" si="12"/>
        <v>39539</v>
      </c>
      <c r="C111" s="301">
        <v>2.9184999999999999</v>
      </c>
      <c r="D111" s="301">
        <v>0.1575</v>
      </c>
      <c r="E111" s="301">
        <v>7.2075341047298999E-2</v>
      </c>
      <c r="F111" s="301">
        <v>-0.19500000000000001</v>
      </c>
      <c r="G111" s="301">
        <v>1.4999999999999999E-2</v>
      </c>
      <c r="H111" s="301">
        <v>-0.19500000000000001</v>
      </c>
      <c r="I111" s="301">
        <v>0.13</v>
      </c>
      <c r="J111" s="301">
        <v>0.17</v>
      </c>
      <c r="K111" s="301">
        <v>-6.6000000000000003E-2</v>
      </c>
      <c r="L111" s="301">
        <v>-1.6E-2</v>
      </c>
      <c r="M111" s="301">
        <v>-0.29249999999999998</v>
      </c>
      <c r="N111" s="301">
        <v>6.4999999999999997E-3</v>
      </c>
      <c r="O111" s="301">
        <v>4.4999999999999997E-3</v>
      </c>
      <c r="P111" s="298">
        <v>-2.4E-2</v>
      </c>
      <c r="Q111" s="298">
        <v>-0.03</v>
      </c>
      <c r="R111" s="298">
        <v>-1.32E-2</v>
      </c>
      <c r="S111" s="298">
        <v>-5.7000000000000002E-2</v>
      </c>
      <c r="T111" s="298">
        <v>-0.105</v>
      </c>
      <c r="U111" s="298">
        <v>0.37</v>
      </c>
      <c r="V111" s="298">
        <v>5.0000000000000001E-3</v>
      </c>
      <c r="W111" s="298">
        <v>-0.16500000000000001</v>
      </c>
      <c r="X111" s="298">
        <v>-1.55E-2</v>
      </c>
      <c r="Y111" s="313">
        <v>0.21249999999999999</v>
      </c>
      <c r="Z111" s="313">
        <v>1.9E-2</v>
      </c>
      <c r="AA111" s="445">
        <v>0.158</v>
      </c>
      <c r="AB111" s="445">
        <v>0.154</v>
      </c>
      <c r="AC111" s="445">
        <v>0.158</v>
      </c>
      <c r="AD111" s="445">
        <v>0.158</v>
      </c>
      <c r="AE111" s="445">
        <v>0.154</v>
      </c>
      <c r="AF111" s="445">
        <v>0.158</v>
      </c>
      <c r="AG111" s="445">
        <v>0.158</v>
      </c>
      <c r="AH111" s="445">
        <v>0.158</v>
      </c>
      <c r="AI111" s="446">
        <v>0.158</v>
      </c>
      <c r="AJ111" s="446">
        <v>0.158</v>
      </c>
      <c r="AK111" s="446">
        <v>0.158</v>
      </c>
      <c r="AL111" s="445">
        <v>0.158</v>
      </c>
      <c r="AM111" s="298">
        <v>7.1700827718707005E-2</v>
      </c>
      <c r="AO111" s="313">
        <f t="shared" si="13"/>
        <v>0.154</v>
      </c>
      <c r="AP111" s="313">
        <f t="shared" si="14"/>
        <v>0.154</v>
      </c>
      <c r="AQ111" s="316">
        <f t="shared" si="15"/>
        <v>0.154</v>
      </c>
      <c r="AR111" s="315">
        <f t="shared" si="16"/>
        <v>39539</v>
      </c>
      <c r="AS111" s="313">
        <f t="shared" si="10"/>
        <v>0.57082597659892131</v>
      </c>
      <c r="AT111" s="313">
        <f t="shared" si="11"/>
        <v>0.570936081989739</v>
      </c>
      <c r="AV111" s="315">
        <f t="shared" si="17"/>
        <v>39539</v>
      </c>
      <c r="AW111" s="298">
        <v>99</v>
      </c>
    </row>
    <row r="112" spans="2:49" x14ac:dyDescent="0.25">
      <c r="B112" s="303">
        <f t="shared" si="12"/>
        <v>39569</v>
      </c>
      <c r="C112" s="301">
        <v>2.9544999999999999</v>
      </c>
      <c r="D112" s="301">
        <v>0.1575</v>
      </c>
      <c r="E112" s="301">
        <v>7.2091327400954003E-2</v>
      </c>
      <c r="F112" s="301">
        <v>-0.19500000000000001</v>
      </c>
      <c r="G112" s="301">
        <v>1.4999999999999999E-2</v>
      </c>
      <c r="H112" s="301">
        <v>-0.19500000000000001</v>
      </c>
      <c r="I112" s="301">
        <v>0.13250000000000001</v>
      </c>
      <c r="J112" s="301">
        <v>0.155</v>
      </c>
      <c r="K112" s="301">
        <v>-4.8500000000000001E-2</v>
      </c>
      <c r="L112" s="301">
        <v>-1.6E-2</v>
      </c>
      <c r="M112" s="301">
        <v>-0.29249999999999998</v>
      </c>
      <c r="N112" s="301">
        <v>6.4999999999999997E-3</v>
      </c>
      <c r="O112" s="301">
        <v>4.4999999999999997E-3</v>
      </c>
      <c r="P112" s="298">
        <v>-2.4E-2</v>
      </c>
      <c r="Q112" s="298">
        <v>-0.03</v>
      </c>
      <c r="R112" s="298">
        <v>-1.345E-2</v>
      </c>
      <c r="S112" s="298">
        <v>-5.9499999999999997E-2</v>
      </c>
      <c r="T112" s="298">
        <v>-0.105</v>
      </c>
      <c r="U112" s="298">
        <v>0.2525</v>
      </c>
      <c r="V112" s="298">
        <v>5.0000000000000001E-3</v>
      </c>
      <c r="W112" s="298">
        <v>-0.16500000000000001</v>
      </c>
      <c r="X112" s="298">
        <v>-1.2E-2</v>
      </c>
      <c r="Y112" s="313">
        <v>0.21249999999999999</v>
      </c>
      <c r="Z112" s="313">
        <v>1.9E-2</v>
      </c>
      <c r="AA112" s="445">
        <v>0.158</v>
      </c>
      <c r="AB112" s="445">
        <v>0.154</v>
      </c>
      <c r="AC112" s="445">
        <v>0.158</v>
      </c>
      <c r="AD112" s="445">
        <v>0.158</v>
      </c>
      <c r="AE112" s="445">
        <v>0.154</v>
      </c>
      <c r="AF112" s="445">
        <v>0.158</v>
      </c>
      <c r="AG112" s="445">
        <v>0.158</v>
      </c>
      <c r="AH112" s="445">
        <v>0.158</v>
      </c>
      <c r="AI112" s="446">
        <v>0.158</v>
      </c>
      <c r="AJ112" s="446">
        <v>0.158</v>
      </c>
      <c r="AK112" s="446">
        <v>0.158</v>
      </c>
      <c r="AL112" s="445">
        <v>0.158</v>
      </c>
      <c r="AM112" s="298">
        <v>7.1715821060558002E-2</v>
      </c>
      <c r="AO112" s="313">
        <f t="shared" si="13"/>
        <v>0.154</v>
      </c>
      <c r="AP112" s="313">
        <f t="shared" si="14"/>
        <v>0.154</v>
      </c>
      <c r="AQ112" s="316">
        <f t="shared" si="15"/>
        <v>0.154</v>
      </c>
      <c r="AR112" s="315">
        <f t="shared" si="16"/>
        <v>39569</v>
      </c>
      <c r="AS112" s="313">
        <f t="shared" si="10"/>
        <v>0.56746661929234909</v>
      </c>
      <c r="AT112" s="313">
        <f t="shared" si="11"/>
        <v>0.56757609919627627</v>
      </c>
      <c r="AV112" s="315">
        <f t="shared" si="17"/>
        <v>39569</v>
      </c>
      <c r="AW112" s="298">
        <v>100</v>
      </c>
    </row>
    <row r="113" spans="2:49" x14ac:dyDescent="0.25">
      <c r="B113" s="303">
        <f t="shared" si="12"/>
        <v>39600</v>
      </c>
      <c r="C113" s="301">
        <v>2.9615</v>
      </c>
      <c r="D113" s="301">
        <v>0.1575</v>
      </c>
      <c r="E113" s="301">
        <v>7.2107846633153005E-2</v>
      </c>
      <c r="F113" s="301">
        <v>-0.19500000000000001</v>
      </c>
      <c r="G113" s="301">
        <v>0.02</v>
      </c>
      <c r="H113" s="301">
        <v>-0.19500000000000001</v>
      </c>
      <c r="I113" s="301">
        <v>0.1275</v>
      </c>
      <c r="J113" s="301">
        <v>0.155</v>
      </c>
      <c r="K113" s="301">
        <v>-4.3499999999999997E-2</v>
      </c>
      <c r="L113" s="301">
        <v>-1.6E-2</v>
      </c>
      <c r="M113" s="301">
        <v>-0.29249999999999998</v>
      </c>
      <c r="N113" s="301">
        <v>6.4999999999999997E-3</v>
      </c>
      <c r="O113" s="301">
        <v>4.4999999999999997E-3</v>
      </c>
      <c r="P113" s="298">
        <v>-2.1499999999999998E-2</v>
      </c>
      <c r="Q113" s="298">
        <v>-0.03</v>
      </c>
      <c r="R113" s="298">
        <v>-1.345E-2</v>
      </c>
      <c r="S113" s="298">
        <v>-5.1999999999999998E-2</v>
      </c>
      <c r="T113" s="298">
        <v>-0.105</v>
      </c>
      <c r="U113" s="298">
        <v>0.2525</v>
      </c>
      <c r="V113" s="298">
        <v>5.0000000000000001E-3</v>
      </c>
      <c r="W113" s="298">
        <v>-0.16500000000000001</v>
      </c>
      <c r="X113" s="298">
        <v>-1.4500000000000001E-2</v>
      </c>
      <c r="Y113" s="313">
        <v>0.21249999999999999</v>
      </c>
      <c r="Z113" s="313">
        <v>1.9E-2</v>
      </c>
      <c r="AA113" s="445">
        <v>0.158</v>
      </c>
      <c r="AB113" s="445">
        <v>0.154</v>
      </c>
      <c r="AC113" s="445">
        <v>0.158</v>
      </c>
      <c r="AD113" s="445">
        <v>0.158</v>
      </c>
      <c r="AE113" s="445">
        <v>0.154</v>
      </c>
      <c r="AF113" s="445">
        <v>0.158</v>
      </c>
      <c r="AG113" s="445">
        <v>0.158</v>
      </c>
      <c r="AH113" s="445">
        <v>0.158</v>
      </c>
      <c r="AI113" s="446">
        <v>0.158</v>
      </c>
      <c r="AJ113" s="446">
        <v>0.158</v>
      </c>
      <c r="AK113" s="446">
        <v>0.158</v>
      </c>
      <c r="AL113" s="445">
        <v>0.158</v>
      </c>
      <c r="AM113" s="298">
        <v>7.1731314180547998E-2</v>
      </c>
      <c r="AO113" s="313">
        <f t="shared" si="13"/>
        <v>0.154</v>
      </c>
      <c r="AP113" s="313">
        <f t="shared" si="14"/>
        <v>0.154</v>
      </c>
      <c r="AQ113" s="316">
        <f t="shared" si="15"/>
        <v>0.154</v>
      </c>
      <c r="AR113" s="315">
        <f t="shared" si="16"/>
        <v>39600</v>
      </c>
      <c r="AS113" s="313">
        <f t="shared" si="10"/>
        <v>0.56401464326221751</v>
      </c>
      <c r="AT113" s="313">
        <f t="shared" si="11"/>
        <v>0.56412348028559445</v>
      </c>
      <c r="AV113" s="315">
        <f t="shared" si="17"/>
        <v>39600</v>
      </c>
      <c r="AW113" s="298">
        <v>101</v>
      </c>
    </row>
    <row r="114" spans="2:49" x14ac:dyDescent="0.25">
      <c r="B114" s="303">
        <f t="shared" si="12"/>
        <v>39630</v>
      </c>
      <c r="C114" s="301">
        <v>2.9615</v>
      </c>
      <c r="D114" s="301">
        <v>0.1575</v>
      </c>
      <c r="E114" s="301">
        <v>7.2123832986979997E-2</v>
      </c>
      <c r="F114" s="301">
        <v>-0.19500000000000001</v>
      </c>
      <c r="G114" s="301">
        <v>2.2499999999999999E-2</v>
      </c>
      <c r="H114" s="301">
        <v>-0.19500000000000001</v>
      </c>
      <c r="I114" s="301">
        <v>0.11749999999999999</v>
      </c>
      <c r="J114" s="301">
        <v>0.155</v>
      </c>
      <c r="K114" s="301">
        <v>-4.3499999999999997E-2</v>
      </c>
      <c r="L114" s="301">
        <v>-1.6E-2</v>
      </c>
      <c r="M114" s="301">
        <v>-0.29249999999999998</v>
      </c>
      <c r="N114" s="301">
        <v>6.4999999999999997E-3</v>
      </c>
      <c r="O114" s="301">
        <v>4.4999999999999997E-3</v>
      </c>
      <c r="P114" s="298">
        <v>-2.1499999999999998E-2</v>
      </c>
      <c r="Q114" s="298">
        <v>-0.03</v>
      </c>
      <c r="R114" s="298">
        <v>-1.345E-2</v>
      </c>
      <c r="S114" s="298">
        <v>-5.1999999999999998E-2</v>
      </c>
      <c r="T114" s="298">
        <v>-0.105</v>
      </c>
      <c r="U114" s="298">
        <v>0.25750000000000001</v>
      </c>
      <c r="V114" s="298">
        <v>5.0000000000000001E-3</v>
      </c>
      <c r="W114" s="298">
        <v>-0.16500000000000001</v>
      </c>
      <c r="X114" s="298">
        <v>-1.4500000000000001E-2</v>
      </c>
      <c r="Y114" s="313">
        <v>0.21249999999999999</v>
      </c>
      <c r="Z114" s="313">
        <v>1.9E-2</v>
      </c>
      <c r="AA114" s="445">
        <v>0.158</v>
      </c>
      <c r="AB114" s="445">
        <v>0.154</v>
      </c>
      <c r="AC114" s="445">
        <v>0.158</v>
      </c>
      <c r="AD114" s="445">
        <v>0.158</v>
      </c>
      <c r="AE114" s="445">
        <v>0.154</v>
      </c>
      <c r="AF114" s="445">
        <v>0.158</v>
      </c>
      <c r="AG114" s="445">
        <v>0.158</v>
      </c>
      <c r="AH114" s="445">
        <v>0.158</v>
      </c>
      <c r="AI114" s="446">
        <v>0.158</v>
      </c>
      <c r="AJ114" s="446">
        <v>0.158</v>
      </c>
      <c r="AK114" s="446">
        <v>0.158</v>
      </c>
      <c r="AL114" s="445">
        <v>0.158</v>
      </c>
      <c r="AM114" s="298">
        <v>7.1746307522549999E-2</v>
      </c>
      <c r="AO114" s="313">
        <f t="shared" si="13"/>
        <v>0.154</v>
      </c>
      <c r="AP114" s="313">
        <f t="shared" si="14"/>
        <v>0.154</v>
      </c>
      <c r="AQ114" s="316">
        <f t="shared" si="15"/>
        <v>0.154</v>
      </c>
      <c r="AR114" s="315">
        <f t="shared" si="16"/>
        <v>39630</v>
      </c>
      <c r="AS114" s="313">
        <f t="shared" si="10"/>
        <v>0.56069266140429852</v>
      </c>
      <c r="AT114" s="313">
        <f t="shared" si="11"/>
        <v>0.56080087961350422</v>
      </c>
      <c r="AV114" s="315">
        <f t="shared" si="17"/>
        <v>39630</v>
      </c>
      <c r="AW114" s="298">
        <v>102</v>
      </c>
    </row>
    <row r="115" spans="2:49" x14ac:dyDescent="0.25">
      <c r="B115" s="303">
        <f t="shared" si="12"/>
        <v>39661</v>
      </c>
      <c r="C115" s="301">
        <v>2.9645000000000001</v>
      </c>
      <c r="D115" s="301">
        <v>0.1575</v>
      </c>
      <c r="E115" s="301">
        <v>7.2140352219355997E-2</v>
      </c>
      <c r="F115" s="301">
        <v>-0.19500000000000001</v>
      </c>
      <c r="G115" s="301">
        <v>2.5000000000000001E-2</v>
      </c>
      <c r="H115" s="301">
        <v>-0.19500000000000001</v>
      </c>
      <c r="I115" s="301">
        <v>0.115</v>
      </c>
      <c r="J115" s="301">
        <v>0.155</v>
      </c>
      <c r="K115" s="301">
        <v>-4.3499999999999997E-2</v>
      </c>
      <c r="L115" s="301">
        <v>-1.6E-2</v>
      </c>
      <c r="M115" s="301">
        <v>-0.29249999999999998</v>
      </c>
      <c r="N115" s="301">
        <v>6.4999999999999997E-3</v>
      </c>
      <c r="O115" s="301">
        <v>4.4999999999999997E-3</v>
      </c>
      <c r="P115" s="298">
        <v>-2.1499999999999998E-2</v>
      </c>
      <c r="Q115" s="298">
        <v>-0.03</v>
      </c>
      <c r="R115" s="298">
        <v>-1.0749999999999999E-2</v>
      </c>
      <c r="S115" s="298">
        <v>-5.1999999999999998E-2</v>
      </c>
      <c r="T115" s="298">
        <v>-0.105</v>
      </c>
      <c r="U115" s="298">
        <v>0.25750000000000001</v>
      </c>
      <c r="V115" s="298">
        <v>5.0000000000000001E-3</v>
      </c>
      <c r="W115" s="298">
        <v>-0.16500000000000001</v>
      </c>
      <c r="X115" s="298">
        <v>-1.4500000000000001E-2</v>
      </c>
      <c r="Y115" s="313">
        <v>0.21249999999999999</v>
      </c>
      <c r="Z115" s="313">
        <v>1.9E-2</v>
      </c>
      <c r="AA115" s="445">
        <v>0.158</v>
      </c>
      <c r="AB115" s="445">
        <v>0.154</v>
      </c>
      <c r="AC115" s="445">
        <v>0.158</v>
      </c>
      <c r="AD115" s="445">
        <v>0.158</v>
      </c>
      <c r="AE115" s="445">
        <v>0.154</v>
      </c>
      <c r="AF115" s="445">
        <v>0.158</v>
      </c>
      <c r="AG115" s="445">
        <v>0.158</v>
      </c>
      <c r="AH115" s="445">
        <v>0.158</v>
      </c>
      <c r="AI115" s="446">
        <v>0.158</v>
      </c>
      <c r="AJ115" s="446">
        <v>0.158</v>
      </c>
      <c r="AK115" s="446">
        <v>0.158</v>
      </c>
      <c r="AL115" s="445">
        <v>0.158</v>
      </c>
      <c r="AM115" s="298">
        <v>7.1761800642695994E-2</v>
      </c>
      <c r="AO115" s="313">
        <f t="shared" si="13"/>
        <v>0.154</v>
      </c>
      <c r="AP115" s="313">
        <f t="shared" si="14"/>
        <v>0.154</v>
      </c>
      <c r="AQ115" s="316">
        <f t="shared" si="15"/>
        <v>0.154</v>
      </c>
      <c r="AR115" s="315">
        <f t="shared" si="16"/>
        <v>39661</v>
      </c>
      <c r="AS115" s="313">
        <f t="shared" si="10"/>
        <v>0.55727910922329371</v>
      </c>
      <c r="AT115" s="313">
        <f t="shared" si="11"/>
        <v>0.55738669141365449</v>
      </c>
      <c r="AV115" s="315">
        <f t="shared" si="17"/>
        <v>39661</v>
      </c>
      <c r="AW115" s="298">
        <v>103</v>
      </c>
    </row>
    <row r="116" spans="2:49" x14ac:dyDescent="0.25">
      <c r="B116" s="303">
        <f t="shared" si="12"/>
        <v>39692</v>
      </c>
      <c r="C116" s="301">
        <v>2.9634999999999998</v>
      </c>
      <c r="D116" s="301">
        <v>0.1575</v>
      </c>
      <c r="E116" s="301">
        <v>7.2156871451822993E-2</v>
      </c>
      <c r="F116" s="301">
        <v>-0.19500000000000001</v>
      </c>
      <c r="G116" s="301">
        <v>1.7500000000000002E-2</v>
      </c>
      <c r="H116" s="301">
        <v>-0.19500000000000001</v>
      </c>
      <c r="I116" s="301">
        <v>0.1125</v>
      </c>
      <c r="J116" s="301">
        <v>0.155</v>
      </c>
      <c r="K116" s="301">
        <v>-4.5999999999999999E-2</v>
      </c>
      <c r="L116" s="301">
        <v>-1.6E-2</v>
      </c>
      <c r="M116" s="301">
        <v>-0.29249999999999998</v>
      </c>
      <c r="N116" s="301">
        <v>6.4999999999999997E-3</v>
      </c>
      <c r="O116" s="301">
        <v>4.4999999999999997E-3</v>
      </c>
      <c r="P116" s="298">
        <v>-2.1499999999999998E-2</v>
      </c>
      <c r="Q116" s="298">
        <v>-0.03</v>
      </c>
      <c r="R116" s="298">
        <v>-1.0749999999999999E-2</v>
      </c>
      <c r="S116" s="298">
        <v>-5.7000000000000002E-2</v>
      </c>
      <c r="T116" s="298">
        <v>-0.105</v>
      </c>
      <c r="U116" s="298">
        <v>0.2525</v>
      </c>
      <c r="V116" s="298">
        <v>5.0000000000000001E-3</v>
      </c>
      <c r="W116" s="298">
        <v>-0.16500000000000001</v>
      </c>
      <c r="X116" s="298">
        <v>-1.7000000000000001E-2</v>
      </c>
      <c r="Y116" s="313">
        <v>0.21249999999999999</v>
      </c>
      <c r="Z116" s="313">
        <v>1.9E-2</v>
      </c>
      <c r="AA116" s="445">
        <v>0.158</v>
      </c>
      <c r="AB116" s="445">
        <v>0.154</v>
      </c>
      <c r="AC116" s="445">
        <v>0.158</v>
      </c>
      <c r="AD116" s="445">
        <v>0.158</v>
      </c>
      <c r="AE116" s="445">
        <v>0.154</v>
      </c>
      <c r="AF116" s="445">
        <v>0.158</v>
      </c>
      <c r="AG116" s="445">
        <v>0.158</v>
      </c>
      <c r="AH116" s="445">
        <v>0.158</v>
      </c>
      <c r="AI116" s="446">
        <v>0.158</v>
      </c>
      <c r="AJ116" s="446">
        <v>0.158</v>
      </c>
      <c r="AK116" s="446">
        <v>0.158</v>
      </c>
      <c r="AL116" s="445">
        <v>0.158</v>
      </c>
      <c r="AM116" s="298">
        <v>7.1777293762921995E-2</v>
      </c>
      <c r="AO116" s="313">
        <f t="shared" si="13"/>
        <v>0.154</v>
      </c>
      <c r="AP116" s="313">
        <f t="shared" si="14"/>
        <v>0.154</v>
      </c>
      <c r="AQ116" s="316">
        <f t="shared" si="15"/>
        <v>0.154</v>
      </c>
      <c r="AR116" s="315">
        <f t="shared" si="16"/>
        <v>39692</v>
      </c>
      <c r="AS116" s="313">
        <f t="shared" si="10"/>
        <v>0.55388493338633027</v>
      </c>
      <c r="AT116" s="313">
        <f t="shared" si="11"/>
        <v>0.55399188301944025</v>
      </c>
      <c r="AV116" s="315">
        <f t="shared" si="17"/>
        <v>39692</v>
      </c>
      <c r="AW116" s="298">
        <v>104</v>
      </c>
    </row>
    <row r="117" spans="2:49" x14ac:dyDescent="0.25">
      <c r="B117" s="303">
        <f t="shared" si="12"/>
        <v>39722</v>
      </c>
      <c r="C117" s="301">
        <v>2.9855</v>
      </c>
      <c r="D117" s="301">
        <v>0.1575</v>
      </c>
      <c r="E117" s="301">
        <v>7.2172857805908999E-2</v>
      </c>
      <c r="F117" s="301">
        <v>-0.19500000000000001</v>
      </c>
      <c r="G117" s="301">
        <v>7.4999999999999997E-3</v>
      </c>
      <c r="H117" s="301">
        <v>-0.19500000000000001</v>
      </c>
      <c r="I117" s="301">
        <v>0.1275</v>
      </c>
      <c r="J117" s="301">
        <v>0.1575</v>
      </c>
      <c r="K117" s="301">
        <v>-4.5999999999999999E-2</v>
      </c>
      <c r="L117" s="301">
        <v>-1.6E-2</v>
      </c>
      <c r="M117" s="301">
        <v>-0.29249999999999998</v>
      </c>
      <c r="N117" s="301">
        <v>6.4999999999999997E-3</v>
      </c>
      <c r="O117" s="301">
        <v>4.4999999999999997E-3</v>
      </c>
      <c r="P117" s="298">
        <v>-2.1499999999999998E-2</v>
      </c>
      <c r="Q117" s="298">
        <v>-0.03</v>
      </c>
      <c r="R117" s="298">
        <v>-3.15E-2</v>
      </c>
      <c r="S117" s="298">
        <v>-5.7000000000000002E-2</v>
      </c>
      <c r="T117" s="298">
        <v>-0.105</v>
      </c>
      <c r="U117" s="298">
        <v>0.255</v>
      </c>
      <c r="V117" s="298">
        <v>5.0000000000000001E-3</v>
      </c>
      <c r="W117" s="298">
        <v>-0.16500000000000001</v>
      </c>
      <c r="X117" s="298">
        <v>-1.7000000000000001E-2</v>
      </c>
      <c r="Y117" s="313">
        <v>0.21249999999999999</v>
      </c>
      <c r="Z117" s="313">
        <v>1.9E-2</v>
      </c>
      <c r="AA117" s="445">
        <v>0.158</v>
      </c>
      <c r="AB117" s="445">
        <v>0.154</v>
      </c>
      <c r="AC117" s="445">
        <v>0.158</v>
      </c>
      <c r="AD117" s="445">
        <v>0.158</v>
      </c>
      <c r="AE117" s="445">
        <v>0.154</v>
      </c>
      <c r="AF117" s="445">
        <v>0.158</v>
      </c>
      <c r="AG117" s="445">
        <v>0.158</v>
      </c>
      <c r="AH117" s="445">
        <v>0.158</v>
      </c>
      <c r="AI117" s="446">
        <v>0.158</v>
      </c>
      <c r="AJ117" s="446">
        <v>0.158</v>
      </c>
      <c r="AK117" s="446">
        <v>0.158</v>
      </c>
      <c r="AL117" s="445">
        <v>0.158</v>
      </c>
      <c r="AM117" s="298">
        <v>7.1792287105151995E-2</v>
      </c>
      <c r="AO117" s="313">
        <f t="shared" si="13"/>
        <v>0.154</v>
      </c>
      <c r="AP117" s="313">
        <f t="shared" si="14"/>
        <v>0.154</v>
      </c>
      <c r="AQ117" s="316">
        <f t="shared" si="15"/>
        <v>0.154</v>
      </c>
      <c r="AR117" s="315">
        <f t="shared" si="16"/>
        <v>39722</v>
      </c>
      <c r="AS117" s="313">
        <f t="shared" si="10"/>
        <v>0.55061860098483784</v>
      </c>
      <c r="AT117" s="313">
        <f t="shared" si="11"/>
        <v>0.55072494174557252</v>
      </c>
      <c r="AV117" s="315">
        <f t="shared" si="17"/>
        <v>39722</v>
      </c>
      <c r="AW117" s="298">
        <v>105</v>
      </c>
    </row>
    <row r="118" spans="2:49" x14ac:dyDescent="0.25">
      <c r="B118" s="303">
        <f t="shared" si="12"/>
        <v>39753</v>
      </c>
      <c r="C118" s="301">
        <v>3.0935000000000001</v>
      </c>
      <c r="D118" s="301">
        <v>0.1575</v>
      </c>
      <c r="E118" s="301">
        <v>7.2189377038552993E-2</v>
      </c>
      <c r="F118" s="301">
        <v>-0.19</v>
      </c>
      <c r="G118" s="301">
        <v>-3.2500000000000001E-2</v>
      </c>
      <c r="H118" s="301">
        <v>-0.19</v>
      </c>
      <c r="I118" s="301">
        <v>0.20499999999999999</v>
      </c>
      <c r="J118" s="301">
        <v>0.24</v>
      </c>
      <c r="K118" s="301">
        <v>-5.2499999999999998E-2</v>
      </c>
      <c r="L118" s="301">
        <v>-1.35E-2</v>
      </c>
      <c r="M118" s="301">
        <v>-0.24249999999999999</v>
      </c>
      <c r="N118" s="301">
        <v>1.0999999999999999E-2</v>
      </c>
      <c r="O118" s="301">
        <v>8.9999999999999993E-3</v>
      </c>
      <c r="P118" s="298">
        <v>-2.4500000000000001E-2</v>
      </c>
      <c r="Q118" s="298">
        <v>-0.03</v>
      </c>
      <c r="R118" s="298">
        <v>-3.3000000000000002E-2</v>
      </c>
      <c r="S118" s="298">
        <v>-7.1999999999999995E-2</v>
      </c>
      <c r="T118" s="298">
        <v>-0.14499999999999999</v>
      </c>
      <c r="U118" s="298">
        <v>0.72499999999999998</v>
      </c>
      <c r="V118" s="298">
        <v>5.0000000000000001E-3</v>
      </c>
      <c r="W118" s="298">
        <v>-0.1875</v>
      </c>
      <c r="X118" s="298">
        <v>-1.4500000000000001E-2</v>
      </c>
      <c r="Y118" s="313">
        <v>0.10249999999999999</v>
      </c>
      <c r="Z118" s="313">
        <v>2.8500000000000001E-2</v>
      </c>
      <c r="AA118" s="445">
        <v>0.158</v>
      </c>
      <c r="AB118" s="445">
        <v>0.17299999999999999</v>
      </c>
      <c r="AC118" s="445">
        <v>0.158</v>
      </c>
      <c r="AD118" s="445">
        <v>0.158</v>
      </c>
      <c r="AE118" s="445">
        <v>0.158</v>
      </c>
      <c r="AF118" s="445">
        <v>0.158</v>
      </c>
      <c r="AG118" s="445">
        <v>0.158</v>
      </c>
      <c r="AH118" s="445">
        <v>0.158</v>
      </c>
      <c r="AI118" s="446">
        <v>0.158</v>
      </c>
      <c r="AJ118" s="446">
        <v>0.158</v>
      </c>
      <c r="AK118" s="446">
        <v>0.158</v>
      </c>
      <c r="AL118" s="445">
        <v>0.158</v>
      </c>
      <c r="AM118" s="298">
        <v>7.1807780225533996E-2</v>
      </c>
      <c r="AO118" s="313">
        <f t="shared" si="13"/>
        <v>0.17299999999999999</v>
      </c>
      <c r="AP118" s="313">
        <f t="shared" si="14"/>
        <v>0.17299999999999999</v>
      </c>
      <c r="AQ118" s="316">
        <f t="shared" si="15"/>
        <v>0.17299999999999999</v>
      </c>
      <c r="AR118" s="315">
        <f t="shared" si="16"/>
        <v>39753</v>
      </c>
      <c r="AS118" s="313">
        <f t="shared" si="10"/>
        <v>0.54726225884324442</v>
      </c>
      <c r="AT118" s="313">
        <f t="shared" si="11"/>
        <v>0.54736797380842661</v>
      </c>
      <c r="AV118" s="315">
        <f t="shared" si="17"/>
        <v>39753</v>
      </c>
      <c r="AW118" s="298">
        <v>106</v>
      </c>
    </row>
    <row r="119" spans="2:49" x14ac:dyDescent="0.25">
      <c r="B119" s="303">
        <f t="shared" si="12"/>
        <v>39783</v>
      </c>
      <c r="C119" s="301">
        <v>3.2014999999999998</v>
      </c>
      <c r="D119" s="301">
        <v>0.1575</v>
      </c>
      <c r="E119" s="301">
        <v>7.2205363392810001E-2</v>
      </c>
      <c r="F119" s="301">
        <v>-0.19750000000000001</v>
      </c>
      <c r="G119" s="301">
        <v>-5.5E-2</v>
      </c>
      <c r="H119" s="301">
        <v>-0.19750000000000001</v>
      </c>
      <c r="I119" s="301">
        <v>0.245</v>
      </c>
      <c r="J119" s="301">
        <v>0.29499999999999998</v>
      </c>
      <c r="K119" s="301">
        <v>-5.2499999999999998E-2</v>
      </c>
      <c r="L119" s="301">
        <v>-1.35E-2</v>
      </c>
      <c r="M119" s="301">
        <v>-0.24249999999999999</v>
      </c>
      <c r="N119" s="301">
        <v>1.0999999999999999E-2</v>
      </c>
      <c r="O119" s="301">
        <v>8.9999999999999993E-3</v>
      </c>
      <c r="P119" s="298">
        <v>-2.4500000000000001E-2</v>
      </c>
      <c r="Q119" s="298">
        <v>-0.03</v>
      </c>
      <c r="R119" s="298">
        <v>-3.3000000000000002E-2</v>
      </c>
      <c r="S119" s="298">
        <v>-8.6999999999999994E-2</v>
      </c>
      <c r="T119" s="298">
        <v>-0.14499999999999999</v>
      </c>
      <c r="U119" s="298">
        <v>1.0449999999999999</v>
      </c>
      <c r="V119" s="298">
        <v>5.0000000000000001E-3</v>
      </c>
      <c r="W119" s="298">
        <v>-0.1875</v>
      </c>
      <c r="X119" s="298">
        <v>-1.4500000000000001E-2</v>
      </c>
      <c r="Y119" s="313">
        <v>0.10249999999999999</v>
      </c>
      <c r="Z119" s="313">
        <v>2.8500000000000001E-2</v>
      </c>
      <c r="AA119" s="445">
        <v>0.158</v>
      </c>
      <c r="AB119" s="445">
        <v>0.17299999999999999</v>
      </c>
      <c r="AC119" s="445">
        <v>0.158</v>
      </c>
      <c r="AD119" s="445">
        <v>0.158</v>
      </c>
      <c r="AE119" s="445">
        <v>0.158</v>
      </c>
      <c r="AF119" s="445">
        <v>0.158</v>
      </c>
      <c r="AG119" s="445">
        <v>0.158</v>
      </c>
      <c r="AH119" s="445">
        <v>0.158</v>
      </c>
      <c r="AI119" s="446">
        <v>0.158</v>
      </c>
      <c r="AJ119" s="446">
        <v>0.158</v>
      </c>
      <c r="AK119" s="446">
        <v>0.158</v>
      </c>
      <c r="AL119" s="445">
        <v>0.158</v>
      </c>
      <c r="AM119" s="298">
        <v>7.1822773567914999E-2</v>
      </c>
      <c r="AO119" s="313">
        <f t="shared" si="13"/>
        <v>0.17299999999999999</v>
      </c>
      <c r="AP119" s="313">
        <f t="shared" si="14"/>
        <v>0.17299999999999999</v>
      </c>
      <c r="AQ119" s="316">
        <f t="shared" si="15"/>
        <v>0.17299999999999999</v>
      </c>
      <c r="AR119" s="315">
        <f t="shared" si="16"/>
        <v>39783</v>
      </c>
      <c r="AS119" s="313">
        <f t="shared" si="10"/>
        <v>0.54403235208762468</v>
      </c>
      <c r="AT119" s="313">
        <f t="shared" si="11"/>
        <v>0.54413746469219837</v>
      </c>
      <c r="AV119" s="315">
        <f t="shared" si="17"/>
        <v>39783</v>
      </c>
      <c r="AW119" s="298">
        <v>107</v>
      </c>
    </row>
    <row r="120" spans="2:49" x14ac:dyDescent="0.25">
      <c r="B120" s="303">
        <f t="shared" si="12"/>
        <v>39814</v>
      </c>
      <c r="C120" s="301">
        <v>3.2509999999999999</v>
      </c>
      <c r="D120" s="301">
        <v>0.1575</v>
      </c>
      <c r="E120" s="301">
        <v>7.2221882625632006E-2</v>
      </c>
      <c r="F120" s="301">
        <v>-0.2</v>
      </c>
      <c r="G120" s="301">
        <v>-5.7500000000000002E-2</v>
      </c>
      <c r="H120" s="301">
        <v>-0.2</v>
      </c>
      <c r="I120" s="301">
        <v>0.31</v>
      </c>
      <c r="J120" s="301">
        <v>0.34250000000000003</v>
      </c>
      <c r="K120" s="301">
        <v>-5.6500000000000002E-2</v>
      </c>
      <c r="L120" s="301">
        <v>-1.15E-2</v>
      </c>
      <c r="M120" s="301">
        <v>-0.24249999999999999</v>
      </c>
      <c r="N120" s="301">
        <v>1.0999999999999999E-2</v>
      </c>
      <c r="O120" s="301">
        <v>8.9999999999999993E-3</v>
      </c>
      <c r="P120" s="298">
        <v>-0.02</v>
      </c>
      <c r="Q120" s="298">
        <v>-0.03</v>
      </c>
      <c r="R120" s="298">
        <v>-3.3000000000000002E-2</v>
      </c>
      <c r="S120" s="298">
        <v>-9.7500000000000003E-2</v>
      </c>
      <c r="T120" s="298">
        <v>-0.14499999999999999</v>
      </c>
      <c r="U120" s="298">
        <v>1.52</v>
      </c>
      <c r="V120" s="298">
        <v>5.0000000000000001E-3</v>
      </c>
      <c r="W120" s="298">
        <v>-0.1875</v>
      </c>
      <c r="X120" s="298">
        <v>-1.4500000000000001E-2</v>
      </c>
      <c r="Y120" s="313">
        <v>0.10249999999999999</v>
      </c>
      <c r="Z120" s="313">
        <v>2.8500000000000001E-2</v>
      </c>
      <c r="AA120" s="445">
        <v>0.158</v>
      </c>
      <c r="AB120" s="445">
        <v>0.158</v>
      </c>
      <c r="AC120" s="445">
        <v>0.158</v>
      </c>
      <c r="AD120" s="445">
        <v>0.158</v>
      </c>
      <c r="AE120" s="445">
        <v>0.158</v>
      </c>
      <c r="AF120" s="445">
        <v>0.158</v>
      </c>
      <c r="AG120" s="445">
        <v>0.158</v>
      </c>
      <c r="AH120" s="445">
        <v>0.158</v>
      </c>
      <c r="AI120" s="446">
        <v>0.158</v>
      </c>
      <c r="AJ120" s="446">
        <v>0.158</v>
      </c>
      <c r="AK120" s="446">
        <v>0.158</v>
      </c>
      <c r="AL120" s="445">
        <v>0.158</v>
      </c>
      <c r="AM120" s="298">
        <v>7.1838266688453001E-2</v>
      </c>
      <c r="AO120" s="313">
        <f t="shared" si="13"/>
        <v>0.158</v>
      </c>
      <c r="AP120" s="313">
        <f t="shared" si="14"/>
        <v>0.158</v>
      </c>
      <c r="AQ120" s="316">
        <f t="shared" si="15"/>
        <v>0.158</v>
      </c>
      <c r="AR120" s="315">
        <f t="shared" si="16"/>
        <v>39814</v>
      </c>
      <c r="AS120" s="313">
        <f t="shared" si="10"/>
        <v>0.54071345680920579</v>
      </c>
      <c r="AT120" s="313">
        <f t="shared" si="11"/>
        <v>0.54081795031432056</v>
      </c>
      <c r="AV120" s="315">
        <f t="shared" si="17"/>
        <v>39814</v>
      </c>
      <c r="AW120" s="298">
        <v>108</v>
      </c>
    </row>
    <row r="121" spans="2:49" x14ac:dyDescent="0.25">
      <c r="B121" s="303">
        <f t="shared" si="12"/>
        <v>39845</v>
      </c>
      <c r="C121" s="301">
        <v>3.1619999999999999</v>
      </c>
      <c r="D121" s="301">
        <v>0.1575</v>
      </c>
      <c r="E121" s="301">
        <v>7.2238401858541995E-2</v>
      </c>
      <c r="F121" s="301">
        <v>-0.20250000000000001</v>
      </c>
      <c r="G121" s="301">
        <v>-0.04</v>
      </c>
      <c r="H121" s="301">
        <v>-0.20250000000000001</v>
      </c>
      <c r="I121" s="301">
        <v>0.28499999999999998</v>
      </c>
      <c r="J121" s="301">
        <v>0.33750000000000002</v>
      </c>
      <c r="K121" s="301">
        <v>-5.2499999999999998E-2</v>
      </c>
      <c r="L121" s="301">
        <v>-1.15E-2</v>
      </c>
      <c r="M121" s="301">
        <v>-0.24249999999999999</v>
      </c>
      <c r="N121" s="301">
        <v>1.0999999999999999E-2</v>
      </c>
      <c r="O121" s="301">
        <v>8.9999999999999993E-3</v>
      </c>
      <c r="P121" s="298">
        <v>-0.02</v>
      </c>
      <c r="Q121" s="298">
        <v>-0.03</v>
      </c>
      <c r="R121" s="298">
        <v>-3.3000000000000002E-2</v>
      </c>
      <c r="S121" s="298">
        <v>-8.5000000000000006E-2</v>
      </c>
      <c r="T121" s="298">
        <v>-0.14499999999999999</v>
      </c>
      <c r="U121" s="298">
        <v>1.4</v>
      </c>
      <c r="V121" s="298">
        <v>5.0000000000000001E-3</v>
      </c>
      <c r="W121" s="298">
        <v>-0.1875</v>
      </c>
      <c r="X121" s="298">
        <v>-1.4500000000000001E-2</v>
      </c>
      <c r="Y121" s="313">
        <v>0.10249999999999999</v>
      </c>
      <c r="Z121" s="313">
        <v>2.8500000000000001E-2</v>
      </c>
      <c r="AA121" s="445">
        <v>0.158</v>
      </c>
      <c r="AB121" s="445">
        <v>0.17299999999999999</v>
      </c>
      <c r="AC121" s="445">
        <v>0.158</v>
      </c>
      <c r="AD121" s="445">
        <v>0.158</v>
      </c>
      <c r="AE121" s="445">
        <v>0.158</v>
      </c>
      <c r="AF121" s="445">
        <v>0.158</v>
      </c>
      <c r="AG121" s="445">
        <v>0.158</v>
      </c>
      <c r="AH121" s="445">
        <v>0.158</v>
      </c>
      <c r="AI121" s="446">
        <v>0.158</v>
      </c>
      <c r="AJ121" s="446">
        <v>0.158</v>
      </c>
      <c r="AK121" s="446">
        <v>0.158</v>
      </c>
      <c r="AL121" s="445">
        <v>0.158</v>
      </c>
      <c r="AM121" s="298">
        <v>7.1853759809069995E-2</v>
      </c>
      <c r="AO121" s="313">
        <f t="shared" si="13"/>
        <v>0.17299999999999999</v>
      </c>
      <c r="AP121" s="313">
        <f t="shared" si="14"/>
        <v>0.17299999999999999</v>
      </c>
      <c r="AQ121" s="316">
        <f t="shared" si="15"/>
        <v>0.17299999999999999</v>
      </c>
      <c r="AR121" s="315">
        <f t="shared" si="16"/>
        <v>39845</v>
      </c>
      <c r="AS121" s="313">
        <f t="shared" si="10"/>
        <v>0.53741344478971831</v>
      </c>
      <c r="AT121" s="313">
        <f t="shared" si="11"/>
        <v>0.53751732257334417</v>
      </c>
      <c r="AV121" s="315">
        <f t="shared" si="17"/>
        <v>39845</v>
      </c>
      <c r="AW121" s="298">
        <v>109</v>
      </c>
    </row>
    <row r="122" spans="2:49" x14ac:dyDescent="0.25">
      <c r="B122" s="303">
        <f t="shared" si="12"/>
        <v>39873</v>
      </c>
      <c r="C122" s="301">
        <v>3.0649999999999999</v>
      </c>
      <c r="D122" s="301">
        <v>0.1575</v>
      </c>
      <c r="E122" s="301">
        <v>7.2253322456087996E-2</v>
      </c>
      <c r="F122" s="301">
        <v>-0.20499999999999999</v>
      </c>
      <c r="G122" s="301">
        <v>-2.75E-2</v>
      </c>
      <c r="H122" s="301">
        <v>-0.20499999999999999</v>
      </c>
      <c r="I122" s="301">
        <v>0.28249999999999997</v>
      </c>
      <c r="J122" s="301">
        <v>0.26</v>
      </c>
      <c r="K122" s="301">
        <v>-5.3999999999999999E-2</v>
      </c>
      <c r="L122" s="301">
        <v>-1.15E-2</v>
      </c>
      <c r="M122" s="301">
        <v>-0.24249999999999999</v>
      </c>
      <c r="N122" s="301">
        <v>1.0999999999999999E-2</v>
      </c>
      <c r="O122" s="301">
        <v>8.9999999999999993E-3</v>
      </c>
      <c r="P122" s="298">
        <v>-0.02</v>
      </c>
      <c r="Q122" s="298">
        <v>-0.03</v>
      </c>
      <c r="R122" s="298">
        <v>-1.47E-2</v>
      </c>
      <c r="S122" s="298">
        <v>-7.2499999999999995E-2</v>
      </c>
      <c r="T122" s="298">
        <v>-0.14499999999999999</v>
      </c>
      <c r="U122" s="298">
        <v>0.88</v>
      </c>
      <c r="V122" s="298">
        <v>5.0000000000000001E-3</v>
      </c>
      <c r="W122" s="298">
        <v>-0.1875</v>
      </c>
      <c r="X122" s="298">
        <v>-1.4500000000000001E-2</v>
      </c>
      <c r="Y122" s="313">
        <v>0.10249999999999999</v>
      </c>
      <c r="Z122" s="313">
        <v>2.8500000000000001E-2</v>
      </c>
      <c r="AA122" s="445">
        <v>0.158</v>
      </c>
      <c r="AB122" s="445">
        <v>0.17299999999999999</v>
      </c>
      <c r="AC122" s="445">
        <v>0.158</v>
      </c>
      <c r="AD122" s="445">
        <v>0.158</v>
      </c>
      <c r="AE122" s="445">
        <v>0.158</v>
      </c>
      <c r="AF122" s="445">
        <v>0.158</v>
      </c>
      <c r="AG122" s="445">
        <v>0.158</v>
      </c>
      <c r="AH122" s="445">
        <v>0.158</v>
      </c>
      <c r="AI122" s="446">
        <v>0.158</v>
      </c>
      <c r="AJ122" s="446">
        <v>0.158</v>
      </c>
      <c r="AK122" s="446">
        <v>0.158</v>
      </c>
      <c r="AL122" s="445">
        <v>0.158</v>
      </c>
      <c r="AM122" s="298">
        <v>7.1867753595502001E-2</v>
      </c>
      <c r="AO122" s="313">
        <f t="shared" si="13"/>
        <v>0.17299999999999999</v>
      </c>
      <c r="AP122" s="313">
        <f t="shared" si="14"/>
        <v>0.17299999999999999</v>
      </c>
      <c r="AQ122" s="316">
        <f t="shared" si="15"/>
        <v>0.17299999999999999</v>
      </c>
      <c r="AR122" s="315">
        <f t="shared" si="16"/>
        <v>39873</v>
      </c>
      <c r="AS122" s="313">
        <f t="shared" si="10"/>
        <v>0.5344489373678224</v>
      </c>
      <c r="AT122" s="313">
        <f t="shared" si="11"/>
        <v>0.5345522619054327</v>
      </c>
      <c r="AV122" s="315">
        <f t="shared" si="17"/>
        <v>39873</v>
      </c>
      <c r="AW122" s="298">
        <v>110</v>
      </c>
    </row>
    <row r="123" spans="2:49" x14ac:dyDescent="0.25">
      <c r="B123" s="303">
        <f t="shared" si="12"/>
        <v>39904</v>
      </c>
      <c r="C123" s="301">
        <v>2.9830000000000001</v>
      </c>
      <c r="D123" s="301">
        <v>0.1575</v>
      </c>
      <c r="E123" s="301">
        <v>7.2269841689171999E-2</v>
      </c>
      <c r="F123" s="301">
        <v>-0.19500000000000001</v>
      </c>
      <c r="G123" s="301">
        <v>1.4999999999999999E-2</v>
      </c>
      <c r="H123" s="301">
        <v>-0.19500000000000001</v>
      </c>
      <c r="I123" s="301">
        <v>0.18</v>
      </c>
      <c r="J123" s="301">
        <v>0.17</v>
      </c>
      <c r="K123" s="301">
        <v>-6.4000000000000001E-2</v>
      </c>
      <c r="L123" s="301">
        <v>-1.4E-2</v>
      </c>
      <c r="M123" s="301">
        <v>-0.29249999999999998</v>
      </c>
      <c r="N123" s="301">
        <v>6.4999999999999997E-3</v>
      </c>
      <c r="O123" s="301">
        <v>6.4999999999999997E-3</v>
      </c>
      <c r="P123" s="298">
        <v>-2.1999999999999999E-2</v>
      </c>
      <c r="Q123" s="298">
        <v>-0.03</v>
      </c>
      <c r="R123" s="298">
        <v>-1.47E-2</v>
      </c>
      <c r="S123" s="298">
        <v>-5.5E-2</v>
      </c>
      <c r="T123" s="298">
        <v>-0.105</v>
      </c>
      <c r="U123" s="298">
        <v>0.37</v>
      </c>
      <c r="V123" s="298">
        <v>5.0000000000000001E-3</v>
      </c>
      <c r="W123" s="298">
        <v>-0.16500000000000001</v>
      </c>
      <c r="X123" s="298">
        <v>-1.4500000000000001E-2</v>
      </c>
      <c r="Y123" s="313">
        <v>0.21249999999999999</v>
      </c>
      <c r="Z123" s="313">
        <v>2.1000000000000001E-2</v>
      </c>
      <c r="AA123" s="445">
        <v>0.158</v>
      </c>
      <c r="AB123" s="445">
        <v>0.154</v>
      </c>
      <c r="AC123" s="445">
        <v>0.158</v>
      </c>
      <c r="AD123" s="445">
        <v>0.158</v>
      </c>
      <c r="AE123" s="445">
        <v>0.154</v>
      </c>
      <c r="AF123" s="445">
        <v>0.158</v>
      </c>
      <c r="AG123" s="445">
        <v>0.158</v>
      </c>
      <c r="AH123" s="445">
        <v>0.158</v>
      </c>
      <c r="AI123" s="446">
        <v>0.158</v>
      </c>
      <c r="AJ123" s="446">
        <v>0.158</v>
      </c>
      <c r="AK123" s="446">
        <v>0.158</v>
      </c>
      <c r="AL123" s="445">
        <v>0.158</v>
      </c>
      <c r="AM123" s="298">
        <v>7.188324671627E-2</v>
      </c>
      <c r="AO123" s="313">
        <f t="shared" si="13"/>
        <v>0.154</v>
      </c>
      <c r="AP123" s="313">
        <f t="shared" si="14"/>
        <v>0.154</v>
      </c>
      <c r="AQ123" s="316">
        <f t="shared" si="15"/>
        <v>0.154</v>
      </c>
      <c r="AR123" s="315">
        <f t="shared" si="16"/>
        <v>39904</v>
      </c>
      <c r="AS123" s="313">
        <f t="shared" si="10"/>
        <v>0.53118459261485396</v>
      </c>
      <c r="AT123" s="313">
        <f t="shared" si="11"/>
        <v>0.53128730781386402</v>
      </c>
      <c r="AV123" s="315">
        <f t="shared" si="17"/>
        <v>39904</v>
      </c>
      <c r="AW123" s="298">
        <v>111</v>
      </c>
    </row>
    <row r="124" spans="2:49" x14ac:dyDescent="0.25">
      <c r="B124" s="303">
        <f t="shared" si="12"/>
        <v>39934</v>
      </c>
      <c r="C124" s="301">
        <v>3.02</v>
      </c>
      <c r="D124" s="301">
        <v>0.1575</v>
      </c>
      <c r="E124" s="301">
        <v>7.2285828043853001E-2</v>
      </c>
      <c r="F124" s="301">
        <v>-0.19500000000000001</v>
      </c>
      <c r="G124" s="301">
        <v>1.4999999999999999E-2</v>
      </c>
      <c r="H124" s="301">
        <v>-0.19500000000000001</v>
      </c>
      <c r="I124" s="301">
        <v>0.1825</v>
      </c>
      <c r="J124" s="301">
        <v>0.155</v>
      </c>
      <c r="K124" s="301">
        <v>-4.65E-2</v>
      </c>
      <c r="L124" s="301">
        <v>-1.4E-2</v>
      </c>
      <c r="M124" s="301">
        <v>-0.29249999999999998</v>
      </c>
      <c r="N124" s="301">
        <v>6.4999999999999997E-3</v>
      </c>
      <c r="O124" s="301">
        <v>6.4999999999999997E-3</v>
      </c>
      <c r="P124" s="298">
        <v>-2.1999999999999999E-2</v>
      </c>
      <c r="Q124" s="298">
        <v>-0.03</v>
      </c>
      <c r="R124" s="298">
        <v>-1.495E-2</v>
      </c>
      <c r="S124" s="298">
        <v>-5.7500000000000002E-2</v>
      </c>
      <c r="T124" s="298">
        <v>-0.105</v>
      </c>
      <c r="U124" s="298">
        <v>0.2525</v>
      </c>
      <c r="V124" s="298">
        <v>5.0000000000000001E-3</v>
      </c>
      <c r="W124" s="298">
        <v>-0.16500000000000001</v>
      </c>
      <c r="X124" s="298">
        <v>-1.0999999999999999E-2</v>
      </c>
      <c r="Y124" s="313">
        <v>0.21249999999999999</v>
      </c>
      <c r="Z124" s="313">
        <v>2.1000000000000001E-2</v>
      </c>
      <c r="AA124" s="445">
        <v>0.158</v>
      </c>
      <c r="AB124" s="445">
        <v>0.154</v>
      </c>
      <c r="AC124" s="445">
        <v>0.158</v>
      </c>
      <c r="AD124" s="445">
        <v>0.158</v>
      </c>
      <c r="AE124" s="445">
        <v>0.154</v>
      </c>
      <c r="AF124" s="445">
        <v>0.158</v>
      </c>
      <c r="AG124" s="445">
        <v>0.158</v>
      </c>
      <c r="AH124" s="445">
        <v>0.158</v>
      </c>
      <c r="AI124" s="446">
        <v>0.158</v>
      </c>
      <c r="AJ124" s="446">
        <v>0.158</v>
      </c>
      <c r="AK124" s="446">
        <v>0.158</v>
      </c>
      <c r="AL124" s="445">
        <v>0.158</v>
      </c>
      <c r="AM124" s="298">
        <v>7.1898240059023996E-2</v>
      </c>
      <c r="AO124" s="313">
        <f t="shared" si="13"/>
        <v>0.154</v>
      </c>
      <c r="AP124" s="313">
        <f t="shared" si="14"/>
        <v>0.154</v>
      </c>
      <c r="AQ124" s="316">
        <f t="shared" si="15"/>
        <v>0.154</v>
      </c>
      <c r="AR124" s="315">
        <f t="shared" si="16"/>
        <v>39934</v>
      </c>
      <c r="AS124" s="313">
        <f t="shared" si="10"/>
        <v>0.52804325851501965</v>
      </c>
      <c r="AT124" s="313">
        <f t="shared" si="11"/>
        <v>0.52814538720191428</v>
      </c>
      <c r="AV124" s="315">
        <f t="shared" si="17"/>
        <v>39934</v>
      </c>
      <c r="AW124" s="298">
        <v>112</v>
      </c>
    </row>
    <row r="125" spans="2:49" x14ac:dyDescent="0.25">
      <c r="B125" s="303">
        <f t="shared" si="12"/>
        <v>39965</v>
      </c>
      <c r="C125" s="301">
        <v>3.028</v>
      </c>
      <c r="D125" s="301">
        <v>0.1575</v>
      </c>
      <c r="E125" s="301">
        <v>7.2302347277114001E-2</v>
      </c>
      <c r="F125" s="301">
        <v>-0.19500000000000001</v>
      </c>
      <c r="G125" s="301">
        <v>0.02</v>
      </c>
      <c r="H125" s="301">
        <v>-0.19500000000000001</v>
      </c>
      <c r="I125" s="301">
        <v>0.17749999999999999</v>
      </c>
      <c r="J125" s="301">
        <v>0.155</v>
      </c>
      <c r="K125" s="301">
        <v>-4.1500000000000002E-2</v>
      </c>
      <c r="L125" s="301">
        <v>-1.4E-2</v>
      </c>
      <c r="M125" s="301">
        <v>-0.29249999999999998</v>
      </c>
      <c r="N125" s="301">
        <v>6.4999999999999997E-3</v>
      </c>
      <c r="O125" s="301">
        <v>6.4999999999999997E-3</v>
      </c>
      <c r="P125" s="298">
        <v>-1.95E-2</v>
      </c>
      <c r="Q125" s="298">
        <v>-0.03</v>
      </c>
      <c r="R125" s="298">
        <v>-1.495E-2</v>
      </c>
      <c r="S125" s="298">
        <v>-0.05</v>
      </c>
      <c r="T125" s="298">
        <v>-0.105</v>
      </c>
      <c r="U125" s="298">
        <v>0.2525</v>
      </c>
      <c r="V125" s="298">
        <v>5.0000000000000001E-3</v>
      </c>
      <c r="W125" s="298">
        <v>-0.16500000000000001</v>
      </c>
      <c r="X125" s="298">
        <v>-1.35E-2</v>
      </c>
      <c r="Y125" s="313">
        <v>0.21249999999999999</v>
      </c>
      <c r="Z125" s="313">
        <v>2.1000000000000001E-2</v>
      </c>
      <c r="AA125" s="445">
        <v>0.158</v>
      </c>
      <c r="AB125" s="445">
        <v>0.154</v>
      </c>
      <c r="AC125" s="445">
        <v>0.158</v>
      </c>
      <c r="AD125" s="445">
        <v>0.158</v>
      </c>
      <c r="AE125" s="445">
        <v>0.154</v>
      </c>
      <c r="AF125" s="445">
        <v>0.158</v>
      </c>
      <c r="AG125" s="445">
        <v>0.158</v>
      </c>
      <c r="AH125" s="445">
        <v>0.158</v>
      </c>
      <c r="AI125" s="446">
        <v>0.158</v>
      </c>
      <c r="AJ125" s="446">
        <v>0.158</v>
      </c>
      <c r="AK125" s="446">
        <v>0.158</v>
      </c>
      <c r="AL125" s="445">
        <v>0.158</v>
      </c>
      <c r="AM125" s="298">
        <v>7.1913733179948994E-2</v>
      </c>
      <c r="AO125" s="313">
        <f t="shared" si="13"/>
        <v>0.154</v>
      </c>
      <c r="AP125" s="313">
        <f t="shared" si="14"/>
        <v>0.154</v>
      </c>
      <c r="AQ125" s="316">
        <f t="shared" si="15"/>
        <v>0.154</v>
      </c>
      <c r="AR125" s="315">
        <f t="shared" si="16"/>
        <v>39965</v>
      </c>
      <c r="AS125" s="313">
        <f t="shared" si="10"/>
        <v>0.52481541817795463</v>
      </c>
      <c r="AT125" s="313">
        <f t="shared" si="11"/>
        <v>0.52491694406233402</v>
      </c>
      <c r="AV125" s="315">
        <f t="shared" si="17"/>
        <v>39965</v>
      </c>
      <c r="AW125" s="298">
        <v>113</v>
      </c>
    </row>
    <row r="126" spans="2:49" x14ac:dyDescent="0.25">
      <c r="B126" s="303">
        <f t="shared" si="12"/>
        <v>39995</v>
      </c>
      <c r="C126" s="301">
        <v>3.028</v>
      </c>
      <c r="D126" s="301">
        <v>0.1575</v>
      </c>
      <c r="E126" s="301">
        <v>7.2318333631968004E-2</v>
      </c>
      <c r="F126" s="301">
        <v>-0.19500000000000001</v>
      </c>
      <c r="G126" s="301">
        <v>2.2499999999999999E-2</v>
      </c>
      <c r="H126" s="301">
        <v>-0.19500000000000001</v>
      </c>
      <c r="I126" s="301">
        <v>0.16750000000000001</v>
      </c>
      <c r="J126" s="301">
        <v>0.155</v>
      </c>
      <c r="K126" s="301">
        <v>-4.1500000000000002E-2</v>
      </c>
      <c r="L126" s="301">
        <v>-1.4E-2</v>
      </c>
      <c r="M126" s="301">
        <v>-0.29249999999999998</v>
      </c>
      <c r="N126" s="301">
        <v>6.4999999999999997E-3</v>
      </c>
      <c r="O126" s="301">
        <v>6.4999999999999997E-3</v>
      </c>
      <c r="P126" s="298">
        <v>-1.95E-2</v>
      </c>
      <c r="Q126" s="298">
        <v>-0.03</v>
      </c>
      <c r="R126" s="298">
        <v>-1.495E-2</v>
      </c>
      <c r="S126" s="298">
        <v>-0.05</v>
      </c>
      <c r="T126" s="298">
        <v>-0.105</v>
      </c>
      <c r="U126" s="298">
        <v>0.25750000000000001</v>
      </c>
      <c r="V126" s="298">
        <v>5.0000000000000001E-3</v>
      </c>
      <c r="W126" s="298">
        <v>-0.16500000000000001</v>
      </c>
      <c r="X126" s="298">
        <v>-1.35E-2</v>
      </c>
      <c r="Y126" s="313">
        <v>0.21249999999999999</v>
      </c>
      <c r="Z126" s="313">
        <v>2.1000000000000001E-2</v>
      </c>
      <c r="AA126" s="445">
        <v>0.158</v>
      </c>
      <c r="AB126" s="445">
        <v>0.154</v>
      </c>
      <c r="AC126" s="445">
        <v>0.158</v>
      </c>
      <c r="AD126" s="445">
        <v>0.158</v>
      </c>
      <c r="AE126" s="445">
        <v>0.154</v>
      </c>
      <c r="AF126" s="445">
        <v>0.158</v>
      </c>
      <c r="AG126" s="445">
        <v>0.158</v>
      </c>
      <c r="AH126" s="445">
        <v>0.158</v>
      </c>
      <c r="AI126" s="446">
        <v>0.158</v>
      </c>
      <c r="AJ126" s="446">
        <v>0.158</v>
      </c>
      <c r="AK126" s="446">
        <v>0.158</v>
      </c>
      <c r="AL126" s="445">
        <v>0.158</v>
      </c>
      <c r="AM126" s="298">
        <v>7.1928726522853995E-2</v>
      </c>
      <c r="AO126" s="313">
        <f t="shared" si="13"/>
        <v>0.154</v>
      </c>
      <c r="AP126" s="313">
        <f t="shared" si="14"/>
        <v>0.154</v>
      </c>
      <c r="AQ126" s="316">
        <f t="shared" si="15"/>
        <v>0.154</v>
      </c>
      <c r="AR126" s="315">
        <f t="shared" si="16"/>
        <v>39995</v>
      </c>
      <c r="AS126" s="313">
        <f t="shared" si="10"/>
        <v>0.52170922921339768</v>
      </c>
      <c r="AT126" s="313">
        <f t="shared" si="11"/>
        <v>0.52181017488002379</v>
      </c>
      <c r="AV126" s="315">
        <f t="shared" si="17"/>
        <v>39995</v>
      </c>
      <c r="AW126" s="298">
        <v>114</v>
      </c>
    </row>
    <row r="127" spans="2:49" x14ac:dyDescent="0.25">
      <c r="B127" s="303">
        <f t="shared" si="12"/>
        <v>40026</v>
      </c>
      <c r="C127" s="301">
        <v>3.0310000000000001</v>
      </c>
      <c r="D127" s="301">
        <v>0.1575</v>
      </c>
      <c r="E127" s="301">
        <v>7.2334852865406002E-2</v>
      </c>
      <c r="F127" s="301">
        <v>-0.19500000000000001</v>
      </c>
      <c r="G127" s="301">
        <v>2.5000000000000001E-2</v>
      </c>
      <c r="H127" s="301">
        <v>-0.19500000000000001</v>
      </c>
      <c r="I127" s="301">
        <v>0.16500000000000001</v>
      </c>
      <c r="J127" s="301">
        <v>0.155</v>
      </c>
      <c r="K127" s="301">
        <v>-4.1500000000000002E-2</v>
      </c>
      <c r="L127" s="301">
        <v>-1.4E-2</v>
      </c>
      <c r="M127" s="301">
        <v>-0.29249999999999998</v>
      </c>
      <c r="N127" s="301">
        <v>6.4999999999999997E-3</v>
      </c>
      <c r="O127" s="301">
        <v>6.4999999999999997E-3</v>
      </c>
      <c r="P127" s="298">
        <v>-1.95E-2</v>
      </c>
      <c r="Q127" s="298">
        <v>-0.03</v>
      </c>
      <c r="R127" s="298">
        <v>-1.225E-2</v>
      </c>
      <c r="S127" s="298">
        <v>-0.05</v>
      </c>
      <c r="T127" s="298">
        <v>-0.105</v>
      </c>
      <c r="U127" s="298">
        <v>0.25750000000000001</v>
      </c>
      <c r="V127" s="298">
        <v>5.0000000000000001E-3</v>
      </c>
      <c r="W127" s="298">
        <v>-0.16500000000000001</v>
      </c>
      <c r="X127" s="298">
        <v>-1.35E-2</v>
      </c>
      <c r="Y127" s="313">
        <v>0.21249999999999999</v>
      </c>
      <c r="Z127" s="313">
        <v>2.1000000000000001E-2</v>
      </c>
      <c r="AA127" s="445">
        <v>0.158</v>
      </c>
      <c r="AB127" s="445">
        <v>0.154</v>
      </c>
      <c r="AC127" s="445">
        <v>0.158</v>
      </c>
      <c r="AD127" s="445">
        <v>0.158</v>
      </c>
      <c r="AE127" s="445">
        <v>0.154</v>
      </c>
      <c r="AF127" s="445">
        <v>0.158</v>
      </c>
      <c r="AG127" s="445">
        <v>0.158</v>
      </c>
      <c r="AH127" s="445">
        <v>0.158</v>
      </c>
      <c r="AI127" s="446">
        <v>0.158</v>
      </c>
      <c r="AJ127" s="446">
        <v>0.158</v>
      </c>
      <c r="AK127" s="446">
        <v>0.158</v>
      </c>
      <c r="AL127" s="445">
        <v>0.158</v>
      </c>
      <c r="AM127" s="298">
        <v>7.1944219643933993E-2</v>
      </c>
      <c r="AO127" s="313">
        <f t="shared" si="13"/>
        <v>0.154</v>
      </c>
      <c r="AP127" s="313">
        <f t="shared" si="14"/>
        <v>0.154</v>
      </c>
      <c r="AQ127" s="316">
        <f t="shared" si="15"/>
        <v>0.154</v>
      </c>
      <c r="AR127" s="315">
        <f t="shared" si="16"/>
        <v>40026</v>
      </c>
      <c r="AS127" s="313">
        <f t="shared" si="10"/>
        <v>0.51851751860674478</v>
      </c>
      <c r="AT127" s="313">
        <f t="shared" si="11"/>
        <v>0.51861786794325637</v>
      </c>
      <c r="AV127" s="315">
        <f t="shared" si="17"/>
        <v>40026</v>
      </c>
      <c r="AW127" s="298">
        <v>115</v>
      </c>
    </row>
    <row r="128" spans="2:49" x14ac:dyDescent="0.25">
      <c r="B128" s="303">
        <f t="shared" si="12"/>
        <v>40057</v>
      </c>
      <c r="C128" s="301">
        <v>3.0289999999999999</v>
      </c>
      <c r="D128" s="301">
        <v>0.1575</v>
      </c>
      <c r="E128" s="301">
        <v>7.2351372098932998E-2</v>
      </c>
      <c r="F128" s="301">
        <v>-0.19500000000000001</v>
      </c>
      <c r="G128" s="301">
        <v>1.7500000000000002E-2</v>
      </c>
      <c r="H128" s="301">
        <v>-0.19500000000000001</v>
      </c>
      <c r="I128" s="301">
        <v>0.16250000000000001</v>
      </c>
      <c r="J128" s="301">
        <v>0.155</v>
      </c>
      <c r="K128" s="301">
        <v>-4.3999999999999997E-2</v>
      </c>
      <c r="L128" s="301">
        <v>-1.4E-2</v>
      </c>
      <c r="M128" s="301">
        <v>-0.29249999999999998</v>
      </c>
      <c r="N128" s="301">
        <v>6.4999999999999997E-3</v>
      </c>
      <c r="O128" s="301">
        <v>6.4999999999999997E-3</v>
      </c>
      <c r="P128" s="298">
        <v>-1.95E-2</v>
      </c>
      <c r="Q128" s="298">
        <v>-0.03</v>
      </c>
      <c r="R128" s="298">
        <v>-1.225E-2</v>
      </c>
      <c r="S128" s="298">
        <v>-5.5E-2</v>
      </c>
      <c r="T128" s="298">
        <v>-0.105</v>
      </c>
      <c r="U128" s="298">
        <v>0.2525</v>
      </c>
      <c r="V128" s="298">
        <v>5.0000000000000001E-3</v>
      </c>
      <c r="W128" s="298">
        <v>-0.16500000000000001</v>
      </c>
      <c r="X128" s="298">
        <v>-1.6E-2</v>
      </c>
      <c r="Y128" s="313">
        <v>0.21249999999999999</v>
      </c>
      <c r="Z128" s="313">
        <v>2.1000000000000001E-2</v>
      </c>
      <c r="AA128" s="445">
        <v>0.158</v>
      </c>
      <c r="AB128" s="445">
        <v>0.154</v>
      </c>
      <c r="AC128" s="445">
        <v>0.158</v>
      </c>
      <c r="AD128" s="445">
        <v>0.158</v>
      </c>
      <c r="AE128" s="445">
        <v>0.154</v>
      </c>
      <c r="AF128" s="445">
        <v>0.158</v>
      </c>
      <c r="AG128" s="445">
        <v>0.158</v>
      </c>
      <c r="AH128" s="445">
        <v>0.158</v>
      </c>
      <c r="AI128" s="446">
        <v>0.158</v>
      </c>
      <c r="AJ128" s="446">
        <v>0.158</v>
      </c>
      <c r="AK128" s="446">
        <v>0.158</v>
      </c>
      <c r="AL128" s="445">
        <v>0.158</v>
      </c>
      <c r="AM128" s="298">
        <v>7.1959712765093997E-2</v>
      </c>
      <c r="AO128" s="313">
        <f t="shared" si="13"/>
        <v>0.154</v>
      </c>
      <c r="AP128" s="313">
        <f t="shared" si="14"/>
        <v>0.154</v>
      </c>
      <c r="AQ128" s="316">
        <f t="shared" si="15"/>
        <v>0.154</v>
      </c>
      <c r="AR128" s="315">
        <f t="shared" si="16"/>
        <v>40057</v>
      </c>
      <c r="AS128" s="313">
        <f t="shared" si="10"/>
        <v>0.51534402652133338</v>
      </c>
      <c r="AT128" s="313">
        <f t="shared" si="11"/>
        <v>0.51544378279275216</v>
      </c>
      <c r="AV128" s="315">
        <f t="shared" si="17"/>
        <v>40057</v>
      </c>
      <c r="AW128" s="298">
        <v>116</v>
      </c>
    </row>
    <row r="129" spans="2:49" x14ac:dyDescent="0.25">
      <c r="B129" s="303">
        <f t="shared" si="12"/>
        <v>40087</v>
      </c>
      <c r="C129" s="301">
        <v>3.05</v>
      </c>
      <c r="D129" s="301">
        <v>0.1575</v>
      </c>
      <c r="E129" s="301">
        <v>7.2367358454046002E-2</v>
      </c>
      <c r="F129" s="301">
        <v>-0.19500000000000001</v>
      </c>
      <c r="G129" s="301">
        <v>7.4999999999999997E-3</v>
      </c>
      <c r="H129" s="301">
        <v>-0.19500000000000001</v>
      </c>
      <c r="I129" s="301">
        <v>0.17749999999999999</v>
      </c>
      <c r="J129" s="301">
        <v>0.1575</v>
      </c>
      <c r="K129" s="301">
        <v>-4.3999999999999997E-2</v>
      </c>
      <c r="L129" s="301">
        <v>-1.4E-2</v>
      </c>
      <c r="M129" s="301">
        <v>-0.29249999999999998</v>
      </c>
      <c r="N129" s="301">
        <v>6.4999999999999997E-3</v>
      </c>
      <c r="O129" s="301">
        <v>6.4999999999999997E-3</v>
      </c>
      <c r="P129" s="298">
        <v>-1.95E-2</v>
      </c>
      <c r="Q129" s="298">
        <v>-0.03</v>
      </c>
      <c r="R129" s="298">
        <v>-3.3000000000000002E-2</v>
      </c>
      <c r="S129" s="298">
        <v>-5.5E-2</v>
      </c>
      <c r="T129" s="298">
        <v>-0.105</v>
      </c>
      <c r="U129" s="298">
        <v>0.255</v>
      </c>
      <c r="V129" s="298">
        <v>5.0000000000000001E-3</v>
      </c>
      <c r="W129" s="298">
        <v>-0.16500000000000001</v>
      </c>
      <c r="X129" s="298">
        <v>-1.6E-2</v>
      </c>
      <c r="Y129" s="313">
        <v>0.21249999999999999</v>
      </c>
      <c r="Z129" s="313">
        <v>2.1000000000000001E-2</v>
      </c>
      <c r="AA129" s="445">
        <v>0.158</v>
      </c>
      <c r="AB129" s="445">
        <v>0.154</v>
      </c>
      <c r="AC129" s="445">
        <v>0.158</v>
      </c>
      <c r="AD129" s="445">
        <v>0.158</v>
      </c>
      <c r="AE129" s="445">
        <v>0.154</v>
      </c>
      <c r="AF129" s="445">
        <v>0.158</v>
      </c>
      <c r="AG129" s="445">
        <v>0.158</v>
      </c>
      <c r="AH129" s="445">
        <v>0.158</v>
      </c>
      <c r="AI129" s="446">
        <v>0.158</v>
      </c>
      <c r="AJ129" s="446">
        <v>0.158</v>
      </c>
      <c r="AK129" s="446">
        <v>0.158</v>
      </c>
      <c r="AL129" s="445">
        <v>0.158</v>
      </c>
      <c r="AM129" s="298">
        <v>7.1974706108226996E-2</v>
      </c>
      <c r="AO129" s="313">
        <f t="shared" si="13"/>
        <v>0.154</v>
      </c>
      <c r="AP129" s="313">
        <f t="shared" si="14"/>
        <v>0.154</v>
      </c>
      <c r="AQ129" s="316">
        <f t="shared" si="15"/>
        <v>0.154</v>
      </c>
      <c r="AR129" s="315">
        <f t="shared" si="16"/>
        <v>40087</v>
      </c>
      <c r="AS129" s="313">
        <f t="shared" si="10"/>
        <v>0.51229016171677011</v>
      </c>
      <c r="AT129" s="313">
        <f t="shared" si="11"/>
        <v>0.51238934714767059</v>
      </c>
      <c r="AV129" s="315">
        <f t="shared" si="17"/>
        <v>40087</v>
      </c>
      <c r="AW129" s="298">
        <v>117</v>
      </c>
    </row>
    <row r="130" spans="2:49" x14ac:dyDescent="0.25">
      <c r="B130" s="303">
        <f t="shared" si="12"/>
        <v>40118</v>
      </c>
      <c r="C130" s="301">
        <v>3.153</v>
      </c>
      <c r="D130" s="301">
        <v>0.1575</v>
      </c>
      <c r="E130" s="301">
        <v>7.2383877687751993E-2</v>
      </c>
      <c r="F130" s="301">
        <v>-0.19</v>
      </c>
      <c r="G130" s="301">
        <v>-3.2500000000000001E-2</v>
      </c>
      <c r="H130" s="301">
        <v>-0.19</v>
      </c>
      <c r="I130" s="301">
        <v>0.255</v>
      </c>
      <c r="J130" s="301">
        <v>0.24</v>
      </c>
      <c r="K130" s="301">
        <v>-5.0500000000000003E-2</v>
      </c>
      <c r="L130" s="301">
        <v>-1.15E-2</v>
      </c>
      <c r="M130" s="301">
        <v>-0.24249999999999999</v>
      </c>
      <c r="N130" s="301">
        <v>1.0999999999999999E-2</v>
      </c>
      <c r="O130" s="301">
        <v>1.0999999999999999E-2</v>
      </c>
      <c r="P130" s="298">
        <v>-2.2499999999999999E-2</v>
      </c>
      <c r="Q130" s="298">
        <v>-0.03</v>
      </c>
      <c r="R130" s="298">
        <v>-2.9499999999999998E-2</v>
      </c>
      <c r="S130" s="298">
        <v>-7.0000000000000007E-2</v>
      </c>
      <c r="T130" s="298">
        <v>-0.14499999999999999</v>
      </c>
      <c r="U130" s="298">
        <v>0.72499999999999998</v>
      </c>
      <c r="V130" s="298">
        <v>5.0000000000000001E-3</v>
      </c>
      <c r="W130" s="298">
        <v>-0.1875</v>
      </c>
      <c r="X130" s="298">
        <v>-1.35E-2</v>
      </c>
      <c r="Y130" s="313">
        <v>0.10249999999999999</v>
      </c>
      <c r="Z130" s="313">
        <v>3.0499999999999999E-2</v>
      </c>
      <c r="AA130" s="445">
        <v>0.158</v>
      </c>
      <c r="AB130" s="445">
        <v>0.17299999999999999</v>
      </c>
      <c r="AC130" s="445">
        <v>0.158</v>
      </c>
      <c r="AD130" s="445">
        <v>0.158</v>
      </c>
      <c r="AE130" s="445">
        <v>0.158</v>
      </c>
      <c r="AF130" s="445">
        <v>0.158</v>
      </c>
      <c r="AG130" s="445">
        <v>0.158</v>
      </c>
      <c r="AH130" s="445">
        <v>0.158</v>
      </c>
      <c r="AI130" s="446">
        <v>0.158</v>
      </c>
      <c r="AJ130" s="446">
        <v>0.158</v>
      </c>
      <c r="AK130" s="446">
        <v>0.158</v>
      </c>
      <c r="AL130" s="445">
        <v>0.158</v>
      </c>
      <c r="AM130" s="298">
        <v>7.1990199229543E-2</v>
      </c>
      <c r="AO130" s="313">
        <f t="shared" si="13"/>
        <v>0.17299999999999999</v>
      </c>
      <c r="AP130" s="313">
        <f t="shared" si="14"/>
        <v>0.17299999999999999</v>
      </c>
      <c r="AQ130" s="316">
        <f t="shared" si="15"/>
        <v>0.17299999999999999</v>
      </c>
      <c r="AR130" s="315">
        <f t="shared" si="16"/>
        <v>40118</v>
      </c>
      <c r="AS130" s="313">
        <f t="shared" si="10"/>
        <v>0.50915224075028487</v>
      </c>
      <c r="AT130" s="313">
        <f t="shared" si="11"/>
        <v>0.50925083949347283</v>
      </c>
      <c r="AV130" s="315">
        <f t="shared" si="17"/>
        <v>40118</v>
      </c>
      <c r="AW130" s="298">
        <v>118</v>
      </c>
    </row>
    <row r="131" spans="2:49" x14ac:dyDescent="0.25">
      <c r="B131" s="303">
        <f t="shared" si="12"/>
        <v>40148</v>
      </c>
      <c r="C131" s="301">
        <v>3.258</v>
      </c>
      <c r="D131" s="301">
        <v>0.155</v>
      </c>
      <c r="E131" s="301">
        <v>7.2399864043036E-2</v>
      </c>
      <c r="F131" s="301">
        <v>-0.19750000000000001</v>
      </c>
      <c r="G131" s="301">
        <v>-5.5E-2</v>
      </c>
      <c r="H131" s="301">
        <v>-0.19750000000000001</v>
      </c>
      <c r="I131" s="301">
        <v>0.29499999999999998</v>
      </c>
      <c r="J131" s="301">
        <v>0.29499999999999998</v>
      </c>
      <c r="K131" s="301">
        <v>-5.0500000000000003E-2</v>
      </c>
      <c r="L131" s="301">
        <v>-1.15E-2</v>
      </c>
      <c r="M131" s="301">
        <v>-0.24249999999999999</v>
      </c>
      <c r="N131" s="301">
        <v>1.0999999999999999E-2</v>
      </c>
      <c r="O131" s="301">
        <v>1.0999999999999999E-2</v>
      </c>
      <c r="P131" s="298">
        <v>-2.2499999999999999E-2</v>
      </c>
      <c r="Q131" s="298">
        <v>-0.03</v>
      </c>
      <c r="R131" s="298">
        <v>-2.9499999999999998E-2</v>
      </c>
      <c r="S131" s="298">
        <v>-8.5000000000000006E-2</v>
      </c>
      <c r="T131" s="298">
        <v>-0.14499999999999999</v>
      </c>
      <c r="U131" s="298">
        <v>1.0449999999999999</v>
      </c>
      <c r="V131" s="298">
        <v>5.0000000000000001E-3</v>
      </c>
      <c r="W131" s="298">
        <v>-0.1875</v>
      </c>
      <c r="X131" s="298">
        <v>-1.35E-2</v>
      </c>
      <c r="Y131" s="313">
        <v>0.10249999999999999</v>
      </c>
      <c r="Z131" s="313">
        <v>3.0499999999999999E-2</v>
      </c>
      <c r="AA131" s="445">
        <v>0.155</v>
      </c>
      <c r="AB131" s="445">
        <v>0.17100000000000001</v>
      </c>
      <c r="AC131" s="445">
        <v>0.155</v>
      </c>
      <c r="AD131" s="445">
        <v>0.155</v>
      </c>
      <c r="AE131" s="445">
        <v>0.155</v>
      </c>
      <c r="AF131" s="445">
        <v>0.155</v>
      </c>
      <c r="AG131" s="445">
        <v>0.155</v>
      </c>
      <c r="AH131" s="445">
        <v>0.155</v>
      </c>
      <c r="AI131" s="446">
        <v>0.155</v>
      </c>
      <c r="AJ131" s="446">
        <v>0.155</v>
      </c>
      <c r="AK131" s="446">
        <v>0.155</v>
      </c>
      <c r="AL131" s="445">
        <v>0.155</v>
      </c>
      <c r="AM131" s="298">
        <v>7.2005192572826004E-2</v>
      </c>
      <c r="AO131" s="313">
        <f t="shared" si="13"/>
        <v>0.17100000000000001</v>
      </c>
      <c r="AP131" s="313">
        <f t="shared" si="14"/>
        <v>0.17100000000000001</v>
      </c>
      <c r="AQ131" s="316">
        <f t="shared" si="15"/>
        <v>0.17100000000000001</v>
      </c>
      <c r="AR131" s="315">
        <f t="shared" si="16"/>
        <v>40148</v>
      </c>
      <c r="AS131" s="313">
        <f t="shared" si="10"/>
        <v>0.50613262204263709</v>
      </c>
      <c r="AT131" s="313">
        <f t="shared" si="11"/>
        <v>0.50623065608674178</v>
      </c>
      <c r="AV131" s="315">
        <f t="shared" si="17"/>
        <v>40148</v>
      </c>
      <c r="AW131" s="298">
        <v>119</v>
      </c>
    </row>
    <row r="132" spans="2:49" x14ac:dyDescent="0.25">
      <c r="B132" s="303">
        <f t="shared" si="12"/>
        <v>40179</v>
      </c>
      <c r="C132" s="301">
        <v>3.3079999999999998</v>
      </c>
      <c r="D132" s="301">
        <v>0.15</v>
      </c>
      <c r="E132" s="301">
        <v>7.2416383276918003E-2</v>
      </c>
      <c r="F132" s="301">
        <v>-0.2</v>
      </c>
      <c r="G132" s="301">
        <v>-5.7500000000000002E-2</v>
      </c>
      <c r="H132" s="301">
        <v>-0.2</v>
      </c>
      <c r="I132" s="301">
        <v>0.30499999999999999</v>
      </c>
      <c r="J132" s="301">
        <v>0.34250000000000003</v>
      </c>
      <c r="K132" s="301">
        <v>-5.45E-2</v>
      </c>
      <c r="L132" s="301">
        <v>-9.4999999999999998E-3</v>
      </c>
      <c r="M132" s="301">
        <v>-0.24249999999999999</v>
      </c>
      <c r="N132" s="301">
        <v>1.0999999999999999E-2</v>
      </c>
      <c r="O132" s="301">
        <v>1.0999999999999999E-2</v>
      </c>
      <c r="P132" s="298">
        <v>-1.7999999999999999E-2</v>
      </c>
      <c r="Q132" s="298">
        <v>-0.03</v>
      </c>
      <c r="R132" s="298">
        <v>-2.9499999999999998E-2</v>
      </c>
      <c r="S132" s="298">
        <v>-9.5500000000000002E-2</v>
      </c>
      <c r="T132" s="298">
        <v>-0.14499999999999999</v>
      </c>
      <c r="U132" s="298">
        <v>1.52</v>
      </c>
      <c r="V132" s="298">
        <v>5.0000000000000001E-3</v>
      </c>
      <c r="W132" s="298">
        <v>-0.1875</v>
      </c>
      <c r="X132" s="298">
        <v>-1.35E-2</v>
      </c>
      <c r="Y132" s="313">
        <v>0.10249999999999999</v>
      </c>
      <c r="Z132" s="313">
        <v>3.0499999999999999E-2</v>
      </c>
      <c r="AA132" s="445">
        <v>0.15</v>
      </c>
      <c r="AB132" s="445">
        <v>0.15</v>
      </c>
      <c r="AC132" s="445">
        <v>0.15</v>
      </c>
      <c r="AD132" s="445">
        <v>0.15</v>
      </c>
      <c r="AE132" s="445">
        <v>0.15</v>
      </c>
      <c r="AF132" s="445">
        <v>0.15</v>
      </c>
      <c r="AG132" s="445">
        <v>0.15</v>
      </c>
      <c r="AH132" s="445">
        <v>0.15</v>
      </c>
      <c r="AI132" s="446">
        <v>0.15</v>
      </c>
      <c r="AJ132" s="446">
        <v>0.15</v>
      </c>
      <c r="AK132" s="446">
        <v>0.15</v>
      </c>
      <c r="AL132" s="445">
        <v>0.15</v>
      </c>
      <c r="AM132" s="298">
        <v>7.2020685694297995E-2</v>
      </c>
      <c r="AO132" s="313">
        <f t="shared" si="13"/>
        <v>0.15</v>
      </c>
      <c r="AP132" s="313">
        <f t="shared" si="14"/>
        <v>0.15</v>
      </c>
      <c r="AQ132" s="316">
        <f t="shared" si="15"/>
        <v>0.15</v>
      </c>
      <c r="AR132" s="315">
        <f t="shared" si="16"/>
        <v>40179</v>
      </c>
      <c r="AS132" s="313">
        <f t="shared" si="10"/>
        <v>0.50302990607412001</v>
      </c>
      <c r="AT132" s="313">
        <f t="shared" si="11"/>
        <v>0.50312735974556588</v>
      </c>
      <c r="AV132" s="315">
        <f t="shared" si="17"/>
        <v>40179</v>
      </c>
      <c r="AW132" s="298">
        <v>120</v>
      </c>
    </row>
    <row r="133" spans="2:49" x14ac:dyDescent="0.25">
      <c r="B133" s="303">
        <f t="shared" si="12"/>
        <v>40210</v>
      </c>
      <c r="C133" s="301">
        <v>3.2229999999999999</v>
      </c>
      <c r="D133" s="301">
        <v>0.15</v>
      </c>
      <c r="E133" s="301">
        <v>7.2432902510891004E-2</v>
      </c>
      <c r="F133" s="301">
        <v>-0.20250000000000001</v>
      </c>
      <c r="G133" s="301">
        <v>-0.04</v>
      </c>
      <c r="H133" s="301">
        <v>-0.20250000000000001</v>
      </c>
      <c r="I133" s="301">
        <v>0.28000000000000003</v>
      </c>
      <c r="J133" s="301">
        <v>0.33750000000000002</v>
      </c>
      <c r="K133" s="301">
        <v>-5.0500000000000003E-2</v>
      </c>
      <c r="L133" s="301">
        <v>-9.4999999999999998E-3</v>
      </c>
      <c r="M133" s="301">
        <v>-0.24249999999999999</v>
      </c>
      <c r="N133" s="301">
        <v>1.0999999999999999E-2</v>
      </c>
      <c r="O133" s="301">
        <v>1.0999999999999999E-2</v>
      </c>
      <c r="P133" s="298">
        <v>-1.7999999999999999E-2</v>
      </c>
      <c r="Q133" s="298">
        <v>-0.03</v>
      </c>
      <c r="R133" s="298">
        <v>-2.9499999999999998E-2</v>
      </c>
      <c r="S133" s="298">
        <v>-8.3000000000000004E-2</v>
      </c>
      <c r="T133" s="298">
        <v>-0.14499999999999999</v>
      </c>
      <c r="U133" s="298">
        <v>1.4</v>
      </c>
      <c r="V133" s="298">
        <v>5.0000000000000001E-3</v>
      </c>
      <c r="W133" s="298">
        <v>-0.1875</v>
      </c>
      <c r="X133" s="298">
        <v>-1.35E-2</v>
      </c>
      <c r="Y133" s="313">
        <v>0.10249999999999999</v>
      </c>
      <c r="Z133" s="313">
        <v>3.0499999999999999E-2</v>
      </c>
      <c r="AA133" s="445">
        <v>0.15</v>
      </c>
      <c r="AB133" s="445">
        <v>0.16500000000000001</v>
      </c>
      <c r="AC133" s="445">
        <v>0.15</v>
      </c>
      <c r="AD133" s="445">
        <v>0.15</v>
      </c>
      <c r="AE133" s="445">
        <v>0.15</v>
      </c>
      <c r="AF133" s="445">
        <v>0.15</v>
      </c>
      <c r="AG133" s="445">
        <v>0.15</v>
      </c>
      <c r="AH133" s="445">
        <v>0.15</v>
      </c>
      <c r="AI133" s="446">
        <v>0.15</v>
      </c>
      <c r="AJ133" s="446">
        <v>0.15</v>
      </c>
      <c r="AK133" s="446">
        <v>0.15</v>
      </c>
      <c r="AL133" s="445">
        <v>0.15</v>
      </c>
      <c r="AM133" s="298">
        <v>7.2036178815849006E-2</v>
      </c>
      <c r="AO133" s="313">
        <f t="shared" si="13"/>
        <v>0.16500000000000001</v>
      </c>
      <c r="AP133" s="313">
        <f t="shared" si="14"/>
        <v>0.16500000000000001</v>
      </c>
      <c r="AQ133" s="316">
        <f t="shared" si="15"/>
        <v>0.16500000000000001</v>
      </c>
      <c r="AR133" s="315">
        <f t="shared" si="16"/>
        <v>40210</v>
      </c>
      <c r="AS133" s="313">
        <f t="shared" si="10"/>
        <v>0.4999449419416912</v>
      </c>
      <c r="AT133" s="313">
        <f t="shared" si="11"/>
        <v>0.50004181842605377</v>
      </c>
      <c r="AV133" s="315">
        <f t="shared" si="17"/>
        <v>40210</v>
      </c>
      <c r="AW133" s="298">
        <v>121</v>
      </c>
    </row>
    <row r="134" spans="2:49" x14ac:dyDescent="0.25">
      <c r="B134" s="303">
        <f t="shared" si="12"/>
        <v>40238</v>
      </c>
      <c r="C134" s="301">
        <v>3.129</v>
      </c>
      <c r="D134" s="301">
        <v>0.15</v>
      </c>
      <c r="E134" s="301">
        <v>7.2447823109395001E-2</v>
      </c>
      <c r="F134" s="301">
        <v>-0.20499999999999999</v>
      </c>
      <c r="G134" s="301">
        <v>-2.75E-2</v>
      </c>
      <c r="H134" s="301">
        <v>-0.20499999999999999</v>
      </c>
      <c r="I134" s="301">
        <v>0.27700000000000002</v>
      </c>
      <c r="J134" s="301">
        <v>0.26</v>
      </c>
      <c r="K134" s="301">
        <v>-5.1999999999999998E-2</v>
      </c>
      <c r="L134" s="301">
        <v>-9.4999999999999998E-3</v>
      </c>
      <c r="M134" s="301">
        <v>-0.24249999999999999</v>
      </c>
      <c r="N134" s="301">
        <v>1.0999999999999999E-2</v>
      </c>
      <c r="O134" s="301">
        <v>1.0999999999999999E-2</v>
      </c>
      <c r="P134" s="298">
        <v>-1.7999999999999999E-2</v>
      </c>
      <c r="Q134" s="298">
        <v>-0.03</v>
      </c>
      <c r="R134" s="298">
        <v>-1.12E-2</v>
      </c>
      <c r="S134" s="298">
        <v>-7.0499999999999993E-2</v>
      </c>
      <c r="T134" s="298">
        <v>-0.14499999999999999</v>
      </c>
      <c r="U134" s="298">
        <v>0.88</v>
      </c>
      <c r="V134" s="298">
        <v>5.0000000000000001E-3</v>
      </c>
      <c r="W134" s="298">
        <v>-0.1875</v>
      </c>
      <c r="X134" s="298">
        <v>-1.35E-2</v>
      </c>
      <c r="Y134" s="313">
        <v>0.10249999999999999</v>
      </c>
      <c r="Z134" s="313">
        <v>3.0499999999999999E-2</v>
      </c>
      <c r="AA134" s="445">
        <v>0.15</v>
      </c>
      <c r="AB134" s="445">
        <v>0.16500000000000001</v>
      </c>
      <c r="AC134" s="445">
        <v>0.15</v>
      </c>
      <c r="AD134" s="445">
        <v>0.15</v>
      </c>
      <c r="AE134" s="445">
        <v>0.15</v>
      </c>
      <c r="AF134" s="445">
        <v>0.15</v>
      </c>
      <c r="AG134" s="445">
        <v>0.15</v>
      </c>
      <c r="AH134" s="445">
        <v>0.15</v>
      </c>
      <c r="AI134" s="446">
        <v>0.15</v>
      </c>
      <c r="AJ134" s="446">
        <v>0.15</v>
      </c>
      <c r="AK134" s="446">
        <v>0.15</v>
      </c>
      <c r="AL134" s="445">
        <v>0.15</v>
      </c>
      <c r="AM134" s="298">
        <v>7.2050172603125004E-2</v>
      </c>
      <c r="AO134" s="313">
        <f t="shared" si="13"/>
        <v>0.16500000000000001</v>
      </c>
      <c r="AP134" s="313">
        <f t="shared" si="14"/>
        <v>0.16500000000000001</v>
      </c>
      <c r="AQ134" s="316">
        <f t="shared" si="15"/>
        <v>0.16500000000000001</v>
      </c>
      <c r="AR134" s="315">
        <f t="shared" si="16"/>
        <v>40238</v>
      </c>
      <c r="AS134" s="313">
        <f t="shared" si="10"/>
        <v>0.49717370323666116</v>
      </c>
      <c r="AT134" s="313">
        <f t="shared" si="11"/>
        <v>0.4972700611156074</v>
      </c>
      <c r="AV134" s="315">
        <f t="shared" si="17"/>
        <v>40238</v>
      </c>
      <c r="AW134" s="298">
        <v>122</v>
      </c>
    </row>
    <row r="135" spans="2:49" x14ac:dyDescent="0.25">
      <c r="B135" s="303">
        <f t="shared" si="12"/>
        <v>40269</v>
      </c>
      <c r="C135" s="301">
        <v>3.05</v>
      </c>
      <c r="D135" s="301">
        <v>0.15</v>
      </c>
      <c r="E135" s="301">
        <v>7.2464342343539004E-2</v>
      </c>
      <c r="F135" s="301">
        <v>-0.19500000000000001</v>
      </c>
      <c r="G135" s="301">
        <v>1.4999999999999999E-2</v>
      </c>
      <c r="H135" s="301">
        <v>-0.19500000000000001</v>
      </c>
      <c r="I135" s="301">
        <v>0.17499999999999999</v>
      </c>
      <c r="J135" s="301">
        <v>0.17</v>
      </c>
      <c r="K135" s="301">
        <v>-6.2E-2</v>
      </c>
      <c r="L135" s="301">
        <v>-1.2E-2</v>
      </c>
      <c r="M135" s="301">
        <v>-0.29249999999999998</v>
      </c>
      <c r="N135" s="301">
        <v>6.4999999999999997E-3</v>
      </c>
      <c r="O135" s="301">
        <v>8.5000000000000006E-3</v>
      </c>
      <c r="P135" s="298">
        <v>-0.02</v>
      </c>
      <c r="Q135" s="298">
        <v>-0.03</v>
      </c>
      <c r="R135" s="298">
        <v>-1.12E-2</v>
      </c>
      <c r="S135" s="298">
        <v>-5.2999999999999999E-2</v>
      </c>
      <c r="T135" s="298">
        <v>-0.105</v>
      </c>
      <c r="U135" s="298">
        <v>0.37</v>
      </c>
      <c r="V135" s="298">
        <v>5.0000000000000001E-3</v>
      </c>
      <c r="W135" s="298">
        <v>-0.16500000000000001</v>
      </c>
      <c r="X135" s="298">
        <v>-1.35E-2</v>
      </c>
      <c r="Y135" s="313">
        <v>0.21249999999999999</v>
      </c>
      <c r="Z135" s="313">
        <v>2.3E-2</v>
      </c>
      <c r="AA135" s="445">
        <v>0.15</v>
      </c>
      <c r="AB135" s="445">
        <v>0.14699999999999999</v>
      </c>
      <c r="AC135" s="445">
        <v>0.15</v>
      </c>
      <c r="AD135" s="445">
        <v>0.15</v>
      </c>
      <c r="AE135" s="445">
        <v>0.14699999999999999</v>
      </c>
      <c r="AF135" s="445">
        <v>0.15</v>
      </c>
      <c r="AG135" s="445">
        <v>0.15</v>
      </c>
      <c r="AH135" s="445">
        <v>0.15</v>
      </c>
      <c r="AI135" s="446">
        <v>0.15</v>
      </c>
      <c r="AJ135" s="446">
        <v>0.15</v>
      </c>
      <c r="AK135" s="446">
        <v>0.15</v>
      </c>
      <c r="AL135" s="445">
        <v>0.15</v>
      </c>
      <c r="AM135" s="298">
        <v>7.2065665724827005E-2</v>
      </c>
      <c r="AO135" s="313">
        <f t="shared" si="13"/>
        <v>0.14699999999999999</v>
      </c>
      <c r="AP135" s="313">
        <f t="shared" si="14"/>
        <v>0.14699999999999999</v>
      </c>
      <c r="AQ135" s="316">
        <f t="shared" si="15"/>
        <v>0.14699999999999999</v>
      </c>
      <c r="AR135" s="315">
        <f t="shared" si="16"/>
        <v>40269</v>
      </c>
      <c r="AS135" s="313">
        <f t="shared" si="10"/>
        <v>0.49412226760551242</v>
      </c>
      <c r="AT135" s="313">
        <f t="shared" si="11"/>
        <v>0.49421805431640614</v>
      </c>
      <c r="AV135" s="315">
        <f t="shared" si="17"/>
        <v>40269</v>
      </c>
      <c r="AW135" s="298">
        <v>123</v>
      </c>
    </row>
    <row r="136" spans="2:49" x14ac:dyDescent="0.25">
      <c r="B136" s="303">
        <f t="shared" si="12"/>
        <v>40299</v>
      </c>
      <c r="C136" s="301">
        <v>3.0880000000000001</v>
      </c>
      <c r="D136" s="301">
        <v>0.15</v>
      </c>
      <c r="E136" s="301">
        <v>7.2475481412840007E-2</v>
      </c>
      <c r="F136" s="301">
        <v>-0.19500000000000001</v>
      </c>
      <c r="G136" s="301">
        <v>1.4999999999999999E-2</v>
      </c>
      <c r="H136" s="301">
        <v>-0.19500000000000001</v>
      </c>
      <c r="I136" s="301">
        <v>0.17799999999999999</v>
      </c>
      <c r="J136" s="301">
        <v>0.155</v>
      </c>
      <c r="K136" s="301">
        <v>-4.4499999999999998E-2</v>
      </c>
      <c r="L136" s="401">
        <v>-1.2E-2</v>
      </c>
      <c r="M136" s="301">
        <v>-0.29249999999999998</v>
      </c>
      <c r="N136" s="301">
        <v>6.4999999999999997E-3</v>
      </c>
      <c r="O136" s="301">
        <v>8.5000000000000006E-3</v>
      </c>
      <c r="P136" s="298">
        <v>-0.02</v>
      </c>
      <c r="Q136" s="298">
        <v>-0.03</v>
      </c>
      <c r="R136" s="298">
        <v>-1.145E-2</v>
      </c>
      <c r="S136" s="298">
        <v>-5.5500000000000001E-2</v>
      </c>
      <c r="T136" s="298">
        <v>-0.105</v>
      </c>
      <c r="U136" s="298">
        <v>0.2525</v>
      </c>
      <c r="V136" s="298">
        <v>5.0000000000000001E-3</v>
      </c>
      <c r="W136" s="298">
        <v>-0.16500000000000001</v>
      </c>
      <c r="X136" s="298">
        <v>-0.01</v>
      </c>
      <c r="Y136" s="313">
        <v>0.21249999999999999</v>
      </c>
      <c r="Z136" s="313">
        <v>2.3E-2</v>
      </c>
      <c r="AA136" s="445">
        <v>0.15</v>
      </c>
      <c r="AB136" s="445">
        <v>0.14699999999999999</v>
      </c>
      <c r="AC136" s="445">
        <v>0.15</v>
      </c>
      <c r="AD136" s="445">
        <v>0.15</v>
      </c>
      <c r="AE136" s="445">
        <v>0.14699999999999999</v>
      </c>
      <c r="AF136" s="445">
        <v>0.15</v>
      </c>
      <c r="AG136" s="445">
        <v>0.15</v>
      </c>
      <c r="AH136" s="445">
        <v>0.15</v>
      </c>
      <c r="AI136" s="446">
        <v>0.15</v>
      </c>
      <c r="AJ136" s="446">
        <v>0.15</v>
      </c>
      <c r="AK136" s="446">
        <v>0.15</v>
      </c>
      <c r="AL136" s="445">
        <v>0.15</v>
      </c>
      <c r="AM136" s="298">
        <v>7.2075310844883E-2</v>
      </c>
      <c r="AO136" s="313">
        <f t="shared" si="13"/>
        <v>0.14699999999999999</v>
      </c>
      <c r="AP136" s="313">
        <f t="shared" si="14"/>
        <v>0.14699999999999999</v>
      </c>
      <c r="AQ136" s="316">
        <f t="shared" si="15"/>
        <v>0.14699999999999999</v>
      </c>
      <c r="AR136" s="315">
        <f t="shared" si="16"/>
        <v>40299</v>
      </c>
      <c r="AS136" s="313">
        <f t="shared" si="10"/>
        <v>0.49121136906964058</v>
      </c>
      <c r="AT136" s="313">
        <f t="shared" si="11"/>
        <v>0.49130660401894605</v>
      </c>
      <c r="AV136" s="315">
        <f t="shared" si="17"/>
        <v>40299</v>
      </c>
      <c r="AW136" s="298">
        <v>124</v>
      </c>
    </row>
    <row r="137" spans="2:49" x14ac:dyDescent="0.25">
      <c r="B137" s="303">
        <f t="shared" si="12"/>
        <v>40330</v>
      </c>
      <c r="C137" s="301">
        <v>3.097</v>
      </c>
      <c r="D137" s="301">
        <v>0.15</v>
      </c>
      <c r="E137" s="301">
        <v>7.2479478490548005E-2</v>
      </c>
      <c r="F137" s="301">
        <v>-0.19500000000000001</v>
      </c>
      <c r="G137" s="301">
        <v>0.02</v>
      </c>
      <c r="H137" s="301">
        <v>-0.19500000000000001</v>
      </c>
      <c r="I137" s="301">
        <v>0.17299999999999999</v>
      </c>
      <c r="J137" s="301">
        <v>0.155</v>
      </c>
      <c r="K137" s="301">
        <v>-3.95E-2</v>
      </c>
      <c r="L137" s="401">
        <v>-1.2E-2</v>
      </c>
      <c r="M137" s="301">
        <v>-0.29249999999999998</v>
      </c>
      <c r="N137" s="301">
        <v>6.4999999999999997E-3</v>
      </c>
      <c r="O137" s="301">
        <v>8.5000000000000006E-3</v>
      </c>
      <c r="P137" s="298">
        <v>-1.7500000000000002E-2</v>
      </c>
      <c r="Q137" s="298">
        <v>-0.03</v>
      </c>
      <c r="R137" s="298">
        <v>-1.145E-2</v>
      </c>
      <c r="S137" s="298">
        <v>-4.8000000000000001E-2</v>
      </c>
      <c r="T137" s="298">
        <v>-0.105</v>
      </c>
      <c r="U137" s="298">
        <v>0.2525</v>
      </c>
      <c r="V137" s="298">
        <v>5.0000000000000001E-3</v>
      </c>
      <c r="W137" s="298">
        <v>-0.16500000000000001</v>
      </c>
      <c r="X137" s="298">
        <v>-1.2500000000000001E-2</v>
      </c>
      <c r="Y137" s="313">
        <v>0.21249999999999999</v>
      </c>
      <c r="Z137" s="313">
        <v>2.3E-2</v>
      </c>
      <c r="AA137" s="445">
        <v>0.15</v>
      </c>
      <c r="AB137" s="445">
        <v>0.14699999999999999</v>
      </c>
      <c r="AC137" s="445">
        <v>0.15</v>
      </c>
      <c r="AD137" s="445">
        <v>0.15</v>
      </c>
      <c r="AE137" s="445">
        <v>0.14699999999999999</v>
      </c>
      <c r="AF137" s="445">
        <v>0.15</v>
      </c>
      <c r="AG137" s="445">
        <v>0.15</v>
      </c>
      <c r="AH137" s="445">
        <v>0.15</v>
      </c>
      <c r="AI137" s="446">
        <v>0.15</v>
      </c>
      <c r="AJ137" s="446">
        <v>0.15</v>
      </c>
      <c r="AK137" s="446">
        <v>0.15</v>
      </c>
      <c r="AL137" s="445">
        <v>0.15</v>
      </c>
      <c r="AM137" s="298">
        <v>7.2076987722381997E-2</v>
      </c>
      <c r="AO137" s="313">
        <f t="shared" si="13"/>
        <v>0.14699999999999999</v>
      </c>
      <c r="AP137" s="313">
        <f t="shared" si="14"/>
        <v>0.14699999999999999</v>
      </c>
      <c r="AQ137" s="316">
        <f t="shared" si="15"/>
        <v>0.14699999999999999</v>
      </c>
      <c r="AR137" s="315">
        <f t="shared" si="16"/>
        <v>40330</v>
      </c>
      <c r="AS137" s="313">
        <f t="shared" si="10"/>
        <v>0.4882602230164324</v>
      </c>
      <c r="AT137" s="313">
        <f t="shared" si="11"/>
        <v>0.48835488796828364</v>
      </c>
      <c r="AV137" s="315">
        <f t="shared" si="17"/>
        <v>40330</v>
      </c>
      <c r="AW137" s="298">
        <v>125</v>
      </c>
    </row>
    <row r="138" spans="2:49" x14ac:dyDescent="0.25">
      <c r="B138" s="303">
        <f t="shared" si="12"/>
        <v>40360</v>
      </c>
      <c r="C138" s="301">
        <v>3.097</v>
      </c>
      <c r="D138" s="301">
        <v>0.15</v>
      </c>
      <c r="E138" s="301">
        <v>7.2483346630272005E-2</v>
      </c>
      <c r="F138" s="301">
        <v>-0.19500000000000001</v>
      </c>
      <c r="G138" s="301">
        <v>2.2499999999999999E-2</v>
      </c>
      <c r="H138" s="301">
        <v>-0.19500000000000001</v>
      </c>
      <c r="I138" s="301">
        <v>0.16200000000000001</v>
      </c>
      <c r="J138" s="301">
        <v>0.155</v>
      </c>
      <c r="K138" s="301">
        <v>-3.95E-2</v>
      </c>
      <c r="L138" s="401">
        <v>-1.2E-2</v>
      </c>
      <c r="M138" s="301">
        <v>-0.29249999999999998</v>
      </c>
      <c r="N138" s="301">
        <v>6.4999999999999997E-3</v>
      </c>
      <c r="O138" s="301">
        <v>8.5000000000000006E-3</v>
      </c>
      <c r="P138" s="298">
        <v>-1.7500000000000002E-2</v>
      </c>
      <c r="Q138" s="298">
        <v>-0.03</v>
      </c>
      <c r="R138" s="298">
        <v>-1.145E-2</v>
      </c>
      <c r="S138" s="298">
        <v>-4.8000000000000001E-2</v>
      </c>
      <c r="T138" s="298">
        <v>-0.105</v>
      </c>
      <c r="U138" s="298">
        <v>0.25750000000000001</v>
      </c>
      <c r="V138" s="298">
        <v>5.0000000000000001E-3</v>
      </c>
      <c r="W138" s="298">
        <v>-0.16500000000000001</v>
      </c>
      <c r="X138" s="298">
        <v>-1.2500000000000001E-2</v>
      </c>
      <c r="Y138" s="313">
        <v>0.21249999999999999</v>
      </c>
      <c r="Z138" s="313">
        <v>2.3E-2</v>
      </c>
      <c r="AA138" s="445">
        <v>0.15</v>
      </c>
      <c r="AB138" s="445">
        <v>0.14699999999999999</v>
      </c>
      <c r="AC138" s="445">
        <v>0.15</v>
      </c>
      <c r="AD138" s="445">
        <v>0.15</v>
      </c>
      <c r="AE138" s="445">
        <v>0.14699999999999999</v>
      </c>
      <c r="AF138" s="445">
        <v>0.15</v>
      </c>
      <c r="AG138" s="445">
        <v>0.15</v>
      </c>
      <c r="AH138" s="445">
        <v>0.15</v>
      </c>
      <c r="AI138" s="446">
        <v>0.15</v>
      </c>
      <c r="AJ138" s="446">
        <v>0.15</v>
      </c>
      <c r="AK138" s="446">
        <v>0.15</v>
      </c>
      <c r="AL138" s="445">
        <v>0.15</v>
      </c>
      <c r="AM138" s="298">
        <v>7.2078610507060006E-2</v>
      </c>
      <c r="AO138" s="313">
        <f t="shared" si="13"/>
        <v>0.14699999999999999</v>
      </c>
      <c r="AP138" s="313">
        <f t="shared" si="14"/>
        <v>0.14699999999999999</v>
      </c>
      <c r="AQ138" s="316">
        <f t="shared" si="15"/>
        <v>0.14699999999999999</v>
      </c>
      <c r="AR138" s="315">
        <f t="shared" si="16"/>
        <v>40360</v>
      </c>
      <c r="AS138" s="313">
        <f t="shared" si="10"/>
        <v>0.48542103082624039</v>
      </c>
      <c r="AT138" s="313">
        <f t="shared" si="11"/>
        <v>0.48551514739142693</v>
      </c>
      <c r="AV138" s="315">
        <f t="shared" si="17"/>
        <v>40360</v>
      </c>
      <c r="AW138" s="298">
        <v>126</v>
      </c>
    </row>
    <row r="139" spans="2:49" x14ac:dyDescent="0.25">
      <c r="B139" s="303">
        <f t="shared" si="12"/>
        <v>40391</v>
      </c>
      <c r="C139" s="301">
        <v>3.1</v>
      </c>
      <c r="D139" s="301">
        <v>0.15</v>
      </c>
      <c r="E139" s="301">
        <v>7.2487343708000002E-2</v>
      </c>
      <c r="F139" s="301">
        <v>-0.19500000000000001</v>
      </c>
      <c r="G139" s="301">
        <v>2.5000000000000001E-2</v>
      </c>
      <c r="H139" s="301">
        <v>-0.19500000000000001</v>
      </c>
      <c r="I139" s="301">
        <v>0.16</v>
      </c>
      <c r="J139" s="301">
        <v>0.155</v>
      </c>
      <c r="K139" s="301">
        <v>-3.95E-2</v>
      </c>
      <c r="L139" s="401">
        <v>-1.2E-2</v>
      </c>
      <c r="M139" s="301">
        <v>-0.29249999999999998</v>
      </c>
      <c r="N139" s="301">
        <v>6.4999999999999997E-3</v>
      </c>
      <c r="O139" s="301">
        <v>8.5000000000000006E-3</v>
      </c>
      <c r="P139" s="298">
        <v>-1.7500000000000002E-2</v>
      </c>
      <c r="Q139" s="298">
        <v>-0.03</v>
      </c>
      <c r="R139" s="298">
        <v>-8.7500000000000008E-3</v>
      </c>
      <c r="S139" s="298">
        <v>-4.8000000000000001E-2</v>
      </c>
      <c r="T139" s="298">
        <v>-0.105</v>
      </c>
      <c r="U139" s="298">
        <v>0.25750000000000001</v>
      </c>
      <c r="V139" s="298">
        <v>5.0000000000000001E-3</v>
      </c>
      <c r="W139" s="298">
        <v>-0.16500000000000001</v>
      </c>
      <c r="X139" s="298">
        <v>-1.2500000000000001E-2</v>
      </c>
      <c r="Y139" s="313">
        <v>0.21249999999999999</v>
      </c>
      <c r="Z139" s="313">
        <v>2.3E-2</v>
      </c>
      <c r="AA139" s="445">
        <v>0.15</v>
      </c>
      <c r="AB139" s="445">
        <v>0.14699999999999999</v>
      </c>
      <c r="AC139" s="445">
        <v>0.15</v>
      </c>
      <c r="AD139" s="445">
        <v>0.15</v>
      </c>
      <c r="AE139" s="445">
        <v>0.14699999999999999</v>
      </c>
      <c r="AF139" s="445">
        <v>0.15</v>
      </c>
      <c r="AG139" s="445">
        <v>0.15</v>
      </c>
      <c r="AH139" s="445">
        <v>0.15</v>
      </c>
      <c r="AI139" s="446">
        <v>0.15</v>
      </c>
      <c r="AJ139" s="446">
        <v>0.15</v>
      </c>
      <c r="AK139" s="446">
        <v>0.15</v>
      </c>
      <c r="AL139" s="445">
        <v>0.15</v>
      </c>
      <c r="AM139" s="298">
        <v>7.2080287384561001E-2</v>
      </c>
      <c r="AO139" s="313">
        <f t="shared" si="13"/>
        <v>0.14699999999999999</v>
      </c>
      <c r="AP139" s="313">
        <f t="shared" si="14"/>
        <v>0.14699999999999999</v>
      </c>
      <c r="AQ139" s="316">
        <f t="shared" si="15"/>
        <v>0.14699999999999999</v>
      </c>
      <c r="AR139" s="315">
        <f t="shared" si="16"/>
        <v>40391</v>
      </c>
      <c r="AS139" s="313">
        <f t="shared" si="10"/>
        <v>0.48250441167333208</v>
      </c>
      <c r="AT139" s="313">
        <f t="shared" si="11"/>
        <v>0.48259796488411028</v>
      </c>
      <c r="AV139" s="315">
        <f t="shared" si="17"/>
        <v>40391</v>
      </c>
      <c r="AW139" s="298">
        <v>127</v>
      </c>
    </row>
    <row r="140" spans="2:49" x14ac:dyDescent="0.25">
      <c r="B140" s="303">
        <f t="shared" si="12"/>
        <v>40422</v>
      </c>
      <c r="C140" s="301">
        <v>3.097</v>
      </c>
      <c r="D140" s="301">
        <v>0.15</v>
      </c>
      <c r="E140" s="301">
        <v>7.2491340785714994E-2</v>
      </c>
      <c r="F140" s="301">
        <v>-0.19500000000000001</v>
      </c>
      <c r="G140" s="301">
        <v>1.7500000000000002E-2</v>
      </c>
      <c r="H140" s="301">
        <v>-0.19500000000000001</v>
      </c>
      <c r="I140" s="301">
        <v>0.157</v>
      </c>
      <c r="J140" s="301">
        <v>0.155</v>
      </c>
      <c r="K140" s="301">
        <v>-4.2000000000000003E-2</v>
      </c>
      <c r="L140" s="401">
        <v>-1.2E-2</v>
      </c>
      <c r="M140" s="301">
        <v>-0.29249999999999998</v>
      </c>
      <c r="N140" s="301">
        <v>6.4999999999999997E-3</v>
      </c>
      <c r="O140" s="301">
        <v>8.5000000000000006E-3</v>
      </c>
      <c r="P140" s="298">
        <v>-1.7500000000000002E-2</v>
      </c>
      <c r="Q140" s="298">
        <v>-0.03</v>
      </c>
      <c r="R140" s="298">
        <v>-8.7500000000000008E-3</v>
      </c>
      <c r="S140" s="298">
        <v>-5.2999999999999999E-2</v>
      </c>
      <c r="T140" s="298">
        <v>-0.105</v>
      </c>
      <c r="U140" s="298">
        <v>0.2525</v>
      </c>
      <c r="V140" s="298">
        <v>5.0000000000000001E-3</v>
      </c>
      <c r="W140" s="298">
        <v>-0.16500000000000001</v>
      </c>
      <c r="X140" s="298">
        <v>-1.4999999999999999E-2</v>
      </c>
      <c r="Y140" s="313">
        <v>0.21249999999999999</v>
      </c>
      <c r="Z140" s="313">
        <v>2.3E-2</v>
      </c>
      <c r="AA140" s="445">
        <v>0.15</v>
      </c>
      <c r="AB140" s="445">
        <v>0.14699999999999999</v>
      </c>
      <c r="AC140" s="445">
        <v>0.15</v>
      </c>
      <c r="AD140" s="445">
        <v>0.15</v>
      </c>
      <c r="AE140" s="445">
        <v>0.14699999999999999</v>
      </c>
      <c r="AF140" s="445">
        <v>0.15</v>
      </c>
      <c r="AG140" s="445">
        <v>0.15</v>
      </c>
      <c r="AH140" s="445">
        <v>0.15</v>
      </c>
      <c r="AI140" s="446">
        <v>0.15</v>
      </c>
      <c r="AJ140" s="446">
        <v>0.15</v>
      </c>
      <c r="AK140" s="446">
        <v>0.15</v>
      </c>
      <c r="AL140" s="445">
        <v>0.15</v>
      </c>
      <c r="AM140" s="298">
        <v>7.2081964262062995E-2</v>
      </c>
      <c r="AO140" s="313">
        <f t="shared" si="13"/>
        <v>0.14699999999999999</v>
      </c>
      <c r="AP140" s="313">
        <f t="shared" si="14"/>
        <v>0.14699999999999999</v>
      </c>
      <c r="AQ140" s="316">
        <f t="shared" si="15"/>
        <v>0.14699999999999999</v>
      </c>
      <c r="AR140" s="315">
        <f t="shared" si="16"/>
        <v>40422</v>
      </c>
      <c r="AS140" s="313">
        <f t="shared" si="10"/>
        <v>0.47960518506606425</v>
      </c>
      <c r="AT140" s="313">
        <f t="shared" si="11"/>
        <v>0.47969817826891153</v>
      </c>
      <c r="AV140" s="315">
        <f t="shared" si="17"/>
        <v>40422</v>
      </c>
      <c r="AW140" s="298">
        <v>128</v>
      </c>
    </row>
    <row r="141" spans="2:49" x14ac:dyDescent="0.25">
      <c r="B141" s="303">
        <f t="shared" si="12"/>
        <v>40452</v>
      </c>
      <c r="C141" s="301">
        <v>3.117</v>
      </c>
      <c r="D141" s="301">
        <v>0.15</v>
      </c>
      <c r="E141" s="301">
        <v>7.2495208925452997E-2</v>
      </c>
      <c r="F141" s="301">
        <v>-0.19500000000000001</v>
      </c>
      <c r="G141" s="301">
        <v>7.4999999999999997E-3</v>
      </c>
      <c r="H141" s="301">
        <v>-0.19500000000000001</v>
      </c>
      <c r="I141" s="301">
        <v>0.17299999999999999</v>
      </c>
      <c r="J141" s="301">
        <v>0.1575</v>
      </c>
      <c r="K141" s="301">
        <v>-4.2000000000000003E-2</v>
      </c>
      <c r="L141" s="401">
        <v>-1.2E-2</v>
      </c>
      <c r="M141" s="301">
        <v>-0.29249999999999998</v>
      </c>
      <c r="N141" s="301">
        <v>6.4999999999999997E-3</v>
      </c>
      <c r="O141" s="301">
        <v>8.5000000000000006E-3</v>
      </c>
      <c r="P141" s="298">
        <v>-1.7500000000000002E-2</v>
      </c>
      <c r="Q141" s="298">
        <v>-0.03</v>
      </c>
      <c r="R141" s="298">
        <v>-2.9499999999999998E-2</v>
      </c>
      <c r="S141" s="298">
        <v>-5.2999999999999999E-2</v>
      </c>
      <c r="T141" s="298">
        <v>-0.105</v>
      </c>
      <c r="U141" s="298">
        <v>0.255</v>
      </c>
      <c r="V141" s="298">
        <v>5.0000000000000001E-3</v>
      </c>
      <c r="W141" s="298">
        <v>-0.16500000000000001</v>
      </c>
      <c r="X141" s="298">
        <v>-1.4999999999999999E-2</v>
      </c>
      <c r="Y141" s="313">
        <v>0.21249999999999999</v>
      </c>
      <c r="Z141" s="313">
        <v>2.3E-2</v>
      </c>
      <c r="AA141" s="445">
        <v>0.15</v>
      </c>
      <c r="AB141" s="445">
        <v>0.14699999999999999</v>
      </c>
      <c r="AC141" s="445">
        <v>0.15</v>
      </c>
      <c r="AD141" s="445">
        <v>0.15</v>
      </c>
      <c r="AE141" s="445">
        <v>0.14699999999999999</v>
      </c>
      <c r="AF141" s="445">
        <v>0.15</v>
      </c>
      <c r="AG141" s="445">
        <v>0.15</v>
      </c>
      <c r="AH141" s="445">
        <v>0.15</v>
      </c>
      <c r="AI141" s="446">
        <v>0.15</v>
      </c>
      <c r="AJ141" s="446">
        <v>0.15</v>
      </c>
      <c r="AK141" s="446">
        <v>0.15</v>
      </c>
      <c r="AL141" s="445">
        <v>0.15</v>
      </c>
      <c r="AM141" s="298">
        <v>7.2083587046743003E-2</v>
      </c>
      <c r="AO141" s="313">
        <f t="shared" si="13"/>
        <v>0.14699999999999999</v>
      </c>
      <c r="AP141" s="313">
        <f t="shared" si="14"/>
        <v>0.14699999999999999</v>
      </c>
      <c r="AQ141" s="316">
        <f t="shared" si="15"/>
        <v>0.14699999999999999</v>
      </c>
      <c r="AR141" s="315">
        <f t="shared" si="16"/>
        <v>40452</v>
      </c>
      <c r="AS141" s="313">
        <f t="shared" si="10"/>
        <v>0.47681594497493635</v>
      </c>
      <c r="AT141" s="313">
        <f t="shared" si="11"/>
        <v>0.47690839940233787</v>
      </c>
      <c r="AV141" s="315">
        <f t="shared" si="17"/>
        <v>40452</v>
      </c>
      <c r="AW141" s="298">
        <v>129</v>
      </c>
    </row>
    <row r="142" spans="2:49" x14ac:dyDescent="0.25">
      <c r="B142" s="303">
        <f t="shared" si="12"/>
        <v>40483</v>
      </c>
      <c r="C142" s="301">
        <v>3.2149999999999999</v>
      </c>
      <c r="D142" s="301">
        <v>0.15</v>
      </c>
      <c r="E142" s="301">
        <v>7.2499206003187003E-2</v>
      </c>
      <c r="F142" s="301">
        <v>-0.19</v>
      </c>
      <c r="G142" s="301">
        <v>-3.2500000000000001E-2</v>
      </c>
      <c r="H142" s="301">
        <v>-0.19</v>
      </c>
      <c r="I142" s="301">
        <v>0.25</v>
      </c>
      <c r="J142" s="301">
        <v>0.24</v>
      </c>
      <c r="K142" s="301">
        <v>-4.8500000000000001E-2</v>
      </c>
      <c r="L142" s="401">
        <v>-9.4999999999999998E-3</v>
      </c>
      <c r="M142" s="301">
        <v>-0.24249999999999999</v>
      </c>
      <c r="N142" s="301">
        <v>1.0999999999999999E-2</v>
      </c>
      <c r="O142" s="301">
        <v>1.2999999999999999E-2</v>
      </c>
      <c r="P142" s="298">
        <v>-2.0500000000000001E-2</v>
      </c>
      <c r="Q142" s="298">
        <v>-0.03</v>
      </c>
      <c r="R142" s="298">
        <v>-2.8500000000000001E-2</v>
      </c>
      <c r="S142" s="298">
        <v>-6.8000000000000005E-2</v>
      </c>
      <c r="T142" s="298">
        <v>-0.14499999999999999</v>
      </c>
      <c r="U142" s="298">
        <v>0.72499999999999998</v>
      </c>
      <c r="V142" s="298">
        <v>5.0000000000000001E-3</v>
      </c>
      <c r="W142" s="298">
        <v>-0.1875</v>
      </c>
      <c r="X142" s="298">
        <v>-1.2500000000000001E-2</v>
      </c>
      <c r="Y142" s="313">
        <v>0.10249999999999999</v>
      </c>
      <c r="Z142" s="313">
        <v>3.2500000000000001E-2</v>
      </c>
      <c r="AA142" s="445">
        <v>0.15</v>
      </c>
      <c r="AB142" s="445">
        <v>0.16500000000000001</v>
      </c>
      <c r="AC142" s="445">
        <v>0.15</v>
      </c>
      <c r="AD142" s="445">
        <v>0.15</v>
      </c>
      <c r="AE142" s="445">
        <v>0.15</v>
      </c>
      <c r="AF142" s="445">
        <v>0.15</v>
      </c>
      <c r="AG142" s="445">
        <v>0.15</v>
      </c>
      <c r="AH142" s="445">
        <v>0.15</v>
      </c>
      <c r="AI142" s="446">
        <v>0.15</v>
      </c>
      <c r="AJ142" s="446">
        <v>0.15</v>
      </c>
      <c r="AK142" s="446">
        <v>0.15</v>
      </c>
      <c r="AL142" s="445">
        <v>0.15</v>
      </c>
      <c r="AM142" s="298">
        <v>7.2085263924246995E-2</v>
      </c>
      <c r="AO142" s="313">
        <f t="shared" si="13"/>
        <v>0.16500000000000001</v>
      </c>
      <c r="AP142" s="313">
        <f t="shared" si="14"/>
        <v>0.16500000000000001</v>
      </c>
      <c r="AQ142" s="316">
        <f t="shared" si="15"/>
        <v>0.16500000000000001</v>
      </c>
      <c r="AR142" s="315">
        <f t="shared" si="16"/>
        <v>40483</v>
      </c>
      <c r="AS142" s="313">
        <f t="shared" si="10"/>
        <v>0.47395064246963903</v>
      </c>
      <c r="AT142" s="313">
        <f t="shared" si="11"/>
        <v>0.47404254341662944</v>
      </c>
      <c r="AV142" s="315">
        <f t="shared" si="17"/>
        <v>40483</v>
      </c>
      <c r="AW142" s="298">
        <v>130</v>
      </c>
    </row>
    <row r="143" spans="2:49" x14ac:dyDescent="0.25">
      <c r="B143" s="303">
        <f t="shared" si="12"/>
        <v>40513</v>
      </c>
      <c r="C143" s="301">
        <v>3.3170000000000002</v>
      </c>
      <c r="D143" s="301">
        <v>0.15</v>
      </c>
      <c r="E143" s="301">
        <v>7.2503074142934998E-2</v>
      </c>
      <c r="F143" s="301">
        <v>-0.19750000000000001</v>
      </c>
      <c r="G143" s="301">
        <v>-5.5E-2</v>
      </c>
      <c r="H143" s="301">
        <v>-0.19750000000000001</v>
      </c>
      <c r="I143" s="301">
        <v>0.28999999999999998</v>
      </c>
      <c r="J143" s="301">
        <v>0.29499999999999998</v>
      </c>
      <c r="K143" s="301">
        <v>-4.8500000000000001E-2</v>
      </c>
      <c r="L143" s="301">
        <v>-9.4999999999999998E-3</v>
      </c>
      <c r="M143" s="301">
        <v>-0.24249999999999999</v>
      </c>
      <c r="N143" s="301">
        <v>1.0999999999999999E-2</v>
      </c>
      <c r="O143" s="301">
        <v>1.2999999999999999E-2</v>
      </c>
      <c r="P143" s="298">
        <v>-2.0500000000000001E-2</v>
      </c>
      <c r="Q143" s="298">
        <v>-0.03</v>
      </c>
      <c r="R143" s="298">
        <v>-2.8500000000000001E-2</v>
      </c>
      <c r="S143" s="298">
        <v>-8.3000000000000004E-2</v>
      </c>
      <c r="T143" s="298">
        <v>-0.14499999999999999</v>
      </c>
      <c r="U143" s="298">
        <v>1.0449999999999999</v>
      </c>
      <c r="V143" s="298">
        <v>5.0000000000000001E-3</v>
      </c>
      <c r="W143" s="298">
        <v>-0.1875</v>
      </c>
      <c r="X143" s="298">
        <v>-1.2500000000000001E-2</v>
      </c>
      <c r="Y143" s="313">
        <v>0.10249999999999999</v>
      </c>
      <c r="Z143" s="313">
        <v>3.2500000000000001E-2</v>
      </c>
      <c r="AA143" s="445">
        <v>0.15</v>
      </c>
      <c r="AB143" s="445">
        <v>0.16500000000000001</v>
      </c>
      <c r="AC143" s="445">
        <v>0.15</v>
      </c>
      <c r="AD143" s="445">
        <v>0.15</v>
      </c>
      <c r="AE143" s="445">
        <v>0.15</v>
      </c>
      <c r="AF143" s="445">
        <v>0.15</v>
      </c>
      <c r="AG143" s="445">
        <v>0.15</v>
      </c>
      <c r="AH143" s="445">
        <v>0.15</v>
      </c>
      <c r="AI143" s="446">
        <v>0.15</v>
      </c>
      <c r="AJ143" s="446">
        <v>0.15</v>
      </c>
      <c r="AK143" s="446">
        <v>0.15</v>
      </c>
      <c r="AL143" s="445">
        <v>0.15</v>
      </c>
      <c r="AM143" s="298">
        <v>7.2086886708929002E-2</v>
      </c>
      <c r="AO143" s="313">
        <f t="shared" si="13"/>
        <v>0.16500000000000001</v>
      </c>
      <c r="AP143" s="313">
        <f t="shared" si="14"/>
        <v>0.16500000000000001</v>
      </c>
      <c r="AQ143" s="316">
        <f t="shared" si="15"/>
        <v>0.16500000000000001</v>
      </c>
      <c r="AR143" s="315">
        <f t="shared" si="16"/>
        <v>40513</v>
      </c>
      <c r="AS143" s="313">
        <f t="shared" si="10"/>
        <v>0.47119404099631768</v>
      </c>
      <c r="AT143" s="313">
        <f t="shared" si="11"/>
        <v>0.47128540944817937</v>
      </c>
      <c r="AV143" s="315">
        <f t="shared" si="17"/>
        <v>40513</v>
      </c>
      <c r="AW143" s="298">
        <v>131</v>
      </c>
    </row>
    <row r="144" spans="2:49" x14ac:dyDescent="0.25">
      <c r="B144" s="303">
        <f t="shared" si="12"/>
        <v>40544</v>
      </c>
      <c r="C144" s="301">
        <v>3.3675000000000002</v>
      </c>
      <c r="D144" s="301">
        <v>0.15</v>
      </c>
      <c r="E144" s="301">
        <v>7.2507071220679994E-2</v>
      </c>
      <c r="F144" s="301">
        <v>-0.2</v>
      </c>
      <c r="G144" s="301">
        <v>-5.7500000000000002E-2</v>
      </c>
      <c r="H144" s="301">
        <v>-0.2</v>
      </c>
      <c r="I144" s="301">
        <v>0.3</v>
      </c>
      <c r="J144" s="301">
        <v>0.34250000000000003</v>
      </c>
      <c r="K144" s="301">
        <v>-5.2499999999999998E-2</v>
      </c>
      <c r="L144" s="301">
        <v>-7.4999999999999997E-3</v>
      </c>
      <c r="M144" s="301">
        <v>-0.24249999999999999</v>
      </c>
      <c r="N144" s="301">
        <v>1.0999999999999999E-2</v>
      </c>
      <c r="O144" s="301">
        <v>1.2999999999999999E-2</v>
      </c>
      <c r="P144" s="298">
        <v>-1.6E-2</v>
      </c>
      <c r="Q144" s="298">
        <v>-0.03</v>
      </c>
      <c r="R144" s="298">
        <v>-2.5999999999999999E-2</v>
      </c>
      <c r="S144" s="298">
        <v>-9.35E-2</v>
      </c>
      <c r="T144" s="298">
        <v>-0.14499999999999999</v>
      </c>
      <c r="U144" s="298">
        <v>1.52</v>
      </c>
      <c r="V144" s="298">
        <v>5.0000000000000001E-3</v>
      </c>
      <c r="W144" s="298">
        <v>-0.1875</v>
      </c>
      <c r="X144" s="298">
        <v>-1.2500000000000001E-2</v>
      </c>
      <c r="Y144" s="313">
        <v>0.10249999999999999</v>
      </c>
      <c r="Z144" s="313">
        <v>3.2500000000000001E-2</v>
      </c>
      <c r="AA144" s="445">
        <v>0.15</v>
      </c>
      <c r="AB144" s="445">
        <v>0.15</v>
      </c>
      <c r="AC144" s="445">
        <v>0.15</v>
      </c>
      <c r="AD144" s="445">
        <v>0.15</v>
      </c>
      <c r="AE144" s="445">
        <v>0.15</v>
      </c>
      <c r="AF144" s="445">
        <v>0.15</v>
      </c>
      <c r="AG144" s="445">
        <v>0.15</v>
      </c>
      <c r="AH144" s="445">
        <v>0.15</v>
      </c>
      <c r="AI144" s="446">
        <v>0.15</v>
      </c>
      <c r="AJ144" s="446">
        <v>0.15</v>
      </c>
      <c r="AK144" s="446">
        <v>0.15</v>
      </c>
      <c r="AL144" s="445">
        <v>0.15</v>
      </c>
      <c r="AM144" s="298">
        <v>7.2088563586435006E-2</v>
      </c>
      <c r="AO144" s="313">
        <f t="shared" si="13"/>
        <v>0.15</v>
      </c>
      <c r="AP144" s="313">
        <f t="shared" si="14"/>
        <v>0.15</v>
      </c>
      <c r="AQ144" s="316">
        <f t="shared" si="15"/>
        <v>0.15</v>
      </c>
      <c r="AR144" s="315">
        <f t="shared" si="16"/>
        <v>40544</v>
      </c>
      <c r="AS144" s="313">
        <f t="shared" ref="AS144:AS207" si="18">(1+$AM144/2)^(-2*($B144-$AS$11)/365.25)</f>
        <v>0.46836226867981912</v>
      </c>
      <c r="AT144" s="313">
        <f t="shared" ref="AT144:AT207" si="19">(1+$AM144/2)^(-2*($B144-$AT$11)/365.25)</f>
        <v>0.46845309010329128</v>
      </c>
      <c r="AV144" s="315">
        <f t="shared" si="17"/>
        <v>40544</v>
      </c>
      <c r="AW144" s="298">
        <v>132</v>
      </c>
    </row>
    <row r="145" spans="2:49" x14ac:dyDescent="0.25">
      <c r="B145" s="303">
        <f t="shared" ref="B145:B208" si="20">EOMONTH(B144,0)+1</f>
        <v>40575</v>
      </c>
      <c r="C145" s="301">
        <v>3.2865000000000002</v>
      </c>
      <c r="D145" s="301">
        <v>0.15</v>
      </c>
      <c r="E145" s="301">
        <v>7.2511068298430001E-2</v>
      </c>
      <c r="F145" s="301">
        <v>-0.20250000000000001</v>
      </c>
      <c r="G145" s="301">
        <v>-0.04</v>
      </c>
      <c r="H145" s="301">
        <v>-0.20250000000000001</v>
      </c>
      <c r="I145" s="301">
        <v>0.27500000000000002</v>
      </c>
      <c r="J145" s="301">
        <v>0.33750000000000002</v>
      </c>
      <c r="K145" s="301">
        <v>-4.8500000000000001E-2</v>
      </c>
      <c r="L145" s="301">
        <v>-7.4999999999999997E-3</v>
      </c>
      <c r="M145" s="301">
        <v>-0.24249999999999999</v>
      </c>
      <c r="N145" s="301">
        <v>1.0999999999999999E-2</v>
      </c>
      <c r="O145" s="301">
        <v>1.2999999999999999E-2</v>
      </c>
      <c r="P145" s="298">
        <v>-1.6E-2</v>
      </c>
      <c r="Q145" s="298">
        <v>-0.03</v>
      </c>
      <c r="R145" s="298">
        <v>-2.5999999999999999E-2</v>
      </c>
      <c r="S145" s="298">
        <v>-8.1000000000000003E-2</v>
      </c>
      <c r="T145" s="298">
        <v>-0.14499999999999999</v>
      </c>
      <c r="U145" s="298">
        <v>1.4</v>
      </c>
      <c r="V145" s="298">
        <v>5.0000000000000001E-3</v>
      </c>
      <c r="W145" s="298">
        <v>-0.1875</v>
      </c>
      <c r="X145" s="298">
        <v>-1.2500000000000001E-2</v>
      </c>
      <c r="Y145" s="313">
        <v>0.10249999999999999</v>
      </c>
      <c r="Z145" s="313">
        <v>3.2500000000000001E-2</v>
      </c>
      <c r="AA145" s="445">
        <v>0.15</v>
      </c>
      <c r="AB145" s="445">
        <v>0.16500000000000001</v>
      </c>
      <c r="AC145" s="445">
        <v>0.15</v>
      </c>
      <c r="AD145" s="445">
        <v>0.15</v>
      </c>
      <c r="AE145" s="445">
        <v>0.15</v>
      </c>
      <c r="AF145" s="445">
        <v>0.15</v>
      </c>
      <c r="AG145" s="445">
        <v>0.15</v>
      </c>
      <c r="AH145" s="445">
        <v>0.15</v>
      </c>
      <c r="AI145" s="446">
        <v>0.15</v>
      </c>
      <c r="AJ145" s="446">
        <v>0.15</v>
      </c>
      <c r="AK145" s="446">
        <v>0.15</v>
      </c>
      <c r="AL145" s="445">
        <v>0.15</v>
      </c>
      <c r="AM145" s="298">
        <v>7.2090240463940997E-2</v>
      </c>
      <c r="AO145" s="313">
        <f t="shared" ref="AO145:AO208" si="21">AB145</f>
        <v>0.16500000000000001</v>
      </c>
      <c r="AP145" s="313">
        <f t="shared" ref="AP145:AP208" si="22">AB145</f>
        <v>0.16500000000000001</v>
      </c>
      <c r="AQ145" s="316">
        <f t="shared" ref="AQ145:AQ208" si="23">AB145</f>
        <v>0.16500000000000001</v>
      </c>
      <c r="AR145" s="315">
        <f t="shared" ref="AR145:AR208" si="24">B145</f>
        <v>40575</v>
      </c>
      <c r="AS145" s="313">
        <f t="shared" si="18"/>
        <v>0.46554738679197083</v>
      </c>
      <c r="AT145" s="313">
        <f t="shared" si="19"/>
        <v>0.46563766443729449</v>
      </c>
      <c r="AV145" s="315">
        <f t="shared" ref="AV145:AV208" si="25">B145</f>
        <v>40575</v>
      </c>
      <c r="AW145" s="298">
        <v>133</v>
      </c>
    </row>
    <row r="146" spans="2:49" x14ac:dyDescent="0.25">
      <c r="B146" s="303">
        <f t="shared" si="20"/>
        <v>40603</v>
      </c>
      <c r="C146" s="301">
        <v>3.1955</v>
      </c>
      <c r="D146" s="301">
        <v>0.15</v>
      </c>
      <c r="E146" s="301">
        <v>7.2514678562209001E-2</v>
      </c>
      <c r="F146" s="301">
        <v>-0.20499999999999999</v>
      </c>
      <c r="G146" s="301">
        <v>-2.75E-2</v>
      </c>
      <c r="H146" s="301">
        <v>-0.20499999999999999</v>
      </c>
      <c r="I146" s="301">
        <v>0.27200000000000002</v>
      </c>
      <c r="J146" s="301">
        <v>0.26</v>
      </c>
      <c r="K146" s="301">
        <v>-0.05</v>
      </c>
      <c r="L146" s="301">
        <v>-7.4999999999999997E-3</v>
      </c>
      <c r="M146" s="301">
        <v>-0.24249999999999999</v>
      </c>
      <c r="N146" s="301">
        <v>1.0999999999999999E-2</v>
      </c>
      <c r="O146" s="301">
        <v>1.2999999999999999E-2</v>
      </c>
      <c r="P146" s="298">
        <v>-1.6E-2</v>
      </c>
      <c r="Q146" s="298">
        <v>-0.03</v>
      </c>
      <c r="R146" s="298">
        <v>-7.7000000000000002E-3</v>
      </c>
      <c r="S146" s="298">
        <v>-6.8500000000000005E-2</v>
      </c>
      <c r="T146" s="298">
        <v>-0.14499999999999999</v>
      </c>
      <c r="U146" s="298">
        <v>0.88</v>
      </c>
      <c r="V146" s="298">
        <v>5.0000000000000001E-3</v>
      </c>
      <c r="W146" s="298">
        <v>-0.1875</v>
      </c>
      <c r="X146" s="298">
        <v>-1.2500000000000001E-2</v>
      </c>
      <c r="Y146" s="313">
        <v>0.10249999999999999</v>
      </c>
      <c r="Z146" s="313">
        <v>3.2500000000000001E-2</v>
      </c>
      <c r="AA146" s="445">
        <v>0.15</v>
      </c>
      <c r="AB146" s="445">
        <v>0.16500000000000001</v>
      </c>
      <c r="AC146" s="445">
        <v>0.15</v>
      </c>
      <c r="AD146" s="445">
        <v>0.15</v>
      </c>
      <c r="AE146" s="445">
        <v>0.15</v>
      </c>
      <c r="AF146" s="445">
        <v>0.15</v>
      </c>
      <c r="AG146" s="445">
        <v>0.15</v>
      </c>
      <c r="AH146" s="445">
        <v>0.15</v>
      </c>
      <c r="AI146" s="446">
        <v>0.15</v>
      </c>
      <c r="AJ146" s="446">
        <v>0.15</v>
      </c>
      <c r="AK146" s="446">
        <v>0.15</v>
      </c>
      <c r="AL146" s="445">
        <v>0.15</v>
      </c>
      <c r="AM146" s="298">
        <v>7.2091755062980004E-2</v>
      </c>
      <c r="AO146" s="313">
        <f t="shared" si="21"/>
        <v>0.16500000000000001</v>
      </c>
      <c r="AP146" s="313">
        <f t="shared" si="22"/>
        <v>0.16500000000000001</v>
      </c>
      <c r="AQ146" s="316">
        <f t="shared" si="23"/>
        <v>0.16500000000000001</v>
      </c>
      <c r="AR146" s="315">
        <f t="shared" si="24"/>
        <v>40603</v>
      </c>
      <c r="AS146" s="313">
        <f t="shared" si="18"/>
        <v>0.46301934734594286</v>
      </c>
      <c r="AT146" s="313">
        <f t="shared" si="19"/>
        <v>0.46310913661452047</v>
      </c>
      <c r="AV146" s="315">
        <f t="shared" si="25"/>
        <v>40603</v>
      </c>
      <c r="AW146" s="298">
        <v>134</v>
      </c>
    </row>
    <row r="147" spans="2:49" x14ac:dyDescent="0.25">
      <c r="B147" s="303">
        <f t="shared" si="20"/>
        <v>40634</v>
      </c>
      <c r="C147" s="301">
        <v>3.1194999999999999</v>
      </c>
      <c r="D147" s="301">
        <v>0.15</v>
      </c>
      <c r="E147" s="301">
        <v>7.2518675639969998E-2</v>
      </c>
      <c r="F147" s="301">
        <v>-0.19500000000000001</v>
      </c>
      <c r="G147" s="301">
        <v>1.4999999999999999E-2</v>
      </c>
      <c r="H147" s="301">
        <v>-0.19500000000000001</v>
      </c>
      <c r="I147" s="301">
        <v>0.17</v>
      </c>
      <c r="J147" s="301">
        <v>0.17</v>
      </c>
      <c r="K147" s="301">
        <v>-0.06</v>
      </c>
      <c r="L147" s="301">
        <v>-0.01</v>
      </c>
      <c r="M147" s="301">
        <v>0</v>
      </c>
      <c r="N147" s="301">
        <v>6.4999999999999997E-3</v>
      </c>
      <c r="O147" s="301">
        <v>1.0500000000000001E-2</v>
      </c>
      <c r="P147" s="298">
        <v>-1.7999999999999999E-2</v>
      </c>
      <c r="Q147" s="298">
        <v>-0.03</v>
      </c>
      <c r="R147" s="298">
        <v>-7.7000000000000002E-3</v>
      </c>
      <c r="S147" s="298">
        <v>-5.0999999999999997E-2</v>
      </c>
      <c r="T147" s="298">
        <v>-0.105</v>
      </c>
      <c r="U147" s="298">
        <v>0.37</v>
      </c>
      <c r="V147" s="298">
        <v>5.0000000000000001E-3</v>
      </c>
      <c r="W147" s="298">
        <v>-0.19</v>
      </c>
      <c r="X147" s="298">
        <v>-1.2500000000000001E-2</v>
      </c>
      <c r="Y147" s="313">
        <v>0.1875</v>
      </c>
      <c r="Z147" s="313">
        <v>2.5000000000000001E-2</v>
      </c>
      <c r="AA147" s="445">
        <v>0.15</v>
      </c>
      <c r="AB147" s="445">
        <v>0.14699999999999999</v>
      </c>
      <c r="AC147" s="445">
        <v>0.15</v>
      </c>
      <c r="AD147" s="445">
        <v>0.15</v>
      </c>
      <c r="AE147" s="445">
        <v>0.14699999999999999</v>
      </c>
      <c r="AF147" s="445">
        <v>0.15</v>
      </c>
      <c r="AG147" s="445">
        <v>0.15</v>
      </c>
      <c r="AH147" s="445">
        <v>0.15</v>
      </c>
      <c r="AI147" s="446">
        <v>0.15</v>
      </c>
      <c r="AJ147" s="446">
        <v>0.15</v>
      </c>
      <c r="AK147" s="446">
        <v>0.15</v>
      </c>
      <c r="AL147" s="445">
        <v>0.15</v>
      </c>
      <c r="AM147" s="298">
        <v>7.2093431940489006E-2</v>
      </c>
      <c r="AO147" s="313">
        <f t="shared" si="21"/>
        <v>0.14699999999999999</v>
      </c>
      <c r="AP147" s="313">
        <f t="shared" si="22"/>
        <v>0.14699999999999999</v>
      </c>
      <c r="AQ147" s="316">
        <f t="shared" si="23"/>
        <v>0.14699999999999999</v>
      </c>
      <c r="AR147" s="315">
        <f t="shared" si="24"/>
        <v>40634</v>
      </c>
      <c r="AS147" s="313">
        <f t="shared" si="18"/>
        <v>0.46023633605372649</v>
      </c>
      <c r="AT147" s="313">
        <f t="shared" si="19"/>
        <v>0.46032558767725246</v>
      </c>
      <c r="AV147" s="315">
        <f t="shared" si="25"/>
        <v>40634</v>
      </c>
      <c r="AW147" s="298">
        <v>135</v>
      </c>
    </row>
    <row r="148" spans="2:49" x14ac:dyDescent="0.25">
      <c r="B148" s="303">
        <f t="shared" si="20"/>
        <v>40664</v>
      </c>
      <c r="C148" s="301">
        <v>3.1585000000000001</v>
      </c>
      <c r="D148" s="301">
        <v>0.15</v>
      </c>
      <c r="E148" s="301">
        <v>7.2522543779743001E-2</v>
      </c>
      <c r="F148" s="301">
        <v>-0.19500000000000001</v>
      </c>
      <c r="G148" s="301">
        <v>1.4999999999999999E-2</v>
      </c>
      <c r="H148" s="301">
        <v>-0.19500000000000001</v>
      </c>
      <c r="I148" s="301">
        <v>0.17299999999999999</v>
      </c>
      <c r="J148" s="301">
        <v>0.155</v>
      </c>
      <c r="K148" s="301">
        <v>-4.2500000000000003E-2</v>
      </c>
      <c r="L148" s="301">
        <v>-0.01</v>
      </c>
      <c r="M148" s="301">
        <v>0</v>
      </c>
      <c r="N148" s="301">
        <v>6.4999999999999997E-3</v>
      </c>
      <c r="O148" s="301">
        <v>1.0500000000000001E-2</v>
      </c>
      <c r="P148" s="298">
        <v>-1.7999999999999999E-2</v>
      </c>
      <c r="Q148" s="298">
        <v>-0.03</v>
      </c>
      <c r="R148" s="298">
        <v>-7.9500000000000005E-3</v>
      </c>
      <c r="S148" s="298">
        <v>-5.3499999999999999E-2</v>
      </c>
      <c r="T148" s="298">
        <v>-0.105</v>
      </c>
      <c r="U148" s="298">
        <v>0.2525</v>
      </c>
      <c r="V148" s="298">
        <v>5.0000000000000001E-3</v>
      </c>
      <c r="W148" s="298">
        <v>-0.19</v>
      </c>
      <c r="X148" s="298">
        <v>-8.9999999999999993E-3</v>
      </c>
      <c r="Y148" s="313">
        <v>0.1875</v>
      </c>
      <c r="Z148" s="313">
        <v>0</v>
      </c>
      <c r="AA148" s="445">
        <v>0.15</v>
      </c>
      <c r="AB148" s="445">
        <v>0.14699999999999999</v>
      </c>
      <c r="AC148" s="445">
        <v>0.15</v>
      </c>
      <c r="AD148" s="445">
        <v>0.15</v>
      </c>
      <c r="AE148" s="445">
        <v>0.14699999999999999</v>
      </c>
      <c r="AF148" s="445">
        <v>0.15</v>
      </c>
      <c r="AG148" s="445">
        <v>0.15</v>
      </c>
      <c r="AH148" s="445">
        <v>0.15</v>
      </c>
      <c r="AI148" s="446">
        <v>0.15</v>
      </c>
      <c r="AJ148" s="446">
        <v>0.15</v>
      </c>
      <c r="AK148" s="446">
        <v>0.15</v>
      </c>
      <c r="AL148" s="445">
        <v>0.15</v>
      </c>
      <c r="AM148" s="298">
        <v>7.2095054725174995E-2</v>
      </c>
      <c r="AO148" s="313">
        <f t="shared" si="21"/>
        <v>0.14699999999999999</v>
      </c>
      <c r="AP148" s="313">
        <f t="shared" si="22"/>
        <v>0.14699999999999999</v>
      </c>
      <c r="AQ148" s="316">
        <f t="shared" si="23"/>
        <v>0.14699999999999999</v>
      </c>
      <c r="AR148" s="315">
        <f t="shared" si="24"/>
        <v>40664</v>
      </c>
      <c r="AS148" s="313">
        <f t="shared" si="18"/>
        <v>0.45755890746287103</v>
      </c>
      <c r="AT148" s="313">
        <f t="shared" si="19"/>
        <v>0.45764764182691609</v>
      </c>
      <c r="AV148" s="315">
        <f t="shared" si="25"/>
        <v>40664</v>
      </c>
      <c r="AW148" s="298">
        <v>136</v>
      </c>
    </row>
    <row r="149" spans="2:49" x14ac:dyDescent="0.25">
      <c r="B149" s="303">
        <f t="shared" si="20"/>
        <v>40695</v>
      </c>
      <c r="C149" s="301">
        <v>3.1684999999999999</v>
      </c>
      <c r="D149" s="301">
        <v>0.15</v>
      </c>
      <c r="E149" s="301">
        <v>7.2526540857514005E-2</v>
      </c>
      <c r="F149" s="301">
        <v>-0.19500000000000001</v>
      </c>
      <c r="G149" s="301">
        <v>0.02</v>
      </c>
      <c r="H149" s="301">
        <v>-0.19500000000000001</v>
      </c>
      <c r="I149" s="301">
        <v>0.16800000000000001</v>
      </c>
      <c r="J149" s="301">
        <v>0.155</v>
      </c>
      <c r="K149" s="301">
        <v>-3.7499999999999999E-2</v>
      </c>
      <c r="L149" s="301">
        <v>-0.01</v>
      </c>
      <c r="M149" s="301">
        <v>0</v>
      </c>
      <c r="N149" s="301">
        <v>6.4999999999999997E-3</v>
      </c>
      <c r="O149" s="301">
        <v>1.0500000000000001E-2</v>
      </c>
      <c r="P149" s="298">
        <v>-1.55E-2</v>
      </c>
      <c r="Q149" s="298">
        <v>-0.03</v>
      </c>
      <c r="R149" s="298">
        <v>-7.9500000000000005E-3</v>
      </c>
      <c r="S149" s="298">
        <v>-4.5999999999999999E-2</v>
      </c>
      <c r="T149" s="298">
        <v>-0.105</v>
      </c>
      <c r="U149" s="298">
        <v>0.2525</v>
      </c>
      <c r="V149" s="298">
        <v>5.0000000000000001E-3</v>
      </c>
      <c r="W149" s="298">
        <v>-0.19</v>
      </c>
      <c r="X149" s="298">
        <v>-1.15E-2</v>
      </c>
      <c r="Y149" s="313">
        <v>0.1875</v>
      </c>
      <c r="Z149" s="313">
        <v>0</v>
      </c>
      <c r="AA149" s="445">
        <v>0.15</v>
      </c>
      <c r="AB149" s="445">
        <v>0.14699999999999999</v>
      </c>
      <c r="AC149" s="445">
        <v>0.15</v>
      </c>
      <c r="AD149" s="445">
        <v>0.15</v>
      </c>
      <c r="AE149" s="445">
        <v>0.14699999999999999</v>
      </c>
      <c r="AF149" s="445">
        <v>0.15</v>
      </c>
      <c r="AG149" s="445">
        <v>0.15</v>
      </c>
      <c r="AH149" s="445">
        <v>0.15</v>
      </c>
      <c r="AI149" s="446">
        <v>0.15</v>
      </c>
      <c r="AJ149" s="446">
        <v>0.15</v>
      </c>
      <c r="AK149" s="446">
        <v>0.15</v>
      </c>
      <c r="AL149" s="445">
        <v>0.15</v>
      </c>
      <c r="AM149" s="298">
        <v>7.2096731602685996E-2</v>
      </c>
      <c r="AO149" s="313">
        <f t="shared" si="21"/>
        <v>0.14699999999999999</v>
      </c>
      <c r="AP149" s="313">
        <f t="shared" si="22"/>
        <v>0.14699999999999999</v>
      </c>
      <c r="AQ149" s="316">
        <f t="shared" si="23"/>
        <v>0.14699999999999999</v>
      </c>
      <c r="AR149" s="315">
        <f t="shared" si="24"/>
        <v>40695</v>
      </c>
      <c r="AS149" s="313">
        <f t="shared" si="18"/>
        <v>0.45480847067433933</v>
      </c>
      <c r="AT149" s="313">
        <f t="shared" si="19"/>
        <v>0.45489667366217168</v>
      </c>
      <c r="AV149" s="315">
        <f t="shared" si="25"/>
        <v>40695</v>
      </c>
      <c r="AW149" s="298">
        <v>137</v>
      </c>
    </row>
    <row r="150" spans="2:49" x14ac:dyDescent="0.25">
      <c r="B150" s="303">
        <f t="shared" si="20"/>
        <v>40725</v>
      </c>
      <c r="C150" s="301">
        <v>3.1684999999999999</v>
      </c>
      <c r="D150" s="301">
        <v>0.15</v>
      </c>
      <c r="E150" s="301">
        <v>7.2530408997297E-2</v>
      </c>
      <c r="F150" s="301">
        <v>-0.19500000000000001</v>
      </c>
      <c r="G150" s="301">
        <v>2.2499999999999999E-2</v>
      </c>
      <c r="H150" s="301">
        <v>-0.19500000000000001</v>
      </c>
      <c r="I150" s="301">
        <v>0.157</v>
      </c>
      <c r="J150" s="301">
        <v>0.155</v>
      </c>
      <c r="K150" s="301">
        <v>-3.7499999999999999E-2</v>
      </c>
      <c r="L150" s="301">
        <v>-0.01</v>
      </c>
      <c r="M150" s="301">
        <v>0</v>
      </c>
      <c r="N150" s="301">
        <v>6.4999999999999997E-3</v>
      </c>
      <c r="O150" s="301">
        <v>1.0500000000000001E-2</v>
      </c>
      <c r="P150" s="298">
        <v>-1.55E-2</v>
      </c>
      <c r="Q150" s="298">
        <v>-0.03</v>
      </c>
      <c r="R150" s="298">
        <v>-7.9500000000000005E-3</v>
      </c>
      <c r="S150" s="298">
        <v>-4.5999999999999999E-2</v>
      </c>
      <c r="T150" s="298">
        <v>-0.105</v>
      </c>
      <c r="U150" s="298">
        <v>0.25750000000000001</v>
      </c>
      <c r="V150" s="298">
        <v>5.0000000000000001E-3</v>
      </c>
      <c r="W150" s="298">
        <v>-0.19</v>
      </c>
      <c r="X150" s="298">
        <v>-1.15E-2</v>
      </c>
      <c r="Y150" s="313">
        <v>0.1875</v>
      </c>
      <c r="Z150" s="313">
        <v>0</v>
      </c>
      <c r="AA150" s="445">
        <v>0.15</v>
      </c>
      <c r="AB150" s="445">
        <v>0.14699999999999999</v>
      </c>
      <c r="AC150" s="445">
        <v>0.15</v>
      </c>
      <c r="AD150" s="445">
        <v>0.15</v>
      </c>
      <c r="AE150" s="445">
        <v>0.14699999999999999</v>
      </c>
      <c r="AF150" s="445">
        <v>0.15</v>
      </c>
      <c r="AG150" s="445">
        <v>0.15</v>
      </c>
      <c r="AH150" s="445">
        <v>0.15</v>
      </c>
      <c r="AI150" s="446">
        <v>0.15</v>
      </c>
      <c r="AJ150" s="446">
        <v>0.15</v>
      </c>
      <c r="AK150" s="446">
        <v>0.15</v>
      </c>
      <c r="AL150" s="445">
        <v>0.15</v>
      </c>
      <c r="AM150" s="298">
        <v>7.2098354387373997E-2</v>
      </c>
      <c r="AO150" s="313">
        <f t="shared" si="21"/>
        <v>0.14699999999999999</v>
      </c>
      <c r="AP150" s="313">
        <f t="shared" si="22"/>
        <v>0.14699999999999999</v>
      </c>
      <c r="AQ150" s="316">
        <f t="shared" si="23"/>
        <v>0.14699999999999999</v>
      </c>
      <c r="AR150" s="315">
        <f t="shared" si="24"/>
        <v>40725</v>
      </c>
      <c r="AS150" s="313">
        <f t="shared" si="18"/>
        <v>0.45216238218440807</v>
      </c>
      <c r="AT150" s="313">
        <f t="shared" si="19"/>
        <v>0.45225007394418115</v>
      </c>
      <c r="AV150" s="315">
        <f t="shared" si="25"/>
        <v>40725</v>
      </c>
      <c r="AW150" s="298">
        <v>138</v>
      </c>
    </row>
    <row r="151" spans="2:49" x14ac:dyDescent="0.25">
      <c r="B151" s="303">
        <f t="shared" si="20"/>
        <v>40756</v>
      </c>
      <c r="C151" s="301">
        <v>3.1715</v>
      </c>
      <c r="D151" s="301">
        <v>0.15</v>
      </c>
      <c r="E151" s="301">
        <v>7.2534406075077995E-2</v>
      </c>
      <c r="F151" s="301">
        <v>-0.19500000000000001</v>
      </c>
      <c r="G151" s="301">
        <v>2.5000000000000001E-2</v>
      </c>
      <c r="H151" s="301">
        <v>-0.19500000000000001</v>
      </c>
      <c r="I151" s="301">
        <v>0.155</v>
      </c>
      <c r="J151" s="301">
        <v>0.155</v>
      </c>
      <c r="K151" s="301">
        <v>-3.7499999999999999E-2</v>
      </c>
      <c r="L151" s="301">
        <v>-0.01</v>
      </c>
      <c r="M151" s="301">
        <v>0</v>
      </c>
      <c r="N151" s="301">
        <v>6.4999999999999997E-3</v>
      </c>
      <c r="O151" s="301">
        <v>1.0500000000000001E-2</v>
      </c>
      <c r="P151" s="298">
        <v>-1.55E-2</v>
      </c>
      <c r="Q151" s="298">
        <v>-0.03</v>
      </c>
      <c r="R151" s="298">
        <v>-5.2500000000000003E-3</v>
      </c>
      <c r="S151" s="298">
        <v>-4.5999999999999999E-2</v>
      </c>
      <c r="T151" s="298">
        <v>-0.105</v>
      </c>
      <c r="U151" s="298">
        <v>0.25750000000000001</v>
      </c>
      <c r="V151" s="298">
        <v>5.0000000000000001E-3</v>
      </c>
      <c r="W151" s="298">
        <v>-0.19</v>
      </c>
      <c r="X151" s="298">
        <v>-1.15E-2</v>
      </c>
      <c r="Y151" s="313">
        <v>0.1875</v>
      </c>
      <c r="Z151" s="313">
        <v>0</v>
      </c>
      <c r="AA151" s="445">
        <v>0.15</v>
      </c>
      <c r="AB151" s="445">
        <v>0.14699999999999999</v>
      </c>
      <c r="AC151" s="445">
        <v>0.15</v>
      </c>
      <c r="AD151" s="445">
        <v>0.15</v>
      </c>
      <c r="AE151" s="445">
        <v>0.14699999999999999</v>
      </c>
      <c r="AF151" s="445">
        <v>0.15</v>
      </c>
      <c r="AG151" s="445">
        <v>0.15</v>
      </c>
      <c r="AH151" s="445">
        <v>0.15</v>
      </c>
      <c r="AI151" s="446">
        <v>0.15</v>
      </c>
      <c r="AJ151" s="446">
        <v>0.15</v>
      </c>
      <c r="AK151" s="446">
        <v>0.15</v>
      </c>
      <c r="AL151" s="445">
        <v>0.15</v>
      </c>
      <c r="AM151" s="298">
        <v>7.2100031264885997E-2</v>
      </c>
      <c r="AO151" s="313">
        <f t="shared" si="21"/>
        <v>0.14699999999999999</v>
      </c>
      <c r="AP151" s="313">
        <f t="shared" si="22"/>
        <v>0.14699999999999999</v>
      </c>
      <c r="AQ151" s="316">
        <f t="shared" si="23"/>
        <v>0.14699999999999999</v>
      </c>
      <c r="AR151" s="315">
        <f t="shared" si="24"/>
        <v>40756</v>
      </c>
      <c r="AS151" s="313">
        <f t="shared" si="18"/>
        <v>0.44944414153647583</v>
      </c>
      <c r="AT151" s="313">
        <f t="shared" si="19"/>
        <v>0.44953130811634595</v>
      </c>
      <c r="AV151" s="315">
        <f t="shared" si="25"/>
        <v>40756</v>
      </c>
      <c r="AW151" s="298">
        <v>139</v>
      </c>
    </row>
    <row r="152" spans="2:49" x14ac:dyDescent="0.25">
      <c r="B152" s="303">
        <f t="shared" si="20"/>
        <v>40787</v>
      </c>
      <c r="C152" s="301">
        <v>3.1675</v>
      </c>
      <c r="D152" s="301">
        <v>0.15</v>
      </c>
      <c r="E152" s="301">
        <v>7.2538403152864001E-2</v>
      </c>
      <c r="F152" s="301">
        <v>-0.19500000000000001</v>
      </c>
      <c r="G152" s="301">
        <v>1.7500000000000002E-2</v>
      </c>
      <c r="H152" s="301">
        <v>-0.19500000000000001</v>
      </c>
      <c r="I152" s="301">
        <v>0.152</v>
      </c>
      <c r="J152" s="301">
        <v>0.155</v>
      </c>
      <c r="K152" s="301">
        <v>-0.04</v>
      </c>
      <c r="L152" s="301">
        <v>-0.01</v>
      </c>
      <c r="M152" s="301">
        <v>0</v>
      </c>
      <c r="N152" s="301">
        <v>6.4999999999999997E-3</v>
      </c>
      <c r="O152" s="301">
        <v>1.0500000000000001E-2</v>
      </c>
      <c r="P152" s="298">
        <v>-1.55E-2</v>
      </c>
      <c r="Q152" s="298">
        <v>-0.03</v>
      </c>
      <c r="R152" s="298">
        <v>-5.2500000000000003E-3</v>
      </c>
      <c r="S152" s="298">
        <v>-5.0999999999999997E-2</v>
      </c>
      <c r="T152" s="298">
        <v>-0.105</v>
      </c>
      <c r="U152" s="298">
        <v>0.2525</v>
      </c>
      <c r="V152" s="298">
        <v>5.0000000000000001E-3</v>
      </c>
      <c r="W152" s="298">
        <v>-0.19</v>
      </c>
      <c r="X152" s="298">
        <v>-1.4E-2</v>
      </c>
      <c r="Y152" s="313">
        <v>0.1875</v>
      </c>
      <c r="Z152" s="313">
        <v>0</v>
      </c>
      <c r="AA152" s="445">
        <v>0.15</v>
      </c>
      <c r="AB152" s="445">
        <v>0.14699999999999999</v>
      </c>
      <c r="AC152" s="445">
        <v>0.15</v>
      </c>
      <c r="AD152" s="445">
        <v>0.15</v>
      </c>
      <c r="AE152" s="445">
        <v>0.14699999999999999</v>
      </c>
      <c r="AF152" s="445">
        <v>0.15</v>
      </c>
      <c r="AG152" s="445">
        <v>0.15</v>
      </c>
      <c r="AH152" s="445">
        <v>0.15</v>
      </c>
      <c r="AI152" s="446">
        <v>0.15</v>
      </c>
      <c r="AJ152" s="446">
        <v>0.15</v>
      </c>
      <c r="AK152" s="446">
        <v>0.15</v>
      </c>
      <c r="AL152" s="445">
        <v>0.15</v>
      </c>
      <c r="AM152" s="298">
        <v>7.2101708142398996E-2</v>
      </c>
      <c r="AO152" s="313">
        <f t="shared" si="21"/>
        <v>0.14699999999999999</v>
      </c>
      <c r="AP152" s="313">
        <f t="shared" si="22"/>
        <v>0.14699999999999999</v>
      </c>
      <c r="AQ152" s="316">
        <f t="shared" si="23"/>
        <v>0.14699999999999999</v>
      </c>
      <c r="AR152" s="315">
        <f t="shared" si="24"/>
        <v>40787</v>
      </c>
      <c r="AS152" s="313">
        <f t="shared" si="18"/>
        <v>0.44674211926049973</v>
      </c>
      <c r="AT152" s="313">
        <f t="shared" si="19"/>
        <v>0.44682876378188285</v>
      </c>
      <c r="AV152" s="315">
        <f t="shared" si="25"/>
        <v>40787</v>
      </c>
      <c r="AW152" s="298">
        <v>140</v>
      </c>
    </row>
    <row r="153" spans="2:49" x14ac:dyDescent="0.25">
      <c r="B153" s="303">
        <f t="shared" si="20"/>
        <v>40817</v>
      </c>
      <c r="C153" s="301">
        <v>3.1865000000000001</v>
      </c>
      <c r="D153" s="301">
        <v>0.15</v>
      </c>
      <c r="E153" s="301">
        <v>7.2542271292661997E-2</v>
      </c>
      <c r="F153" s="301">
        <v>-0.19500000000000001</v>
      </c>
      <c r="G153" s="301">
        <v>7.4999999999999997E-3</v>
      </c>
      <c r="H153" s="301">
        <v>-0.19500000000000001</v>
      </c>
      <c r="I153" s="301">
        <v>0.16800000000000001</v>
      </c>
      <c r="J153" s="301">
        <v>0.1575</v>
      </c>
      <c r="K153" s="301">
        <v>-0.04</v>
      </c>
      <c r="L153" s="301">
        <v>-0.01</v>
      </c>
      <c r="M153" s="301">
        <v>0</v>
      </c>
      <c r="N153" s="301">
        <v>6.4999999999999997E-3</v>
      </c>
      <c r="O153" s="301">
        <v>1.0500000000000001E-2</v>
      </c>
      <c r="P153" s="298">
        <v>-1.55E-2</v>
      </c>
      <c r="Q153" s="298">
        <v>-0.03</v>
      </c>
      <c r="R153" s="298">
        <v>-2.5999999999999999E-2</v>
      </c>
      <c r="S153" s="298">
        <v>-5.0999999999999997E-2</v>
      </c>
      <c r="T153" s="298">
        <v>-0.105</v>
      </c>
      <c r="U153" s="298">
        <v>0.255</v>
      </c>
      <c r="V153" s="298">
        <v>5.0000000000000001E-3</v>
      </c>
      <c r="W153" s="298">
        <v>-0.19</v>
      </c>
      <c r="X153" s="298">
        <v>-1.4E-2</v>
      </c>
      <c r="Y153" s="313">
        <v>0.1875</v>
      </c>
      <c r="Z153" s="313">
        <v>0</v>
      </c>
      <c r="AA153" s="445">
        <v>0.15</v>
      </c>
      <c r="AB153" s="445">
        <v>0.14699999999999999</v>
      </c>
      <c r="AC153" s="445">
        <v>0.15</v>
      </c>
      <c r="AD153" s="445">
        <v>0.15</v>
      </c>
      <c r="AE153" s="445">
        <v>0.14699999999999999</v>
      </c>
      <c r="AF153" s="445">
        <v>0.15</v>
      </c>
      <c r="AG153" s="445">
        <v>0.15</v>
      </c>
      <c r="AH153" s="445">
        <v>0.15</v>
      </c>
      <c r="AI153" s="446">
        <v>0.15</v>
      </c>
      <c r="AJ153" s="446">
        <v>0.15</v>
      </c>
      <c r="AK153" s="446">
        <v>0.15</v>
      </c>
      <c r="AL153" s="445">
        <v>0.15</v>
      </c>
      <c r="AM153" s="298">
        <v>7.2103330927089995E-2</v>
      </c>
      <c r="AO153" s="313">
        <f t="shared" si="21"/>
        <v>0.14699999999999999</v>
      </c>
      <c r="AP153" s="313">
        <f t="shared" si="22"/>
        <v>0.14699999999999999</v>
      </c>
      <c r="AQ153" s="316">
        <f t="shared" si="23"/>
        <v>0.14699999999999999</v>
      </c>
      <c r="AR153" s="315">
        <f t="shared" si="24"/>
        <v>40817</v>
      </c>
      <c r="AS153" s="313">
        <f t="shared" si="18"/>
        <v>0.44414261059560389</v>
      </c>
      <c r="AT153" s="313">
        <f t="shared" si="19"/>
        <v>0.44422875285376057</v>
      </c>
      <c r="AV153" s="315">
        <f t="shared" si="25"/>
        <v>40817</v>
      </c>
      <c r="AW153" s="298">
        <v>141</v>
      </c>
    </row>
    <row r="154" spans="2:49" x14ac:dyDescent="0.25">
      <c r="B154" s="303">
        <f t="shared" si="20"/>
        <v>40848</v>
      </c>
      <c r="C154" s="301">
        <v>3.2795000000000001</v>
      </c>
      <c r="D154" s="301">
        <v>0.15</v>
      </c>
      <c r="E154" s="301">
        <v>7.2546268370458994E-2</v>
      </c>
      <c r="F154" s="301">
        <v>-0.19</v>
      </c>
      <c r="G154" s="301">
        <v>-3.2500000000000001E-2</v>
      </c>
      <c r="H154" s="301">
        <v>-0.19</v>
      </c>
      <c r="I154" s="301">
        <v>0.245</v>
      </c>
      <c r="J154" s="301">
        <v>0.24</v>
      </c>
      <c r="K154" s="301">
        <v>-4.65E-2</v>
      </c>
      <c r="L154" s="301">
        <v>-7.4999999999999997E-3</v>
      </c>
      <c r="M154" s="301">
        <v>0</v>
      </c>
      <c r="N154" s="301">
        <v>1.0999999999999999E-2</v>
      </c>
      <c r="O154" s="301">
        <v>1.4999999999999999E-2</v>
      </c>
      <c r="P154" s="298">
        <v>-1.8499999999999999E-2</v>
      </c>
      <c r="Q154" s="298">
        <v>-0.03</v>
      </c>
      <c r="R154" s="298">
        <v>-2.5000000000000001E-2</v>
      </c>
      <c r="S154" s="298">
        <v>-6.6000000000000003E-2</v>
      </c>
      <c r="T154" s="298">
        <v>-0.14499999999999999</v>
      </c>
      <c r="U154" s="298">
        <v>0.72499999999999998</v>
      </c>
      <c r="V154" s="298">
        <v>5.0000000000000001E-3</v>
      </c>
      <c r="W154" s="298">
        <v>-0.19</v>
      </c>
      <c r="X154" s="298">
        <v>-1.15E-2</v>
      </c>
      <c r="Y154" s="313">
        <v>0.1</v>
      </c>
      <c r="Z154" s="313">
        <v>0</v>
      </c>
      <c r="AA154" s="445">
        <v>0.15</v>
      </c>
      <c r="AB154" s="445">
        <v>0.16500000000000001</v>
      </c>
      <c r="AC154" s="445">
        <v>0.15</v>
      </c>
      <c r="AD154" s="445">
        <v>0.15</v>
      </c>
      <c r="AE154" s="445">
        <v>0.15</v>
      </c>
      <c r="AF154" s="445">
        <v>0.15</v>
      </c>
      <c r="AG154" s="445">
        <v>0.15</v>
      </c>
      <c r="AH154" s="445">
        <v>0.15</v>
      </c>
      <c r="AI154" s="446">
        <v>0.15</v>
      </c>
      <c r="AJ154" s="446">
        <v>0.15</v>
      </c>
      <c r="AK154" s="446">
        <v>0.15</v>
      </c>
      <c r="AL154" s="445">
        <v>0.15</v>
      </c>
      <c r="AM154" s="298">
        <v>7.2105007804605006E-2</v>
      </c>
      <c r="AO154" s="313">
        <f t="shared" si="21"/>
        <v>0.16500000000000001</v>
      </c>
      <c r="AP154" s="313">
        <f t="shared" si="22"/>
        <v>0.16500000000000001</v>
      </c>
      <c r="AQ154" s="316">
        <f t="shared" si="23"/>
        <v>0.16500000000000001</v>
      </c>
      <c r="AR154" s="315">
        <f t="shared" si="24"/>
        <v>40848</v>
      </c>
      <c r="AS154" s="313">
        <f t="shared" si="18"/>
        <v>0.44147222204566583</v>
      </c>
      <c r="AT154" s="313">
        <f t="shared" si="19"/>
        <v>0.44155784833382833</v>
      </c>
      <c r="AV154" s="315">
        <f t="shared" si="25"/>
        <v>40848</v>
      </c>
      <c r="AW154" s="298">
        <v>142</v>
      </c>
    </row>
    <row r="155" spans="2:49" x14ac:dyDescent="0.25">
      <c r="B155" s="303">
        <f t="shared" si="20"/>
        <v>40878</v>
      </c>
      <c r="C155" s="301">
        <v>3.3784999999999998</v>
      </c>
      <c r="D155" s="301">
        <v>0.15</v>
      </c>
      <c r="E155" s="301">
        <v>7.2550136510266997E-2</v>
      </c>
      <c r="F155" s="301">
        <v>-0.19750000000000001</v>
      </c>
      <c r="G155" s="301">
        <v>-5.5E-2</v>
      </c>
      <c r="H155" s="301">
        <v>-0.19750000000000001</v>
      </c>
      <c r="I155" s="301">
        <v>0.28499999999999998</v>
      </c>
      <c r="J155" s="301">
        <v>0.29499999999999998</v>
      </c>
      <c r="K155" s="301">
        <v>-4.65E-2</v>
      </c>
      <c r="L155" s="301">
        <v>-7.4999999999999997E-3</v>
      </c>
      <c r="M155" s="301">
        <v>0</v>
      </c>
      <c r="N155" s="301">
        <v>1.0999999999999999E-2</v>
      </c>
      <c r="O155" s="301">
        <v>1.4999999999999999E-2</v>
      </c>
      <c r="P155" s="298">
        <v>-1.8499999999999999E-2</v>
      </c>
      <c r="Q155" s="298">
        <v>-0.03</v>
      </c>
      <c r="R155" s="298">
        <v>-2.5000000000000001E-2</v>
      </c>
      <c r="S155" s="298">
        <v>-8.1000000000000003E-2</v>
      </c>
      <c r="T155" s="298">
        <v>-0.14499999999999999</v>
      </c>
      <c r="U155" s="298">
        <v>1.0449999999999999</v>
      </c>
      <c r="V155" s="298">
        <v>5.0000000000000001E-3</v>
      </c>
      <c r="W155" s="298">
        <v>-0.19</v>
      </c>
      <c r="X155" s="298">
        <v>-1.15E-2</v>
      </c>
      <c r="Y155" s="313">
        <v>0.1</v>
      </c>
      <c r="Z155" s="313">
        <v>0</v>
      </c>
      <c r="AA155" s="445">
        <v>0.15</v>
      </c>
      <c r="AB155" s="445">
        <v>0.16500000000000001</v>
      </c>
      <c r="AC155" s="445">
        <v>0.15</v>
      </c>
      <c r="AD155" s="445">
        <v>0.15</v>
      </c>
      <c r="AE155" s="445">
        <v>0.15</v>
      </c>
      <c r="AF155" s="445">
        <v>0.15</v>
      </c>
      <c r="AG155" s="445">
        <v>0.15</v>
      </c>
      <c r="AH155" s="445">
        <v>0.15</v>
      </c>
      <c r="AI155" s="446">
        <v>0.15</v>
      </c>
      <c r="AJ155" s="446">
        <v>0.15</v>
      </c>
      <c r="AK155" s="446">
        <v>0.15</v>
      </c>
      <c r="AL155" s="445">
        <v>0.15</v>
      </c>
      <c r="AM155" s="298">
        <v>7.2106630589297005E-2</v>
      </c>
      <c r="AO155" s="313">
        <f t="shared" si="21"/>
        <v>0.16500000000000001</v>
      </c>
      <c r="AP155" s="313">
        <f t="shared" si="22"/>
        <v>0.16500000000000001</v>
      </c>
      <c r="AQ155" s="316">
        <f t="shared" si="23"/>
        <v>0.16500000000000001</v>
      </c>
      <c r="AR155" s="315">
        <f t="shared" si="24"/>
        <v>40878</v>
      </c>
      <c r="AS155" s="313">
        <f t="shared" si="18"/>
        <v>0.43890314831334143</v>
      </c>
      <c r="AT155" s="313">
        <f t="shared" si="19"/>
        <v>0.43898827819617525</v>
      </c>
      <c r="AV155" s="315">
        <f t="shared" si="25"/>
        <v>40878</v>
      </c>
      <c r="AW155" s="298">
        <v>143</v>
      </c>
    </row>
    <row r="156" spans="2:49" x14ac:dyDescent="0.25">
      <c r="B156" s="303">
        <f t="shared" si="20"/>
        <v>40909</v>
      </c>
      <c r="C156" s="301">
        <v>3.427</v>
      </c>
      <c r="D156" s="301">
        <v>0.15</v>
      </c>
      <c r="E156" s="301">
        <v>7.2554133588074998E-2</v>
      </c>
      <c r="F156" s="301">
        <v>-0.2</v>
      </c>
      <c r="G156" s="301">
        <v>-5.7500000000000002E-2</v>
      </c>
      <c r="H156" s="301">
        <v>-0.2</v>
      </c>
      <c r="I156" s="301">
        <v>0.29499999999999998</v>
      </c>
      <c r="J156" s="301">
        <v>0.34250000000000003</v>
      </c>
      <c r="K156" s="301">
        <v>-5.0500000000000003E-2</v>
      </c>
      <c r="L156" s="301">
        <v>-5.4999999999999997E-3</v>
      </c>
      <c r="M156" s="301">
        <v>0</v>
      </c>
      <c r="N156" s="301">
        <v>1.0999999999999999E-2</v>
      </c>
      <c r="O156" s="301">
        <v>1.4999999999999999E-2</v>
      </c>
      <c r="P156" s="298">
        <v>-1.4E-2</v>
      </c>
      <c r="Q156" s="298">
        <v>-0.03</v>
      </c>
      <c r="R156" s="298">
        <v>-2.5000000000000001E-2</v>
      </c>
      <c r="S156" s="298">
        <v>-9.1499999999999998E-2</v>
      </c>
      <c r="T156" s="298">
        <v>-0.14499999999999999</v>
      </c>
      <c r="U156" s="298">
        <v>1.52</v>
      </c>
      <c r="V156" s="298">
        <v>5.0000000000000001E-3</v>
      </c>
      <c r="W156" s="298">
        <v>-0.19</v>
      </c>
      <c r="X156" s="298">
        <v>-1.15E-2</v>
      </c>
      <c r="Y156" s="313">
        <v>0.1</v>
      </c>
      <c r="Z156" s="313">
        <v>0</v>
      </c>
      <c r="AA156" s="445">
        <v>0.15</v>
      </c>
      <c r="AB156" s="445">
        <v>0.15</v>
      </c>
      <c r="AC156" s="445">
        <v>0.15</v>
      </c>
      <c r="AD156" s="445">
        <v>0.15</v>
      </c>
      <c r="AE156" s="445">
        <v>0.15</v>
      </c>
      <c r="AF156" s="445">
        <v>0.15</v>
      </c>
      <c r="AG156" s="445">
        <v>0.15</v>
      </c>
      <c r="AH156" s="445">
        <v>0.15</v>
      </c>
      <c r="AI156" s="446">
        <v>0.15</v>
      </c>
      <c r="AJ156" s="446">
        <v>0.15</v>
      </c>
      <c r="AK156" s="446">
        <v>0.15</v>
      </c>
      <c r="AL156" s="445">
        <v>0.15</v>
      </c>
      <c r="AM156" s="298">
        <v>7.2108307466814001E-2</v>
      </c>
      <c r="AO156" s="313">
        <f t="shared" si="21"/>
        <v>0.15</v>
      </c>
      <c r="AP156" s="313">
        <f t="shared" si="22"/>
        <v>0.15</v>
      </c>
      <c r="AQ156" s="316">
        <f t="shared" si="23"/>
        <v>0.15</v>
      </c>
      <c r="AR156" s="315">
        <f t="shared" si="24"/>
        <v>40909</v>
      </c>
      <c r="AS156" s="313">
        <f t="shared" si="18"/>
        <v>0.43626402596903591</v>
      </c>
      <c r="AT156" s="313">
        <f t="shared" si="19"/>
        <v>0.43634864589990924</v>
      </c>
      <c r="AV156" s="315">
        <f t="shared" si="25"/>
        <v>40909</v>
      </c>
      <c r="AW156" s="298">
        <v>144</v>
      </c>
    </row>
    <row r="157" spans="2:49" x14ac:dyDescent="0.25">
      <c r="B157" s="303">
        <f t="shared" si="20"/>
        <v>40940</v>
      </c>
      <c r="C157" s="301">
        <v>3.35</v>
      </c>
      <c r="D157" s="301">
        <v>0.15</v>
      </c>
      <c r="E157" s="301">
        <v>7.2558130665885998E-2</v>
      </c>
      <c r="F157" s="301">
        <v>-0.20250000000000001</v>
      </c>
      <c r="G157" s="301">
        <v>-0.04</v>
      </c>
      <c r="H157" s="301">
        <v>-0.20250000000000001</v>
      </c>
      <c r="I157" s="301">
        <v>0.27</v>
      </c>
      <c r="J157" s="301">
        <v>0.33750000000000002</v>
      </c>
      <c r="K157" s="301">
        <v>-4.65E-2</v>
      </c>
      <c r="L157" s="301">
        <v>-5.4999999999999997E-3</v>
      </c>
      <c r="M157" s="301">
        <v>0</v>
      </c>
      <c r="N157" s="301">
        <v>1.0999999999999999E-2</v>
      </c>
      <c r="O157" s="301">
        <v>1.4999999999999999E-2</v>
      </c>
      <c r="P157" s="298">
        <v>-1.4E-2</v>
      </c>
      <c r="Q157" s="298">
        <v>-0.03</v>
      </c>
      <c r="R157" s="298">
        <v>-2.5000000000000001E-2</v>
      </c>
      <c r="S157" s="298">
        <v>-7.9000000000000001E-2</v>
      </c>
      <c r="T157" s="298">
        <v>-0.14499999999999999</v>
      </c>
      <c r="U157" s="298">
        <v>1.4</v>
      </c>
      <c r="V157" s="298">
        <v>5.0000000000000001E-3</v>
      </c>
      <c r="W157" s="298">
        <v>-0.19</v>
      </c>
      <c r="X157" s="298">
        <v>-1.15E-2</v>
      </c>
      <c r="Y157" s="313">
        <v>0.1</v>
      </c>
      <c r="Z157" s="313">
        <v>0</v>
      </c>
      <c r="AA157" s="445">
        <v>0.15</v>
      </c>
      <c r="AB157" s="445">
        <v>0.16500000000000001</v>
      </c>
      <c r="AC157" s="445">
        <v>0.15</v>
      </c>
      <c r="AD157" s="445">
        <v>0.15</v>
      </c>
      <c r="AE157" s="445">
        <v>0.15</v>
      </c>
      <c r="AF157" s="445">
        <v>0.15</v>
      </c>
      <c r="AG157" s="445">
        <v>0.15</v>
      </c>
      <c r="AH157" s="445">
        <v>0.15</v>
      </c>
      <c r="AI157" s="446">
        <v>0.15</v>
      </c>
      <c r="AJ157" s="446">
        <v>0.15</v>
      </c>
      <c r="AK157" s="446">
        <v>0.15</v>
      </c>
      <c r="AL157" s="445">
        <v>0.15</v>
      </c>
      <c r="AM157" s="298">
        <v>7.2109984344330996E-2</v>
      </c>
      <c r="AO157" s="313">
        <f t="shared" si="21"/>
        <v>0.16500000000000001</v>
      </c>
      <c r="AP157" s="313">
        <f t="shared" si="22"/>
        <v>0.16500000000000001</v>
      </c>
      <c r="AQ157" s="316">
        <f t="shared" si="23"/>
        <v>0.16500000000000001</v>
      </c>
      <c r="AR157" s="315">
        <f t="shared" si="24"/>
        <v>40940</v>
      </c>
      <c r="AS157" s="313">
        <f t="shared" si="18"/>
        <v>0.43364065352226067</v>
      </c>
      <c r="AT157" s="313">
        <f t="shared" si="19"/>
        <v>0.43372476653277586</v>
      </c>
      <c r="AV157" s="315">
        <f t="shared" si="25"/>
        <v>40940</v>
      </c>
      <c r="AW157" s="298">
        <v>145</v>
      </c>
    </row>
    <row r="158" spans="2:49" x14ac:dyDescent="0.25">
      <c r="B158" s="303">
        <f t="shared" si="20"/>
        <v>40969</v>
      </c>
      <c r="C158" s="301">
        <v>3.262</v>
      </c>
      <c r="D158" s="301">
        <v>0.15</v>
      </c>
      <c r="E158" s="301">
        <v>7.2561869867715997E-2</v>
      </c>
      <c r="F158" s="301">
        <v>-0.20499999999999999</v>
      </c>
      <c r="G158" s="301">
        <v>-2.75E-2</v>
      </c>
      <c r="H158" s="301">
        <v>-0.20499999999999999</v>
      </c>
      <c r="I158" s="301">
        <v>0.26700000000000002</v>
      </c>
      <c r="J158" s="301">
        <v>0.26</v>
      </c>
      <c r="K158" s="301">
        <v>-4.8000000000000001E-2</v>
      </c>
      <c r="L158" s="301">
        <v>-5.4999999999999997E-3</v>
      </c>
      <c r="M158" s="301">
        <v>0</v>
      </c>
      <c r="N158" s="301">
        <v>1.0999999999999999E-2</v>
      </c>
      <c r="O158" s="301">
        <v>1.4999999999999999E-2</v>
      </c>
      <c r="P158" s="298">
        <v>-1.4E-2</v>
      </c>
      <c r="Q158" s="298">
        <v>-0.03</v>
      </c>
      <c r="R158" s="298">
        <v>-6.7000000000000002E-3</v>
      </c>
      <c r="S158" s="298">
        <v>-6.6500000000000004E-2</v>
      </c>
      <c r="T158" s="298">
        <v>-0.14499999999999999</v>
      </c>
      <c r="U158" s="298">
        <v>0.88</v>
      </c>
      <c r="V158" s="298">
        <v>5.0000000000000001E-3</v>
      </c>
      <c r="W158" s="298">
        <v>-0.19</v>
      </c>
      <c r="X158" s="298">
        <v>-1.15E-2</v>
      </c>
      <c r="Y158" s="313">
        <v>0.1</v>
      </c>
      <c r="Z158" s="313">
        <v>0</v>
      </c>
      <c r="AA158" s="445">
        <v>0.15</v>
      </c>
      <c r="AB158" s="445">
        <v>0.16500000000000001</v>
      </c>
      <c r="AC158" s="445">
        <v>0.15</v>
      </c>
      <c r="AD158" s="445">
        <v>0.15</v>
      </c>
      <c r="AE158" s="445">
        <v>0.15</v>
      </c>
      <c r="AF158" s="445">
        <v>0.15</v>
      </c>
      <c r="AG158" s="445">
        <v>0.15</v>
      </c>
      <c r="AH158" s="445">
        <v>0.15</v>
      </c>
      <c r="AI158" s="446">
        <v>0.15</v>
      </c>
      <c r="AJ158" s="446">
        <v>0.15</v>
      </c>
      <c r="AK158" s="446">
        <v>0.15</v>
      </c>
      <c r="AL158" s="445">
        <v>0.15</v>
      </c>
      <c r="AM158" s="298">
        <v>7.2111553036204007E-2</v>
      </c>
      <c r="AO158" s="313">
        <f t="shared" si="21"/>
        <v>0.16500000000000001</v>
      </c>
      <c r="AP158" s="313">
        <f t="shared" si="22"/>
        <v>0.16500000000000001</v>
      </c>
      <c r="AQ158" s="316">
        <f t="shared" si="23"/>
        <v>0.16500000000000001</v>
      </c>
      <c r="AR158" s="315">
        <f t="shared" si="24"/>
        <v>40969</v>
      </c>
      <c r="AS158" s="313">
        <f t="shared" si="18"/>
        <v>0.43120070677183692</v>
      </c>
      <c r="AT158" s="313">
        <f t="shared" si="19"/>
        <v>0.43128434829522144</v>
      </c>
      <c r="AV158" s="315">
        <f t="shared" si="25"/>
        <v>40969</v>
      </c>
      <c r="AW158" s="298">
        <v>146</v>
      </c>
    </row>
    <row r="159" spans="2:49" x14ac:dyDescent="0.25">
      <c r="B159" s="303">
        <f t="shared" si="20"/>
        <v>41000</v>
      </c>
      <c r="C159" s="301">
        <v>3.1890000000000001</v>
      </c>
      <c r="D159" s="301">
        <v>0.15</v>
      </c>
      <c r="E159" s="301">
        <v>7.2565866945538002E-2</v>
      </c>
      <c r="F159" s="301">
        <v>-0.19500000000000001</v>
      </c>
      <c r="G159" s="301">
        <v>1.4999999999999999E-2</v>
      </c>
      <c r="H159" s="301">
        <v>-0.19500000000000001</v>
      </c>
      <c r="I159" s="301">
        <v>0.16500000000000001</v>
      </c>
      <c r="J159" s="301">
        <v>0.17</v>
      </c>
      <c r="K159" s="301">
        <v>-5.8000000000000003E-2</v>
      </c>
      <c r="L159" s="301">
        <v>-8.0000000000000002E-3</v>
      </c>
      <c r="M159" s="301">
        <v>0</v>
      </c>
      <c r="N159" s="301">
        <v>6.4999999999999997E-3</v>
      </c>
      <c r="O159" s="301">
        <v>1.2500000000000001E-2</v>
      </c>
      <c r="P159" s="298">
        <v>-1.6E-2</v>
      </c>
      <c r="Q159" s="298">
        <v>-0.03</v>
      </c>
      <c r="R159" s="298">
        <v>-6.7000000000000002E-3</v>
      </c>
      <c r="S159" s="298">
        <v>-4.9000000000000002E-2</v>
      </c>
      <c r="T159" s="298">
        <v>-0.105</v>
      </c>
      <c r="U159" s="298">
        <v>0.37</v>
      </c>
      <c r="V159" s="298">
        <v>5.0000000000000001E-3</v>
      </c>
      <c r="W159" s="298">
        <v>-0.19</v>
      </c>
      <c r="X159" s="298">
        <v>-1.15E-2</v>
      </c>
      <c r="Y159" s="313">
        <v>0.1875</v>
      </c>
      <c r="Z159" s="313">
        <v>0</v>
      </c>
      <c r="AA159" s="445">
        <v>0.15</v>
      </c>
      <c r="AB159" s="445">
        <v>0.14699999999999999</v>
      </c>
      <c r="AC159" s="445">
        <v>0.15</v>
      </c>
      <c r="AD159" s="445">
        <v>0.15</v>
      </c>
      <c r="AE159" s="445">
        <v>0.14699999999999999</v>
      </c>
      <c r="AF159" s="445">
        <v>0.15</v>
      </c>
      <c r="AG159" s="445">
        <v>0.15</v>
      </c>
      <c r="AH159" s="445">
        <v>0.15</v>
      </c>
      <c r="AI159" s="446">
        <v>0.15</v>
      </c>
      <c r="AJ159" s="446">
        <v>0.15</v>
      </c>
      <c r="AK159" s="446">
        <v>0.15</v>
      </c>
      <c r="AL159" s="445">
        <v>0.15</v>
      </c>
      <c r="AM159" s="298">
        <v>7.2113229913723001E-2</v>
      </c>
      <c r="AO159" s="313">
        <f t="shared" si="21"/>
        <v>0.14699999999999999</v>
      </c>
      <c r="AP159" s="313">
        <f t="shared" si="22"/>
        <v>0.14699999999999999</v>
      </c>
      <c r="AQ159" s="316">
        <f t="shared" si="23"/>
        <v>0.14699999999999999</v>
      </c>
      <c r="AR159" s="315">
        <f t="shared" si="24"/>
        <v>41000</v>
      </c>
      <c r="AS159" s="313">
        <f t="shared" si="18"/>
        <v>0.42860755351939561</v>
      </c>
      <c r="AT159" s="313">
        <f t="shared" si="19"/>
        <v>0.42869069393933146</v>
      </c>
      <c r="AV159" s="315">
        <f t="shared" si="25"/>
        <v>41000</v>
      </c>
      <c r="AW159" s="298">
        <v>147</v>
      </c>
    </row>
    <row r="160" spans="2:49" x14ac:dyDescent="0.25">
      <c r="B160" s="303">
        <f t="shared" si="20"/>
        <v>41030</v>
      </c>
      <c r="C160" s="301">
        <v>3.2290000000000001</v>
      </c>
      <c r="D160" s="301">
        <v>0.15</v>
      </c>
      <c r="E160" s="301">
        <v>7.2569735085371997E-2</v>
      </c>
      <c r="F160" s="301">
        <v>-0.19500000000000001</v>
      </c>
      <c r="G160" s="301">
        <v>1.4999999999999999E-2</v>
      </c>
      <c r="H160" s="301">
        <v>-0.19500000000000001</v>
      </c>
      <c r="I160" s="301">
        <v>0.16800000000000001</v>
      </c>
      <c r="J160" s="301">
        <v>0.155</v>
      </c>
      <c r="K160" s="301">
        <v>-4.0500000000000001E-2</v>
      </c>
      <c r="L160" s="301">
        <v>-8.0000000000000002E-3</v>
      </c>
      <c r="M160" s="301">
        <v>0</v>
      </c>
      <c r="N160" s="301">
        <v>6.4999999999999997E-3</v>
      </c>
      <c r="O160" s="301">
        <v>1.2500000000000001E-2</v>
      </c>
      <c r="P160" s="298">
        <v>-1.6E-2</v>
      </c>
      <c r="Q160" s="298">
        <v>-0.03</v>
      </c>
      <c r="R160" s="298">
        <v>-6.9499999999999996E-3</v>
      </c>
      <c r="S160" s="298">
        <v>-5.1499999999999997E-2</v>
      </c>
      <c r="T160" s="298">
        <v>-0.105</v>
      </c>
      <c r="U160" s="298">
        <v>0.2525</v>
      </c>
      <c r="V160" s="298">
        <v>5.0000000000000001E-3</v>
      </c>
      <c r="W160" s="298">
        <v>-0.19</v>
      </c>
      <c r="X160" s="298">
        <v>-8.0000000000000002E-3</v>
      </c>
      <c r="Y160" s="313">
        <v>0.1875</v>
      </c>
      <c r="Z160" s="313">
        <v>0</v>
      </c>
      <c r="AA160" s="445">
        <v>0.15</v>
      </c>
      <c r="AB160" s="445">
        <v>0.14699999999999999</v>
      </c>
      <c r="AC160" s="445">
        <v>0.15</v>
      </c>
      <c r="AD160" s="445">
        <v>0.15</v>
      </c>
      <c r="AE160" s="445">
        <v>0.14699999999999999</v>
      </c>
      <c r="AF160" s="445">
        <v>0.15</v>
      </c>
      <c r="AG160" s="445">
        <v>0.15</v>
      </c>
      <c r="AH160" s="445">
        <v>0.15</v>
      </c>
      <c r="AI160" s="446">
        <v>0.15</v>
      </c>
      <c r="AJ160" s="446">
        <v>0.15</v>
      </c>
      <c r="AK160" s="446">
        <v>0.15</v>
      </c>
      <c r="AL160" s="445">
        <v>0.15</v>
      </c>
      <c r="AM160" s="298">
        <v>7.2114852698419996E-2</v>
      </c>
      <c r="AO160" s="313">
        <f t="shared" si="21"/>
        <v>0.14699999999999999</v>
      </c>
      <c r="AP160" s="313">
        <f t="shared" si="22"/>
        <v>0.14699999999999999</v>
      </c>
      <c r="AQ160" s="316">
        <f t="shared" si="23"/>
        <v>0.14699999999999999</v>
      </c>
      <c r="AR160" s="315">
        <f t="shared" si="24"/>
        <v>41030</v>
      </c>
      <c r="AS160" s="313">
        <f t="shared" si="18"/>
        <v>0.4261127881014613</v>
      </c>
      <c r="AT160" s="313">
        <f t="shared" si="19"/>
        <v>0.42619544641954632</v>
      </c>
      <c r="AV160" s="315">
        <f t="shared" si="25"/>
        <v>41030</v>
      </c>
      <c r="AW160" s="298">
        <v>148</v>
      </c>
    </row>
    <row r="161" spans="2:49" x14ac:dyDescent="0.25">
      <c r="B161" s="303">
        <f t="shared" si="20"/>
        <v>41061</v>
      </c>
      <c r="C161" s="301">
        <v>3.24</v>
      </c>
      <c r="D161" s="301">
        <v>0.15</v>
      </c>
      <c r="E161" s="301">
        <v>7.2573732163204993E-2</v>
      </c>
      <c r="F161" s="301">
        <v>-0.19500000000000001</v>
      </c>
      <c r="G161" s="301">
        <v>0.02</v>
      </c>
      <c r="H161" s="301">
        <v>-0.19500000000000001</v>
      </c>
      <c r="I161" s="301">
        <v>0.16300000000000001</v>
      </c>
      <c r="J161" s="301">
        <v>0.155</v>
      </c>
      <c r="K161" s="301">
        <v>-3.5499999999999997E-2</v>
      </c>
      <c r="L161" s="301">
        <v>-8.0000000000000002E-3</v>
      </c>
      <c r="M161" s="301">
        <v>0</v>
      </c>
      <c r="N161" s="301">
        <v>6.4999999999999997E-3</v>
      </c>
      <c r="O161" s="301">
        <v>1.2500000000000001E-2</v>
      </c>
      <c r="P161" s="298">
        <v>-1.35E-2</v>
      </c>
      <c r="Q161" s="298">
        <v>-0.03</v>
      </c>
      <c r="R161" s="298">
        <v>-6.9499999999999996E-3</v>
      </c>
      <c r="S161" s="298">
        <v>-4.3999999999999997E-2</v>
      </c>
      <c r="T161" s="298">
        <v>-0.105</v>
      </c>
      <c r="U161" s="298">
        <v>0.2525</v>
      </c>
      <c r="V161" s="298">
        <v>5.0000000000000001E-3</v>
      </c>
      <c r="W161" s="298">
        <v>-0.19</v>
      </c>
      <c r="X161" s="298">
        <v>-1.0500000000000001E-2</v>
      </c>
      <c r="Y161" s="313">
        <v>0.1875</v>
      </c>
      <c r="Z161" s="313">
        <v>0</v>
      </c>
      <c r="AA161" s="445">
        <v>0.15</v>
      </c>
      <c r="AB161" s="445">
        <v>0.14699999999999999</v>
      </c>
      <c r="AC161" s="445">
        <v>0.15</v>
      </c>
      <c r="AD161" s="445">
        <v>0.15</v>
      </c>
      <c r="AE161" s="445">
        <v>0.14699999999999999</v>
      </c>
      <c r="AF161" s="445">
        <v>0.15</v>
      </c>
      <c r="AG161" s="445">
        <v>0.15</v>
      </c>
      <c r="AH161" s="445">
        <v>0.15</v>
      </c>
      <c r="AI161" s="446">
        <v>0.15</v>
      </c>
      <c r="AJ161" s="446">
        <v>0.15</v>
      </c>
      <c r="AK161" s="446">
        <v>0.15</v>
      </c>
      <c r="AL161" s="445">
        <v>0.15</v>
      </c>
      <c r="AM161" s="298">
        <v>7.2116529575942001E-2</v>
      </c>
      <c r="AO161" s="313">
        <f t="shared" si="21"/>
        <v>0.14699999999999999</v>
      </c>
      <c r="AP161" s="313">
        <f t="shared" si="22"/>
        <v>0.14699999999999999</v>
      </c>
      <c r="AQ161" s="316">
        <f t="shared" si="23"/>
        <v>0.14699999999999999</v>
      </c>
      <c r="AR161" s="315">
        <f t="shared" si="24"/>
        <v>41061</v>
      </c>
      <c r="AS161" s="313">
        <f t="shared" si="18"/>
        <v>0.42355000359189648</v>
      </c>
      <c r="AT161" s="313">
        <f t="shared" si="19"/>
        <v>0.4236321666524957</v>
      </c>
      <c r="AV161" s="315">
        <f t="shared" si="25"/>
        <v>41061</v>
      </c>
      <c r="AW161" s="298">
        <v>149</v>
      </c>
    </row>
    <row r="162" spans="2:49" x14ac:dyDescent="0.25">
      <c r="B162" s="303">
        <f t="shared" si="20"/>
        <v>41091</v>
      </c>
      <c r="C162" s="301">
        <v>3.24</v>
      </c>
      <c r="D162" s="301">
        <v>0.15</v>
      </c>
      <c r="E162" s="301">
        <v>7.2577600303047995E-2</v>
      </c>
      <c r="F162" s="301">
        <v>-0.19500000000000001</v>
      </c>
      <c r="G162" s="301">
        <v>2.2499999999999999E-2</v>
      </c>
      <c r="H162" s="301">
        <v>-0.19500000000000001</v>
      </c>
      <c r="I162" s="301">
        <v>0.152</v>
      </c>
      <c r="J162" s="301">
        <v>0.155</v>
      </c>
      <c r="K162" s="301">
        <v>-3.5499999999999997E-2</v>
      </c>
      <c r="L162" s="301">
        <v>-8.0000000000000002E-3</v>
      </c>
      <c r="M162" s="301">
        <v>0</v>
      </c>
      <c r="N162" s="301">
        <v>6.4999999999999997E-3</v>
      </c>
      <c r="O162" s="301">
        <v>1.2500000000000001E-2</v>
      </c>
      <c r="P162" s="298">
        <v>-1.35E-2</v>
      </c>
      <c r="Q162" s="298">
        <v>-0.03</v>
      </c>
      <c r="R162" s="298">
        <v>-6.9499999999999996E-3</v>
      </c>
      <c r="S162" s="298">
        <v>-4.3999999999999997E-2</v>
      </c>
      <c r="T162" s="298">
        <v>-0.105</v>
      </c>
      <c r="U162" s="298">
        <v>0.25750000000000001</v>
      </c>
      <c r="V162" s="298">
        <v>5.0000000000000001E-3</v>
      </c>
      <c r="W162" s="298">
        <v>-0.19</v>
      </c>
      <c r="X162" s="298">
        <v>-1.0500000000000001E-2</v>
      </c>
      <c r="Y162" s="313">
        <v>0.1875</v>
      </c>
      <c r="Z162" s="313">
        <v>0</v>
      </c>
      <c r="AA162" s="445">
        <v>0.15</v>
      </c>
      <c r="AB162" s="445">
        <v>0.14699999999999999</v>
      </c>
      <c r="AC162" s="445">
        <v>0.15</v>
      </c>
      <c r="AD162" s="445">
        <v>0.15</v>
      </c>
      <c r="AE162" s="445">
        <v>0.14699999999999999</v>
      </c>
      <c r="AF162" s="445">
        <v>0.15</v>
      </c>
      <c r="AG162" s="445">
        <v>0.15</v>
      </c>
      <c r="AH162" s="445">
        <v>0.15</v>
      </c>
      <c r="AI162" s="446">
        <v>0.15</v>
      </c>
      <c r="AJ162" s="446">
        <v>0.15</v>
      </c>
      <c r="AK162" s="446">
        <v>0.15</v>
      </c>
      <c r="AL162" s="445">
        <v>0.15</v>
      </c>
      <c r="AM162" s="298">
        <v>7.2118152360639995E-2</v>
      </c>
      <c r="AO162" s="313">
        <f t="shared" si="21"/>
        <v>0.14699999999999999</v>
      </c>
      <c r="AP162" s="313">
        <f t="shared" si="22"/>
        <v>0.14699999999999999</v>
      </c>
      <c r="AQ162" s="316">
        <f t="shared" si="23"/>
        <v>0.14699999999999999</v>
      </c>
      <c r="AR162" s="315">
        <f t="shared" si="24"/>
        <v>41091</v>
      </c>
      <c r="AS162" s="313">
        <f t="shared" si="18"/>
        <v>0.42108445600612521</v>
      </c>
      <c r="AT162" s="313">
        <f t="shared" si="19"/>
        <v>0.42116614258941615</v>
      </c>
      <c r="AV162" s="315">
        <f t="shared" si="25"/>
        <v>41091</v>
      </c>
      <c r="AW162" s="298">
        <v>150</v>
      </c>
    </row>
    <row r="163" spans="2:49" x14ac:dyDescent="0.25">
      <c r="B163" s="303">
        <f t="shared" si="20"/>
        <v>41122</v>
      </c>
      <c r="C163" s="301">
        <v>3.2429999999999999</v>
      </c>
      <c r="D163" s="301">
        <v>0.15</v>
      </c>
      <c r="E163" s="301">
        <v>7.2581597380890997E-2</v>
      </c>
      <c r="F163" s="301">
        <v>-0.19500000000000001</v>
      </c>
      <c r="G163" s="301">
        <v>2.5000000000000001E-2</v>
      </c>
      <c r="H163" s="301">
        <v>-0.19500000000000001</v>
      </c>
      <c r="I163" s="301">
        <v>0.15</v>
      </c>
      <c r="J163" s="301">
        <v>0.155</v>
      </c>
      <c r="K163" s="301">
        <v>-3.5499999999999997E-2</v>
      </c>
      <c r="L163" s="301">
        <v>-8.0000000000000002E-3</v>
      </c>
      <c r="M163" s="301">
        <v>0</v>
      </c>
      <c r="N163" s="301">
        <v>6.4999999999999997E-3</v>
      </c>
      <c r="O163" s="301">
        <v>1.2500000000000001E-2</v>
      </c>
      <c r="P163" s="298">
        <v>-1.35E-2</v>
      </c>
      <c r="Q163" s="298">
        <v>-0.03</v>
      </c>
      <c r="R163" s="298">
        <v>-4.2500000000000003E-3</v>
      </c>
      <c r="S163" s="298">
        <v>-4.3999999999999997E-2</v>
      </c>
      <c r="T163" s="298">
        <v>-0.105</v>
      </c>
      <c r="U163" s="298">
        <v>0.25750000000000001</v>
      </c>
      <c r="V163" s="298">
        <v>5.0000000000000001E-3</v>
      </c>
      <c r="W163" s="298">
        <v>-0.19</v>
      </c>
      <c r="X163" s="298">
        <v>-1.0500000000000001E-2</v>
      </c>
      <c r="Y163" s="313">
        <v>0.1875</v>
      </c>
      <c r="Z163" s="313">
        <v>0</v>
      </c>
      <c r="AA163" s="445">
        <v>0.15</v>
      </c>
      <c r="AB163" s="445">
        <v>0.14699999999999999</v>
      </c>
      <c r="AC163" s="445">
        <v>0.15</v>
      </c>
      <c r="AD163" s="445">
        <v>0.15</v>
      </c>
      <c r="AE163" s="445">
        <v>0.14699999999999999</v>
      </c>
      <c r="AF163" s="445">
        <v>0.15</v>
      </c>
      <c r="AG163" s="445">
        <v>0.15</v>
      </c>
      <c r="AH163" s="445">
        <v>0.15</v>
      </c>
      <c r="AI163" s="446">
        <v>0.15</v>
      </c>
      <c r="AJ163" s="446">
        <v>0.15</v>
      </c>
      <c r="AK163" s="446">
        <v>0.15</v>
      </c>
      <c r="AL163" s="445">
        <v>0.15</v>
      </c>
      <c r="AM163" s="298">
        <v>7.2119829238163E-2</v>
      </c>
      <c r="AO163" s="313">
        <f t="shared" si="21"/>
        <v>0.14699999999999999</v>
      </c>
      <c r="AP163" s="313">
        <f t="shared" si="22"/>
        <v>0.14699999999999999</v>
      </c>
      <c r="AQ163" s="316">
        <f t="shared" si="23"/>
        <v>0.14699999999999999</v>
      </c>
      <c r="AR163" s="315">
        <f t="shared" si="24"/>
        <v>41122</v>
      </c>
      <c r="AS163" s="313">
        <f t="shared" si="18"/>
        <v>0.41855168730234793</v>
      </c>
      <c r="AT163" s="313">
        <f t="shared" si="19"/>
        <v>0.41863288440644164</v>
      </c>
      <c r="AV163" s="315">
        <f t="shared" si="25"/>
        <v>41122</v>
      </c>
      <c r="AW163" s="298">
        <v>151</v>
      </c>
    </row>
    <row r="164" spans="2:49" x14ac:dyDescent="0.25">
      <c r="B164" s="303">
        <f t="shared" si="20"/>
        <v>41153</v>
      </c>
      <c r="C164" s="301">
        <v>3.238</v>
      </c>
      <c r="D164" s="301">
        <v>0.15</v>
      </c>
      <c r="E164" s="301">
        <v>7.2585594458739994E-2</v>
      </c>
      <c r="F164" s="301">
        <v>-0.19500000000000001</v>
      </c>
      <c r="G164" s="301">
        <v>1.7500000000000002E-2</v>
      </c>
      <c r="H164" s="301">
        <v>-0.19500000000000001</v>
      </c>
      <c r="I164" s="301">
        <v>0.14699999999999999</v>
      </c>
      <c r="J164" s="301">
        <v>0.155</v>
      </c>
      <c r="K164" s="301">
        <v>-3.7999999999999999E-2</v>
      </c>
      <c r="L164" s="301">
        <v>-8.0000000000000002E-3</v>
      </c>
      <c r="M164" s="301">
        <v>0</v>
      </c>
      <c r="N164" s="301">
        <v>6.4999999999999997E-3</v>
      </c>
      <c r="O164" s="301">
        <v>1.2500000000000001E-2</v>
      </c>
      <c r="P164" s="298">
        <v>-1.35E-2</v>
      </c>
      <c r="Q164" s="298">
        <v>-0.03</v>
      </c>
      <c r="R164" s="298">
        <v>-4.2500000000000003E-3</v>
      </c>
      <c r="S164" s="298">
        <v>-4.9000000000000002E-2</v>
      </c>
      <c r="T164" s="298">
        <v>-0.105</v>
      </c>
      <c r="U164" s="298">
        <v>0.2525</v>
      </c>
      <c r="V164" s="298">
        <v>5.0000000000000001E-3</v>
      </c>
      <c r="W164" s="298">
        <v>-0.19</v>
      </c>
      <c r="X164" s="298">
        <v>-1.2999999999999999E-2</v>
      </c>
      <c r="Y164" s="313">
        <v>0.1875</v>
      </c>
      <c r="Z164" s="313">
        <v>0</v>
      </c>
      <c r="AA164" s="445">
        <v>0.15</v>
      </c>
      <c r="AB164" s="445">
        <v>0.14699999999999999</v>
      </c>
      <c r="AC164" s="445">
        <v>0.15</v>
      </c>
      <c r="AD164" s="445">
        <v>0.15</v>
      </c>
      <c r="AE164" s="445">
        <v>0.14699999999999999</v>
      </c>
      <c r="AF164" s="445">
        <v>0.15</v>
      </c>
      <c r="AG164" s="445">
        <v>0.15</v>
      </c>
      <c r="AH164" s="445">
        <v>0.15</v>
      </c>
      <c r="AI164" s="446">
        <v>0.15</v>
      </c>
      <c r="AJ164" s="446">
        <v>0.15</v>
      </c>
      <c r="AK164" s="446">
        <v>0.15</v>
      </c>
      <c r="AL164" s="445">
        <v>0.15</v>
      </c>
      <c r="AM164" s="298">
        <v>7.2121506115687004E-2</v>
      </c>
      <c r="AO164" s="313">
        <f t="shared" si="21"/>
        <v>0.14699999999999999</v>
      </c>
      <c r="AP164" s="313">
        <f t="shared" si="22"/>
        <v>0.14699999999999999</v>
      </c>
      <c r="AQ164" s="316">
        <f t="shared" si="23"/>
        <v>0.14699999999999999</v>
      </c>
      <c r="AR164" s="315">
        <f t="shared" si="24"/>
        <v>41153</v>
      </c>
      <c r="AS164" s="313">
        <f t="shared" si="18"/>
        <v>0.41603403858224991</v>
      </c>
      <c r="AT164" s="313">
        <f t="shared" si="19"/>
        <v>0.41611474911796831</v>
      </c>
      <c r="AV164" s="315">
        <f t="shared" si="25"/>
        <v>41153</v>
      </c>
      <c r="AW164" s="298">
        <v>152</v>
      </c>
    </row>
    <row r="165" spans="2:49" x14ac:dyDescent="0.25">
      <c r="B165" s="303">
        <f t="shared" si="20"/>
        <v>41183</v>
      </c>
      <c r="C165" s="301">
        <v>3.2559999999999998</v>
      </c>
      <c r="D165" s="301">
        <v>0.15</v>
      </c>
      <c r="E165" s="301">
        <v>7.2589462598598997E-2</v>
      </c>
      <c r="F165" s="301">
        <v>-0.19500000000000001</v>
      </c>
      <c r="G165" s="301">
        <v>7.4999999999999997E-3</v>
      </c>
      <c r="H165" s="301">
        <v>-0.19500000000000001</v>
      </c>
      <c r="I165" s="301">
        <v>0.16300000000000001</v>
      </c>
      <c r="J165" s="301">
        <v>0.1575</v>
      </c>
      <c r="K165" s="301">
        <v>-3.7999999999999999E-2</v>
      </c>
      <c r="L165" s="301">
        <v>-8.0000000000000002E-3</v>
      </c>
      <c r="M165" s="301">
        <v>0</v>
      </c>
      <c r="N165" s="301">
        <v>6.4999999999999997E-3</v>
      </c>
      <c r="O165" s="301">
        <v>1.2500000000000001E-2</v>
      </c>
      <c r="P165" s="298">
        <v>-1.35E-2</v>
      </c>
      <c r="Q165" s="298">
        <v>-0.03</v>
      </c>
      <c r="R165" s="298">
        <v>-2.5000000000000001E-2</v>
      </c>
      <c r="S165" s="298">
        <v>-4.9000000000000002E-2</v>
      </c>
      <c r="T165" s="298">
        <v>-0.105</v>
      </c>
      <c r="U165" s="298">
        <v>0.255</v>
      </c>
      <c r="V165" s="298">
        <v>5.0000000000000001E-3</v>
      </c>
      <c r="W165" s="298">
        <v>-0.19</v>
      </c>
      <c r="X165" s="298">
        <v>-1.2999999999999999E-2</v>
      </c>
      <c r="Y165" s="313">
        <v>0.1875</v>
      </c>
      <c r="Z165" s="313">
        <v>0</v>
      </c>
      <c r="AA165" s="445">
        <v>0.15</v>
      </c>
      <c r="AB165" s="445">
        <v>0.14699999999999999</v>
      </c>
      <c r="AC165" s="445">
        <v>0.15</v>
      </c>
      <c r="AD165" s="445">
        <v>0.15</v>
      </c>
      <c r="AE165" s="445">
        <v>0.14699999999999999</v>
      </c>
      <c r="AF165" s="445">
        <v>0.15</v>
      </c>
      <c r="AG165" s="445">
        <v>0.15</v>
      </c>
      <c r="AH165" s="445">
        <v>0.15</v>
      </c>
      <c r="AI165" s="446">
        <v>0.15</v>
      </c>
      <c r="AJ165" s="446">
        <v>0.15</v>
      </c>
      <c r="AK165" s="446">
        <v>0.15</v>
      </c>
      <c r="AL165" s="445">
        <v>0.15</v>
      </c>
      <c r="AM165" s="298">
        <v>7.2123128900388994E-2</v>
      </c>
      <c r="AO165" s="313">
        <f t="shared" si="21"/>
        <v>0.14699999999999999</v>
      </c>
      <c r="AP165" s="313">
        <f t="shared" si="22"/>
        <v>0.14699999999999999</v>
      </c>
      <c r="AQ165" s="316">
        <f t="shared" si="23"/>
        <v>0.14699999999999999</v>
      </c>
      <c r="AR165" s="315">
        <f t="shared" si="24"/>
        <v>41183</v>
      </c>
      <c r="AS165" s="313">
        <f t="shared" si="18"/>
        <v>0.4136119162061731</v>
      </c>
      <c r="AT165" s="313">
        <f t="shared" si="19"/>
        <v>0.41369215862458153</v>
      </c>
      <c r="AV165" s="315">
        <f t="shared" si="25"/>
        <v>41183</v>
      </c>
      <c r="AW165" s="298">
        <v>153</v>
      </c>
    </row>
    <row r="166" spans="2:49" x14ac:dyDescent="0.25">
      <c r="B166" s="303">
        <f t="shared" si="20"/>
        <v>41214</v>
      </c>
      <c r="C166" s="301">
        <v>3.3439999999999999</v>
      </c>
      <c r="D166" s="301">
        <v>0.15</v>
      </c>
      <c r="E166" s="301">
        <v>7.2593459676457001E-2</v>
      </c>
      <c r="F166" s="301">
        <v>-0.19</v>
      </c>
      <c r="G166" s="301">
        <v>-3.2500000000000001E-2</v>
      </c>
      <c r="H166" s="301">
        <v>-0.19</v>
      </c>
      <c r="I166" s="301">
        <v>0.24</v>
      </c>
      <c r="J166" s="301">
        <v>0.24</v>
      </c>
      <c r="K166" s="301">
        <v>-4.4499999999999998E-2</v>
      </c>
      <c r="L166" s="301">
        <v>-5.4999999999999997E-3</v>
      </c>
      <c r="M166" s="301">
        <v>0</v>
      </c>
      <c r="N166" s="301">
        <v>1.0999999999999999E-2</v>
      </c>
      <c r="O166" s="301">
        <v>1.7000000000000001E-2</v>
      </c>
      <c r="P166" s="298">
        <v>-1.6500000000000001E-2</v>
      </c>
      <c r="Q166" s="298">
        <v>-0.03</v>
      </c>
      <c r="R166" s="298">
        <v>-2.4E-2</v>
      </c>
      <c r="S166" s="298">
        <v>-6.4000000000000001E-2</v>
      </c>
      <c r="T166" s="298">
        <v>-0.14499999999999999</v>
      </c>
      <c r="U166" s="298">
        <v>0.72499999999999998</v>
      </c>
      <c r="V166" s="298">
        <v>5.0000000000000001E-3</v>
      </c>
      <c r="W166" s="298">
        <v>-0.19</v>
      </c>
      <c r="X166" s="298">
        <v>-1.0500000000000001E-2</v>
      </c>
      <c r="Y166" s="313">
        <v>0.1</v>
      </c>
      <c r="Z166" s="313">
        <v>0</v>
      </c>
      <c r="AA166" s="445">
        <v>0.15</v>
      </c>
      <c r="AB166" s="445">
        <v>0.16500000000000001</v>
      </c>
      <c r="AC166" s="445">
        <v>0.15</v>
      </c>
      <c r="AD166" s="445">
        <v>0.15</v>
      </c>
      <c r="AE166" s="445">
        <v>0.15</v>
      </c>
      <c r="AF166" s="445">
        <v>0.15</v>
      </c>
      <c r="AG166" s="445">
        <v>0.15</v>
      </c>
      <c r="AH166" s="445">
        <v>0.15</v>
      </c>
      <c r="AI166" s="446">
        <v>0.15</v>
      </c>
      <c r="AJ166" s="446">
        <v>0.15</v>
      </c>
      <c r="AK166" s="446">
        <v>0.15</v>
      </c>
      <c r="AL166" s="445">
        <v>0.15</v>
      </c>
      <c r="AM166" s="298">
        <v>7.2124805777914996E-2</v>
      </c>
      <c r="AO166" s="313">
        <f t="shared" si="21"/>
        <v>0.16500000000000001</v>
      </c>
      <c r="AP166" s="313">
        <f t="shared" si="22"/>
        <v>0.16500000000000001</v>
      </c>
      <c r="AQ166" s="316">
        <f t="shared" si="23"/>
        <v>0.16500000000000001</v>
      </c>
      <c r="AR166" s="315">
        <f t="shared" si="24"/>
        <v>41214</v>
      </c>
      <c r="AS166" s="313">
        <f t="shared" si="18"/>
        <v>0.41112375867584439</v>
      </c>
      <c r="AT166" s="313">
        <f t="shared" si="19"/>
        <v>0.4112035202035671</v>
      </c>
      <c r="AV166" s="315">
        <f t="shared" si="25"/>
        <v>41214</v>
      </c>
      <c r="AW166" s="298">
        <v>154</v>
      </c>
    </row>
    <row r="167" spans="2:49" x14ac:dyDescent="0.25">
      <c r="B167" s="303">
        <f t="shared" si="20"/>
        <v>41244</v>
      </c>
      <c r="C167" s="301">
        <v>3.44</v>
      </c>
      <c r="D167" s="301">
        <v>0.15</v>
      </c>
      <c r="E167" s="301">
        <v>7.2597327816325996E-2</v>
      </c>
      <c r="F167" s="301">
        <v>-0.19750000000000001</v>
      </c>
      <c r="G167" s="301">
        <v>-5.5E-2</v>
      </c>
      <c r="H167" s="301">
        <v>-0.19750000000000001</v>
      </c>
      <c r="I167" s="301">
        <v>0.28000000000000003</v>
      </c>
      <c r="J167" s="301">
        <v>0.29499999999999998</v>
      </c>
      <c r="K167" s="301">
        <v>-4.4499999999999998E-2</v>
      </c>
      <c r="L167" s="301">
        <v>-5.4999999999999997E-3</v>
      </c>
      <c r="M167" s="301">
        <v>0</v>
      </c>
      <c r="N167" s="301">
        <v>1.0999999999999999E-2</v>
      </c>
      <c r="O167" s="301">
        <v>1.7000000000000001E-2</v>
      </c>
      <c r="P167" s="298">
        <v>-1.6500000000000001E-2</v>
      </c>
      <c r="Q167" s="298">
        <v>-0.03</v>
      </c>
      <c r="R167" s="298">
        <v>-2.4E-2</v>
      </c>
      <c r="S167" s="298">
        <v>-7.9000000000000001E-2</v>
      </c>
      <c r="T167" s="298">
        <v>-0.14499999999999999</v>
      </c>
      <c r="U167" s="298">
        <v>1.0449999999999999</v>
      </c>
      <c r="V167" s="298">
        <v>5.0000000000000001E-3</v>
      </c>
      <c r="W167" s="298">
        <v>-0.19</v>
      </c>
      <c r="X167" s="298">
        <v>-1.0500000000000001E-2</v>
      </c>
      <c r="Y167" s="313">
        <v>0.1</v>
      </c>
      <c r="Z167" s="313">
        <v>0</v>
      </c>
      <c r="AA167" s="445">
        <v>0.15</v>
      </c>
      <c r="AB167" s="445">
        <v>0.16500000000000001</v>
      </c>
      <c r="AC167" s="445">
        <v>0.15</v>
      </c>
      <c r="AD167" s="445">
        <v>0.15</v>
      </c>
      <c r="AE167" s="445">
        <v>0.15</v>
      </c>
      <c r="AF167" s="445">
        <v>0.15</v>
      </c>
      <c r="AG167" s="445">
        <v>0.15</v>
      </c>
      <c r="AH167" s="445">
        <v>0.15</v>
      </c>
      <c r="AI167" s="446">
        <v>0.15</v>
      </c>
      <c r="AJ167" s="446">
        <v>0.15</v>
      </c>
      <c r="AK167" s="446">
        <v>0.15</v>
      </c>
      <c r="AL167" s="445">
        <v>0.15</v>
      </c>
      <c r="AM167" s="298">
        <v>7.2126428562618E-2</v>
      </c>
      <c r="AO167" s="313">
        <f t="shared" si="21"/>
        <v>0.16500000000000001</v>
      </c>
      <c r="AP167" s="313">
        <f t="shared" si="22"/>
        <v>0.16500000000000001</v>
      </c>
      <c r="AQ167" s="316">
        <f t="shared" si="23"/>
        <v>0.16500000000000001</v>
      </c>
      <c r="AR167" s="315">
        <f t="shared" si="24"/>
        <v>41244</v>
      </c>
      <c r="AS167" s="313">
        <f t="shared" si="18"/>
        <v>0.40873000979776181</v>
      </c>
      <c r="AT167" s="313">
        <f t="shared" si="19"/>
        <v>0.40880930867081045</v>
      </c>
      <c r="AV167" s="315">
        <f t="shared" si="25"/>
        <v>41244</v>
      </c>
      <c r="AW167" s="298">
        <v>155</v>
      </c>
    </row>
    <row r="168" spans="2:49" x14ac:dyDescent="0.25">
      <c r="B168" s="303">
        <f t="shared" si="20"/>
        <v>41275</v>
      </c>
      <c r="C168" s="301">
        <v>3.4864999999999999</v>
      </c>
      <c r="D168" s="301">
        <v>0.15</v>
      </c>
      <c r="E168" s="301">
        <v>7.2601324894195005E-2</v>
      </c>
      <c r="F168" s="301">
        <v>-0.2</v>
      </c>
      <c r="G168" s="301">
        <v>-5.7500000000000002E-2</v>
      </c>
      <c r="H168" s="301">
        <v>-0.2</v>
      </c>
      <c r="I168" s="301">
        <v>0.28999999999999998</v>
      </c>
      <c r="J168" s="301">
        <v>0.34250000000000003</v>
      </c>
      <c r="K168" s="301">
        <v>-4.8500000000000001E-2</v>
      </c>
      <c r="L168" s="301">
        <v>-3.5000000000000001E-3</v>
      </c>
      <c r="M168" s="301">
        <v>0</v>
      </c>
      <c r="N168" s="301">
        <v>1.0999999999999999E-2</v>
      </c>
      <c r="O168" s="301">
        <v>1.7000000000000001E-2</v>
      </c>
      <c r="P168" s="298">
        <v>-1.2E-2</v>
      </c>
      <c r="Q168" s="298">
        <v>-0.03</v>
      </c>
      <c r="R168" s="298">
        <v>-2.4E-2</v>
      </c>
      <c r="S168" s="298">
        <v>-8.9499999999999996E-2</v>
      </c>
      <c r="T168" s="298">
        <v>-0.14499999999999999</v>
      </c>
      <c r="U168" s="298">
        <v>1.52</v>
      </c>
      <c r="V168" s="298">
        <v>5.0000000000000001E-3</v>
      </c>
      <c r="W168" s="298">
        <v>-0.19</v>
      </c>
      <c r="X168" s="298">
        <v>-1.0500000000000001E-2</v>
      </c>
      <c r="Y168" s="313">
        <v>0.1</v>
      </c>
      <c r="Z168" s="313">
        <v>0</v>
      </c>
      <c r="AA168" s="445">
        <v>0.15</v>
      </c>
      <c r="AB168" s="445">
        <v>0.15</v>
      </c>
      <c r="AC168" s="445">
        <v>0.15</v>
      </c>
      <c r="AD168" s="445">
        <v>0.15</v>
      </c>
      <c r="AE168" s="445">
        <v>0.15</v>
      </c>
      <c r="AF168" s="445">
        <v>0.15</v>
      </c>
      <c r="AG168" s="445">
        <v>0.15</v>
      </c>
      <c r="AH168" s="445">
        <v>0.15</v>
      </c>
      <c r="AI168" s="446">
        <v>0.15</v>
      </c>
      <c r="AJ168" s="446">
        <v>0.15</v>
      </c>
      <c r="AK168" s="446">
        <v>0.15</v>
      </c>
      <c r="AL168" s="445">
        <v>0.15</v>
      </c>
      <c r="AM168" s="298">
        <v>7.2128105440146001E-2</v>
      </c>
      <c r="AO168" s="313">
        <f t="shared" si="21"/>
        <v>0.15</v>
      </c>
      <c r="AP168" s="313">
        <f t="shared" si="22"/>
        <v>0.15</v>
      </c>
      <c r="AQ168" s="316">
        <f t="shared" si="23"/>
        <v>0.15</v>
      </c>
      <c r="AR168" s="315">
        <f t="shared" si="24"/>
        <v>41275</v>
      </c>
      <c r="AS168" s="313">
        <f t="shared" si="18"/>
        <v>0.40627100063978183</v>
      </c>
      <c r="AT168" s="313">
        <f t="shared" si="19"/>
        <v>0.40634982423409288</v>
      </c>
      <c r="AV168" s="315">
        <f t="shared" si="25"/>
        <v>41275</v>
      </c>
      <c r="AW168" s="298">
        <v>156</v>
      </c>
    </row>
    <row r="169" spans="2:49" x14ac:dyDescent="0.25">
      <c r="B169" s="303">
        <f t="shared" si="20"/>
        <v>41306</v>
      </c>
      <c r="C169" s="301">
        <v>3.4135</v>
      </c>
      <c r="D169" s="301">
        <v>0.15</v>
      </c>
      <c r="E169" s="301">
        <v>7.2605321972069994E-2</v>
      </c>
      <c r="F169" s="301">
        <v>-0.20250000000000001</v>
      </c>
      <c r="G169" s="301">
        <v>-0.04</v>
      </c>
      <c r="H169" s="301">
        <v>-0.20250000000000001</v>
      </c>
      <c r="I169" s="301">
        <v>0.26500000000000001</v>
      </c>
      <c r="J169" s="301">
        <v>0.33750000000000002</v>
      </c>
      <c r="K169" s="301">
        <v>-4.4499999999999998E-2</v>
      </c>
      <c r="L169" s="301">
        <v>-3.5000000000000001E-3</v>
      </c>
      <c r="M169" s="301">
        <v>0</v>
      </c>
      <c r="N169" s="301">
        <v>1.0999999999999999E-2</v>
      </c>
      <c r="O169" s="301">
        <v>1.7000000000000001E-2</v>
      </c>
      <c r="P169" s="298">
        <v>-1.2E-2</v>
      </c>
      <c r="Q169" s="298">
        <v>-0.03</v>
      </c>
      <c r="R169" s="298">
        <v>-2.4E-2</v>
      </c>
      <c r="S169" s="298">
        <v>-7.6999999999999999E-2</v>
      </c>
      <c r="T169" s="298">
        <v>-0.14499999999999999</v>
      </c>
      <c r="U169" s="298">
        <v>1.4</v>
      </c>
      <c r="V169" s="298">
        <v>5.0000000000000001E-3</v>
      </c>
      <c r="W169" s="298">
        <v>-0.19</v>
      </c>
      <c r="X169" s="298">
        <v>-1.0500000000000001E-2</v>
      </c>
      <c r="Y169" s="313">
        <v>0.1</v>
      </c>
      <c r="Z169" s="313">
        <v>0</v>
      </c>
      <c r="AA169" s="445">
        <v>0.15</v>
      </c>
      <c r="AB169" s="445">
        <v>0.16500000000000001</v>
      </c>
      <c r="AC169" s="445">
        <v>0.15</v>
      </c>
      <c r="AD169" s="445">
        <v>0.15</v>
      </c>
      <c r="AE169" s="445">
        <v>0.15</v>
      </c>
      <c r="AF169" s="445">
        <v>0.15</v>
      </c>
      <c r="AG169" s="445">
        <v>0.15</v>
      </c>
      <c r="AH169" s="445">
        <v>0.15</v>
      </c>
      <c r="AI169" s="446">
        <v>0.15</v>
      </c>
      <c r="AJ169" s="446">
        <v>0.15</v>
      </c>
      <c r="AK169" s="446">
        <v>0.15</v>
      </c>
      <c r="AL169" s="445">
        <v>0.15</v>
      </c>
      <c r="AM169" s="298">
        <v>7.2129782317674002E-2</v>
      </c>
      <c r="AO169" s="313">
        <f t="shared" si="21"/>
        <v>0.16500000000000001</v>
      </c>
      <c r="AP169" s="313">
        <f t="shared" si="22"/>
        <v>0.16500000000000001</v>
      </c>
      <c r="AQ169" s="316">
        <f t="shared" si="23"/>
        <v>0.16500000000000001</v>
      </c>
      <c r="AR169" s="315">
        <f t="shared" si="24"/>
        <v>41306</v>
      </c>
      <c r="AS169" s="313">
        <f t="shared" si="18"/>
        <v>0.40382667447968196</v>
      </c>
      <c r="AT169" s="313">
        <f t="shared" si="19"/>
        <v>0.40390502562227737</v>
      </c>
      <c r="AV169" s="315">
        <f t="shared" si="25"/>
        <v>41306</v>
      </c>
      <c r="AW169" s="298">
        <v>157</v>
      </c>
    </row>
    <row r="170" spans="2:49" x14ac:dyDescent="0.25">
      <c r="B170" s="303">
        <f t="shared" si="20"/>
        <v>41334</v>
      </c>
      <c r="C170" s="301">
        <v>3.3285</v>
      </c>
      <c r="D170" s="301">
        <v>0.15</v>
      </c>
      <c r="E170" s="301">
        <v>7.2608932235961002E-2</v>
      </c>
      <c r="F170" s="301">
        <v>-0.20499999999999999</v>
      </c>
      <c r="G170" s="301">
        <v>-2.75E-2</v>
      </c>
      <c r="H170" s="301">
        <v>-0.20499999999999999</v>
      </c>
      <c r="I170" s="301">
        <v>0.26200000000000001</v>
      </c>
      <c r="J170" s="301">
        <v>0.26</v>
      </c>
      <c r="K170" s="301">
        <v>-4.5999999999999999E-2</v>
      </c>
      <c r="L170" s="301">
        <v>-3.5000000000000001E-3</v>
      </c>
      <c r="M170" s="301">
        <v>0</v>
      </c>
      <c r="N170" s="301">
        <v>1.0999999999999999E-2</v>
      </c>
      <c r="O170" s="301">
        <v>1.7000000000000001E-2</v>
      </c>
      <c r="P170" s="298">
        <v>-1.2E-2</v>
      </c>
      <c r="Q170" s="298">
        <v>-0.03</v>
      </c>
      <c r="R170" s="298">
        <v>-5.7000000000000002E-3</v>
      </c>
      <c r="S170" s="298">
        <v>-6.4500000000000002E-2</v>
      </c>
      <c r="T170" s="298">
        <v>-0.14499999999999999</v>
      </c>
      <c r="U170" s="298">
        <v>0.88</v>
      </c>
      <c r="V170" s="298">
        <v>5.0000000000000001E-3</v>
      </c>
      <c r="W170" s="298">
        <v>-0.19</v>
      </c>
      <c r="X170" s="298">
        <v>-1.0500000000000001E-2</v>
      </c>
      <c r="Y170" s="313">
        <v>0.1</v>
      </c>
      <c r="Z170" s="313">
        <v>0</v>
      </c>
      <c r="AA170" s="445">
        <v>0.15</v>
      </c>
      <c r="AB170" s="445">
        <v>0.16500000000000001</v>
      </c>
      <c r="AC170" s="445">
        <v>0.15</v>
      </c>
      <c r="AD170" s="445">
        <v>0.15</v>
      </c>
      <c r="AE170" s="445">
        <v>0.15</v>
      </c>
      <c r="AF170" s="445">
        <v>0.15</v>
      </c>
      <c r="AG170" s="445">
        <v>0.15</v>
      </c>
      <c r="AH170" s="445">
        <v>0.15</v>
      </c>
      <c r="AI170" s="446">
        <v>0.15</v>
      </c>
      <c r="AJ170" s="446">
        <v>0.15</v>
      </c>
      <c r="AK170" s="446">
        <v>0.15</v>
      </c>
      <c r="AL170" s="445">
        <v>0.15</v>
      </c>
      <c r="AM170" s="298">
        <v>7.2131296916733006E-2</v>
      </c>
      <c r="AO170" s="313">
        <f t="shared" si="21"/>
        <v>0.16500000000000001</v>
      </c>
      <c r="AP170" s="313">
        <f t="shared" si="22"/>
        <v>0.16500000000000001</v>
      </c>
      <c r="AQ170" s="316">
        <f t="shared" si="23"/>
        <v>0.16500000000000001</v>
      </c>
      <c r="AR170" s="315">
        <f t="shared" si="24"/>
        <v>41334</v>
      </c>
      <c r="AS170" s="313">
        <f t="shared" si="18"/>
        <v>0.40163144398506562</v>
      </c>
      <c r="AT170" s="313">
        <f t="shared" si="19"/>
        <v>0.40170937081308394</v>
      </c>
      <c r="AV170" s="315">
        <f t="shared" si="25"/>
        <v>41334</v>
      </c>
      <c r="AW170" s="298">
        <v>158</v>
      </c>
    </row>
    <row r="171" spans="2:49" x14ac:dyDescent="0.25">
      <c r="B171" s="303">
        <f t="shared" si="20"/>
        <v>41365</v>
      </c>
      <c r="C171" s="301">
        <v>3.2585000000000002</v>
      </c>
      <c r="D171" s="301">
        <v>0.15</v>
      </c>
      <c r="E171" s="301">
        <v>7.2612929313845997E-2</v>
      </c>
      <c r="F171" s="301">
        <v>-0.19500000000000001</v>
      </c>
      <c r="G171" s="301">
        <v>1.4999999999999999E-2</v>
      </c>
      <c r="H171" s="301">
        <v>-0.19500000000000001</v>
      </c>
      <c r="I171" s="301">
        <v>0.16</v>
      </c>
      <c r="J171" s="301">
        <v>0.17</v>
      </c>
      <c r="K171" s="301">
        <v>-5.6000000000000001E-2</v>
      </c>
      <c r="L171" s="301">
        <v>-6.0000000000000001E-3</v>
      </c>
      <c r="M171" s="301">
        <v>0</v>
      </c>
      <c r="N171" s="301">
        <v>6.4999999999999997E-3</v>
      </c>
      <c r="O171" s="301">
        <v>1.4500000000000001E-2</v>
      </c>
      <c r="P171" s="298">
        <v>-1.4E-2</v>
      </c>
      <c r="Q171" s="298">
        <v>-0.03</v>
      </c>
      <c r="R171" s="298">
        <v>-5.7000000000000002E-3</v>
      </c>
      <c r="S171" s="298">
        <v>-4.7E-2</v>
      </c>
      <c r="T171" s="298">
        <v>-0.105</v>
      </c>
      <c r="U171" s="298">
        <v>0.37</v>
      </c>
      <c r="V171" s="298">
        <v>5.0000000000000001E-3</v>
      </c>
      <c r="W171" s="298">
        <v>-0.19</v>
      </c>
      <c r="X171" s="298">
        <v>-1.0500000000000001E-2</v>
      </c>
      <c r="Y171" s="313">
        <v>0.1875</v>
      </c>
      <c r="Z171" s="313">
        <v>0</v>
      </c>
      <c r="AA171" s="445">
        <v>0.15</v>
      </c>
      <c r="AB171" s="445">
        <v>0.14699999999999999</v>
      </c>
      <c r="AC171" s="445">
        <v>0.15</v>
      </c>
      <c r="AD171" s="445">
        <v>0.15</v>
      </c>
      <c r="AE171" s="445">
        <v>0.14699999999999999</v>
      </c>
      <c r="AF171" s="445">
        <v>0.15</v>
      </c>
      <c r="AG171" s="445">
        <v>0.15</v>
      </c>
      <c r="AH171" s="445">
        <v>0.15</v>
      </c>
      <c r="AI171" s="446">
        <v>0.15</v>
      </c>
      <c r="AJ171" s="446">
        <v>0.15</v>
      </c>
      <c r="AK171" s="446">
        <v>0.15</v>
      </c>
      <c r="AL171" s="445">
        <v>0.15</v>
      </c>
      <c r="AM171" s="298">
        <v>7.2132973794264005E-2</v>
      </c>
      <c r="AO171" s="313">
        <f t="shared" si="21"/>
        <v>0.14699999999999999</v>
      </c>
      <c r="AP171" s="313">
        <f t="shared" si="22"/>
        <v>0.14699999999999999</v>
      </c>
      <c r="AQ171" s="316">
        <f t="shared" si="23"/>
        <v>0.14699999999999999</v>
      </c>
      <c r="AR171" s="315">
        <f t="shared" si="24"/>
        <v>41365</v>
      </c>
      <c r="AS171" s="313">
        <f t="shared" si="18"/>
        <v>0.39921482294906196</v>
      </c>
      <c r="AT171" s="313">
        <f t="shared" si="19"/>
        <v>0.39929228265980971</v>
      </c>
      <c r="AV171" s="315">
        <f t="shared" si="25"/>
        <v>41365</v>
      </c>
      <c r="AW171" s="298">
        <v>159</v>
      </c>
    </row>
    <row r="172" spans="2:49" x14ac:dyDescent="0.25">
      <c r="B172" s="303">
        <f t="shared" si="20"/>
        <v>41395</v>
      </c>
      <c r="C172" s="301">
        <v>3.2995000000000001</v>
      </c>
      <c r="D172" s="301">
        <v>0.15</v>
      </c>
      <c r="E172" s="301">
        <v>7.2616797453739002E-2</v>
      </c>
      <c r="F172" s="301">
        <v>-0.19500000000000001</v>
      </c>
      <c r="G172" s="301">
        <v>1.4999999999999999E-2</v>
      </c>
      <c r="H172" s="301">
        <v>-0.19500000000000001</v>
      </c>
      <c r="I172" s="301">
        <v>0.16300000000000001</v>
      </c>
      <c r="J172" s="301">
        <v>0.155</v>
      </c>
      <c r="K172" s="301">
        <v>-3.85E-2</v>
      </c>
      <c r="L172" s="301">
        <v>-6.0000000000000001E-3</v>
      </c>
      <c r="M172" s="301">
        <v>0</v>
      </c>
      <c r="N172" s="301">
        <v>6.4999999999999997E-3</v>
      </c>
      <c r="O172" s="301">
        <v>1.4500000000000001E-2</v>
      </c>
      <c r="P172" s="298">
        <v>-1.4E-2</v>
      </c>
      <c r="Q172" s="298">
        <v>-0.03</v>
      </c>
      <c r="R172" s="298">
        <v>-5.9500000000000004E-3</v>
      </c>
      <c r="S172" s="298">
        <v>-4.9500000000000002E-2</v>
      </c>
      <c r="T172" s="298">
        <v>-0.105</v>
      </c>
      <c r="U172" s="298">
        <v>0.2525</v>
      </c>
      <c r="V172" s="298">
        <v>5.0000000000000001E-3</v>
      </c>
      <c r="W172" s="298">
        <v>-0.19</v>
      </c>
      <c r="X172" s="298">
        <v>-7.0000000000000001E-3</v>
      </c>
      <c r="Y172" s="313">
        <v>0.1875</v>
      </c>
      <c r="Z172" s="313">
        <v>0</v>
      </c>
      <c r="AA172" s="445">
        <v>0.15</v>
      </c>
      <c r="AB172" s="445">
        <v>0.14699999999999999</v>
      </c>
      <c r="AC172" s="445">
        <v>0.15</v>
      </c>
      <c r="AD172" s="445">
        <v>0.15</v>
      </c>
      <c r="AE172" s="445">
        <v>0.14699999999999999</v>
      </c>
      <c r="AF172" s="445">
        <v>0.15</v>
      </c>
      <c r="AG172" s="445">
        <v>0.15</v>
      </c>
      <c r="AH172" s="445">
        <v>0.15</v>
      </c>
      <c r="AI172" s="446">
        <v>0.15</v>
      </c>
      <c r="AJ172" s="446">
        <v>0.15</v>
      </c>
      <c r="AK172" s="446">
        <v>0.15</v>
      </c>
      <c r="AL172" s="445">
        <v>0.15</v>
      </c>
      <c r="AM172" s="298">
        <v>7.2134596578971005E-2</v>
      </c>
      <c r="AO172" s="313">
        <f t="shared" si="21"/>
        <v>0.14699999999999999</v>
      </c>
      <c r="AP172" s="313">
        <f t="shared" si="22"/>
        <v>0.14699999999999999</v>
      </c>
      <c r="AQ172" s="316">
        <f t="shared" si="23"/>
        <v>0.14699999999999999</v>
      </c>
      <c r="AR172" s="315">
        <f t="shared" si="24"/>
        <v>41395</v>
      </c>
      <c r="AS172" s="313">
        <f t="shared" si="18"/>
        <v>0.39688989932671326</v>
      </c>
      <c r="AT172" s="313">
        <f t="shared" si="19"/>
        <v>0.39696690963449333</v>
      </c>
      <c r="AV172" s="315">
        <f t="shared" si="25"/>
        <v>41395</v>
      </c>
      <c r="AW172" s="298">
        <v>160</v>
      </c>
    </row>
    <row r="173" spans="2:49" x14ac:dyDescent="0.25">
      <c r="B173" s="303">
        <f t="shared" si="20"/>
        <v>41426</v>
      </c>
      <c r="C173" s="301">
        <v>3.3115000000000001</v>
      </c>
      <c r="D173" s="301">
        <v>0.15</v>
      </c>
      <c r="E173" s="301">
        <v>7.2620794531634003E-2</v>
      </c>
      <c r="F173" s="301">
        <v>-0.19500000000000001</v>
      </c>
      <c r="G173" s="301">
        <v>0.02</v>
      </c>
      <c r="H173" s="301">
        <v>-0.19500000000000001</v>
      </c>
      <c r="I173" s="301">
        <v>0.158</v>
      </c>
      <c r="J173" s="301">
        <v>0.155</v>
      </c>
      <c r="K173" s="301">
        <v>-3.3500000000000002E-2</v>
      </c>
      <c r="L173" s="301">
        <v>-6.0000000000000001E-3</v>
      </c>
      <c r="M173" s="301">
        <v>0</v>
      </c>
      <c r="N173" s="301">
        <v>6.4999999999999997E-3</v>
      </c>
      <c r="O173" s="301">
        <v>1.4500000000000001E-2</v>
      </c>
      <c r="P173" s="298">
        <v>-1.15E-2</v>
      </c>
      <c r="Q173" s="298">
        <v>-0.03</v>
      </c>
      <c r="R173" s="298">
        <v>-5.9500000000000004E-3</v>
      </c>
      <c r="S173" s="298">
        <v>-4.2000000000000003E-2</v>
      </c>
      <c r="T173" s="298">
        <v>-0.105</v>
      </c>
      <c r="U173" s="298">
        <v>0.2525</v>
      </c>
      <c r="V173" s="298">
        <v>5.0000000000000001E-3</v>
      </c>
      <c r="W173" s="298">
        <v>-0.19</v>
      </c>
      <c r="X173" s="298">
        <v>-9.4999999999999998E-3</v>
      </c>
      <c r="Y173" s="313">
        <v>0.1875</v>
      </c>
      <c r="Z173" s="313">
        <v>0</v>
      </c>
      <c r="AA173" s="445">
        <v>0.15</v>
      </c>
      <c r="AB173" s="445">
        <v>0.14699999999999999</v>
      </c>
      <c r="AC173" s="445">
        <v>0.15</v>
      </c>
      <c r="AD173" s="445">
        <v>0.15</v>
      </c>
      <c r="AE173" s="445">
        <v>0.14699999999999999</v>
      </c>
      <c r="AF173" s="445">
        <v>0.15</v>
      </c>
      <c r="AG173" s="445">
        <v>0.15</v>
      </c>
      <c r="AH173" s="445">
        <v>0.15</v>
      </c>
      <c r="AI173" s="446">
        <v>0.15</v>
      </c>
      <c r="AJ173" s="446">
        <v>0.15</v>
      </c>
      <c r="AK173" s="446">
        <v>0.15</v>
      </c>
      <c r="AL173" s="445">
        <v>0.15</v>
      </c>
      <c r="AM173" s="298">
        <v>7.2136273456503003E-2</v>
      </c>
      <c r="AO173" s="313">
        <f t="shared" si="21"/>
        <v>0.14699999999999999</v>
      </c>
      <c r="AP173" s="313">
        <f t="shared" si="22"/>
        <v>0.14699999999999999</v>
      </c>
      <c r="AQ173" s="316">
        <f t="shared" si="23"/>
        <v>0.14699999999999999</v>
      </c>
      <c r="AR173" s="315">
        <f t="shared" si="24"/>
        <v>41426</v>
      </c>
      <c r="AS173" s="313">
        <f t="shared" si="18"/>
        <v>0.39450159496176551</v>
      </c>
      <c r="AT173" s="313">
        <f t="shared" si="19"/>
        <v>0.39457814360471616</v>
      </c>
      <c r="AV173" s="315">
        <f t="shared" si="25"/>
        <v>41426</v>
      </c>
      <c r="AW173" s="298">
        <v>161</v>
      </c>
    </row>
    <row r="174" spans="2:49" x14ac:dyDescent="0.25">
      <c r="B174" s="303">
        <f t="shared" si="20"/>
        <v>41456</v>
      </c>
      <c r="C174" s="301">
        <v>3.3115000000000001</v>
      </c>
      <c r="D174" s="301">
        <v>0.15</v>
      </c>
      <c r="E174" s="301">
        <v>7.2624662671537998E-2</v>
      </c>
      <c r="F174" s="301">
        <v>-0.19500000000000001</v>
      </c>
      <c r="G174" s="301">
        <v>2.2499999999999999E-2</v>
      </c>
      <c r="H174" s="301">
        <v>-0.19500000000000001</v>
      </c>
      <c r="I174" s="301">
        <v>0.14699999999999999</v>
      </c>
      <c r="J174" s="301">
        <v>0.155</v>
      </c>
      <c r="K174" s="301">
        <v>-3.3500000000000002E-2</v>
      </c>
      <c r="L174" s="301">
        <v>-6.0000000000000001E-3</v>
      </c>
      <c r="M174" s="301">
        <v>0</v>
      </c>
      <c r="N174" s="301">
        <v>6.4999999999999997E-3</v>
      </c>
      <c r="O174" s="301">
        <v>1.4500000000000001E-2</v>
      </c>
      <c r="P174" s="298">
        <v>-1.15E-2</v>
      </c>
      <c r="Q174" s="298">
        <v>-0.03</v>
      </c>
      <c r="R174" s="298">
        <v>-5.9500000000000004E-3</v>
      </c>
      <c r="S174" s="298">
        <v>-4.2000000000000003E-2</v>
      </c>
      <c r="T174" s="298">
        <v>-0.105</v>
      </c>
      <c r="U174" s="298">
        <v>0.25750000000000001</v>
      </c>
      <c r="V174" s="298">
        <v>5.0000000000000001E-3</v>
      </c>
      <c r="W174" s="298">
        <v>-0.19</v>
      </c>
      <c r="X174" s="298">
        <v>-9.4999999999999998E-3</v>
      </c>
      <c r="Y174" s="313">
        <v>0.1875</v>
      </c>
      <c r="Z174" s="313">
        <v>0</v>
      </c>
      <c r="AA174" s="445">
        <v>0.15</v>
      </c>
      <c r="AB174" s="445">
        <v>0.14699999999999999</v>
      </c>
      <c r="AC174" s="445">
        <v>0.15</v>
      </c>
      <c r="AD174" s="445">
        <v>0.15</v>
      </c>
      <c r="AE174" s="445">
        <v>0.14699999999999999</v>
      </c>
      <c r="AF174" s="445">
        <v>0.15</v>
      </c>
      <c r="AG174" s="445">
        <v>0.15</v>
      </c>
      <c r="AH174" s="445">
        <v>0.15</v>
      </c>
      <c r="AI174" s="446">
        <v>0.15</v>
      </c>
      <c r="AJ174" s="446">
        <v>0.15</v>
      </c>
      <c r="AK174" s="446">
        <v>0.15</v>
      </c>
      <c r="AL174" s="445">
        <v>0.15</v>
      </c>
      <c r="AM174" s="298">
        <v>7.2137896241212002E-2</v>
      </c>
      <c r="AO174" s="313">
        <f t="shared" si="21"/>
        <v>0.14699999999999999</v>
      </c>
      <c r="AP174" s="313">
        <f t="shared" si="22"/>
        <v>0.14699999999999999</v>
      </c>
      <c r="AQ174" s="316">
        <f t="shared" si="23"/>
        <v>0.14699999999999999</v>
      </c>
      <c r="AR174" s="315">
        <f t="shared" si="24"/>
        <v>41456</v>
      </c>
      <c r="AS174" s="313">
        <f t="shared" si="18"/>
        <v>0.39220391478082078</v>
      </c>
      <c r="AT174" s="313">
        <f t="shared" si="19"/>
        <v>0.39228001926671291</v>
      </c>
      <c r="AV174" s="315">
        <f t="shared" si="25"/>
        <v>41456</v>
      </c>
      <c r="AW174" s="298">
        <v>162</v>
      </c>
    </row>
    <row r="175" spans="2:49" x14ac:dyDescent="0.25">
      <c r="B175" s="303">
        <f t="shared" si="20"/>
        <v>41487</v>
      </c>
      <c r="C175" s="301">
        <v>3.3144999999999998</v>
      </c>
      <c r="D175" s="301">
        <v>0.15</v>
      </c>
      <c r="E175" s="301">
        <v>7.2628659749443006E-2</v>
      </c>
      <c r="F175" s="301">
        <v>-0.19500000000000001</v>
      </c>
      <c r="G175" s="301">
        <v>2.5000000000000001E-2</v>
      </c>
      <c r="H175" s="301">
        <v>-0.19500000000000001</v>
      </c>
      <c r="I175" s="301">
        <v>0.14499999999999999</v>
      </c>
      <c r="J175" s="301">
        <v>0.155</v>
      </c>
      <c r="K175" s="301">
        <v>-3.3500000000000002E-2</v>
      </c>
      <c r="L175" s="301">
        <v>-6.0000000000000001E-3</v>
      </c>
      <c r="M175" s="301">
        <v>0</v>
      </c>
      <c r="N175" s="301">
        <v>6.4999999999999997E-3</v>
      </c>
      <c r="O175" s="301">
        <v>1.4500000000000001E-2</v>
      </c>
      <c r="P175" s="298">
        <v>-1.15E-2</v>
      </c>
      <c r="Q175" s="298">
        <v>-0.03</v>
      </c>
      <c r="R175" s="298">
        <v>-3.2499999999999999E-3</v>
      </c>
      <c r="S175" s="298">
        <v>-4.2000000000000003E-2</v>
      </c>
      <c r="T175" s="298">
        <v>-0.105</v>
      </c>
      <c r="U175" s="298">
        <v>0.25750000000000001</v>
      </c>
      <c r="V175" s="298">
        <v>5.0000000000000001E-3</v>
      </c>
      <c r="W175" s="298">
        <v>-0.19</v>
      </c>
      <c r="X175" s="298">
        <v>-9.4999999999999998E-3</v>
      </c>
      <c r="Y175" s="313">
        <v>0.1875</v>
      </c>
      <c r="Z175" s="313">
        <v>0</v>
      </c>
      <c r="AA175" s="445">
        <v>0.15</v>
      </c>
      <c r="AB175" s="445">
        <v>0.14699999999999999</v>
      </c>
      <c r="AC175" s="445">
        <v>0.15</v>
      </c>
      <c r="AD175" s="445">
        <v>0.15</v>
      </c>
      <c r="AE175" s="445">
        <v>0.14699999999999999</v>
      </c>
      <c r="AF175" s="445">
        <v>0.15</v>
      </c>
      <c r="AG175" s="445">
        <v>0.15</v>
      </c>
      <c r="AH175" s="445">
        <v>0.15</v>
      </c>
      <c r="AI175" s="446">
        <v>0.15</v>
      </c>
      <c r="AJ175" s="446">
        <v>0.15</v>
      </c>
      <c r="AK175" s="446">
        <v>0.15</v>
      </c>
      <c r="AL175" s="445">
        <v>0.15</v>
      </c>
      <c r="AM175" s="298">
        <v>7.2139573118746997E-2</v>
      </c>
      <c r="AO175" s="313">
        <f t="shared" si="21"/>
        <v>0.14699999999999999</v>
      </c>
      <c r="AP175" s="313">
        <f t="shared" si="22"/>
        <v>0.14699999999999999</v>
      </c>
      <c r="AQ175" s="316">
        <f t="shared" si="23"/>
        <v>0.14699999999999999</v>
      </c>
      <c r="AR175" s="315">
        <f t="shared" si="24"/>
        <v>41487</v>
      </c>
      <c r="AS175" s="313">
        <f t="shared" si="18"/>
        <v>0.38984359781747158</v>
      </c>
      <c r="AT175" s="313">
        <f t="shared" si="19"/>
        <v>0.38991924602782196</v>
      </c>
      <c r="AV175" s="315">
        <f t="shared" si="25"/>
        <v>41487</v>
      </c>
      <c r="AW175" s="298">
        <v>163</v>
      </c>
    </row>
    <row r="176" spans="2:49" x14ac:dyDescent="0.25">
      <c r="B176" s="303">
        <f t="shared" si="20"/>
        <v>41518</v>
      </c>
      <c r="C176" s="301">
        <v>3.3085</v>
      </c>
      <c r="D176" s="301">
        <v>0.15</v>
      </c>
      <c r="E176" s="301">
        <v>7.2632656827353995E-2</v>
      </c>
      <c r="F176" s="301">
        <v>-0.19500000000000001</v>
      </c>
      <c r="G176" s="301">
        <v>1.7500000000000002E-2</v>
      </c>
      <c r="H176" s="301">
        <v>-0.19500000000000001</v>
      </c>
      <c r="I176" s="301">
        <v>0.14199999999999999</v>
      </c>
      <c r="J176" s="301">
        <v>0.155</v>
      </c>
      <c r="K176" s="301">
        <v>-3.5999999999999997E-2</v>
      </c>
      <c r="L176" s="301">
        <v>-6.0000000000000001E-3</v>
      </c>
      <c r="M176" s="301">
        <v>0</v>
      </c>
      <c r="N176" s="301">
        <v>6.4999999999999997E-3</v>
      </c>
      <c r="O176" s="301">
        <v>1.4500000000000001E-2</v>
      </c>
      <c r="P176" s="298">
        <v>-1.15E-2</v>
      </c>
      <c r="Q176" s="298">
        <v>-0.03</v>
      </c>
      <c r="R176" s="298">
        <v>-3.2499999999999999E-3</v>
      </c>
      <c r="S176" s="298">
        <v>-4.7E-2</v>
      </c>
      <c r="T176" s="298">
        <v>-0.105</v>
      </c>
      <c r="U176" s="298">
        <v>0.2525</v>
      </c>
      <c r="V176" s="298">
        <v>5.0000000000000001E-3</v>
      </c>
      <c r="W176" s="298">
        <v>-0.19</v>
      </c>
      <c r="X176" s="298">
        <v>-1.2E-2</v>
      </c>
      <c r="Y176" s="313">
        <v>0.1875</v>
      </c>
      <c r="Z176" s="313">
        <v>0</v>
      </c>
      <c r="AA176" s="445">
        <v>0.15</v>
      </c>
      <c r="AB176" s="445">
        <v>0.14699999999999999</v>
      </c>
      <c r="AC176" s="445">
        <v>0.15</v>
      </c>
      <c r="AD176" s="445">
        <v>0.15</v>
      </c>
      <c r="AE176" s="445">
        <v>0.14699999999999999</v>
      </c>
      <c r="AF176" s="445">
        <v>0.15</v>
      </c>
      <c r="AG176" s="445">
        <v>0.15</v>
      </c>
      <c r="AH176" s="445">
        <v>0.15</v>
      </c>
      <c r="AI176" s="446">
        <v>0.15</v>
      </c>
      <c r="AJ176" s="446">
        <v>0.15</v>
      </c>
      <c r="AK176" s="446">
        <v>0.15</v>
      </c>
      <c r="AL176" s="445">
        <v>0.15</v>
      </c>
      <c r="AM176" s="298">
        <v>7.2141249996282006E-2</v>
      </c>
      <c r="AO176" s="313">
        <f t="shared" si="21"/>
        <v>0.14699999999999999</v>
      </c>
      <c r="AP176" s="313">
        <f t="shared" si="22"/>
        <v>0.14699999999999999</v>
      </c>
      <c r="AQ176" s="316">
        <f t="shared" si="23"/>
        <v>0.14699999999999999</v>
      </c>
      <c r="AR176" s="315">
        <f t="shared" si="24"/>
        <v>41518</v>
      </c>
      <c r="AS176" s="313">
        <f t="shared" si="18"/>
        <v>0.38749737899272951</v>
      </c>
      <c r="AT176" s="313">
        <f t="shared" si="19"/>
        <v>0.38757257364238701</v>
      </c>
      <c r="AV176" s="315">
        <f t="shared" si="25"/>
        <v>41518</v>
      </c>
      <c r="AW176" s="298">
        <v>164</v>
      </c>
    </row>
    <row r="177" spans="2:49" x14ac:dyDescent="0.25">
      <c r="B177" s="303">
        <f t="shared" si="20"/>
        <v>41548</v>
      </c>
      <c r="C177" s="301">
        <v>3.3254999999999999</v>
      </c>
      <c r="D177" s="301">
        <v>0.15</v>
      </c>
      <c r="E177" s="301">
        <v>7.2636524967272006E-2</v>
      </c>
      <c r="F177" s="301">
        <v>-0.19500000000000001</v>
      </c>
      <c r="G177" s="301">
        <v>7.4999999999999997E-3</v>
      </c>
      <c r="H177" s="301">
        <v>-0.19500000000000001</v>
      </c>
      <c r="I177" s="301">
        <v>0.158</v>
      </c>
      <c r="J177" s="301">
        <v>0.1575</v>
      </c>
      <c r="K177" s="301">
        <v>-3.5999999999999997E-2</v>
      </c>
      <c r="L177" s="301">
        <v>-6.0000000000000001E-3</v>
      </c>
      <c r="M177" s="301">
        <v>0</v>
      </c>
      <c r="N177" s="301">
        <v>6.4999999999999997E-3</v>
      </c>
      <c r="O177" s="301">
        <v>1.4500000000000001E-2</v>
      </c>
      <c r="P177" s="298">
        <v>-1.15E-2</v>
      </c>
      <c r="Q177" s="298">
        <v>-0.03</v>
      </c>
      <c r="R177" s="298">
        <v>-2.4E-2</v>
      </c>
      <c r="S177" s="298">
        <v>-4.7E-2</v>
      </c>
      <c r="T177" s="298">
        <v>-0.105</v>
      </c>
      <c r="U177" s="298">
        <v>0.255</v>
      </c>
      <c r="V177" s="298">
        <v>5.0000000000000001E-3</v>
      </c>
      <c r="W177" s="298">
        <v>-0.19</v>
      </c>
      <c r="X177" s="298">
        <v>-1.2E-2</v>
      </c>
      <c r="Y177" s="313">
        <v>0.1875</v>
      </c>
      <c r="Z177" s="313">
        <v>0</v>
      </c>
      <c r="AA177" s="445">
        <v>0.15</v>
      </c>
      <c r="AB177" s="445">
        <v>0.14699999999999999</v>
      </c>
      <c r="AC177" s="445">
        <v>0.15</v>
      </c>
      <c r="AD177" s="445">
        <v>0.15</v>
      </c>
      <c r="AE177" s="445">
        <v>0.14699999999999999</v>
      </c>
      <c r="AF177" s="445">
        <v>0.15</v>
      </c>
      <c r="AG177" s="445">
        <v>0.15</v>
      </c>
      <c r="AH177" s="445">
        <v>0.15</v>
      </c>
      <c r="AI177" s="446">
        <v>0.15</v>
      </c>
      <c r="AJ177" s="446">
        <v>0.15</v>
      </c>
      <c r="AK177" s="446">
        <v>0.15</v>
      </c>
      <c r="AL177" s="445">
        <v>0.15</v>
      </c>
      <c r="AM177" s="298">
        <v>7.2142872780999998E-2</v>
      </c>
      <c r="AO177" s="313">
        <f t="shared" si="21"/>
        <v>0.14699999999999999</v>
      </c>
      <c r="AP177" s="313">
        <f t="shared" si="22"/>
        <v>0.14699999999999999</v>
      </c>
      <c r="AQ177" s="316">
        <f t="shared" si="23"/>
        <v>0.14699999999999999</v>
      </c>
      <c r="AR177" s="315">
        <f t="shared" si="24"/>
        <v>41548</v>
      </c>
      <c r="AS177" s="313">
        <f t="shared" si="18"/>
        <v>0.38524018924123821</v>
      </c>
      <c r="AT177" s="313">
        <f t="shared" si="19"/>
        <v>0.38531494753099266</v>
      </c>
      <c r="AV177" s="315">
        <f t="shared" si="25"/>
        <v>41548</v>
      </c>
      <c r="AW177" s="298">
        <v>165</v>
      </c>
    </row>
    <row r="178" spans="2:49" x14ac:dyDescent="0.25">
      <c r="B178" s="303">
        <f t="shared" si="20"/>
        <v>41579</v>
      </c>
      <c r="C178" s="301">
        <v>3.4085000000000001</v>
      </c>
      <c r="D178" s="301">
        <v>0.15</v>
      </c>
      <c r="E178" s="301">
        <v>7.2640522045194E-2</v>
      </c>
      <c r="F178" s="301">
        <v>-0.19</v>
      </c>
      <c r="G178" s="301">
        <v>-3.2500000000000001E-2</v>
      </c>
      <c r="H178" s="301">
        <v>-0.19</v>
      </c>
      <c r="I178" s="301">
        <v>0.23499999999999999</v>
      </c>
      <c r="J178" s="301">
        <v>0.24</v>
      </c>
      <c r="K178" s="301">
        <v>-4.2500000000000003E-2</v>
      </c>
      <c r="L178" s="301">
        <v>-3.5000000000000001E-3</v>
      </c>
      <c r="M178" s="301">
        <v>0</v>
      </c>
      <c r="N178" s="301">
        <v>1.0999999999999999E-2</v>
      </c>
      <c r="O178" s="301">
        <v>1.9E-2</v>
      </c>
      <c r="P178" s="298">
        <v>-1.4500000000000001E-2</v>
      </c>
      <c r="Q178" s="298">
        <v>-0.03</v>
      </c>
      <c r="R178" s="298">
        <v>-2.3E-2</v>
      </c>
      <c r="S178" s="298">
        <v>-6.2E-2</v>
      </c>
      <c r="T178" s="298">
        <v>-0.14499999999999999</v>
      </c>
      <c r="U178" s="298">
        <v>0.72499999999999998</v>
      </c>
      <c r="V178" s="298">
        <v>5.0000000000000001E-3</v>
      </c>
      <c r="W178" s="298">
        <v>-0.19</v>
      </c>
      <c r="X178" s="298">
        <v>-9.4999999999999998E-3</v>
      </c>
      <c r="Y178" s="313">
        <v>0.1</v>
      </c>
      <c r="Z178" s="313">
        <v>0</v>
      </c>
      <c r="AA178" s="445">
        <v>0.15</v>
      </c>
      <c r="AB178" s="445">
        <v>0.16500000000000001</v>
      </c>
      <c r="AC178" s="445">
        <v>0.15</v>
      </c>
      <c r="AD178" s="445">
        <v>0.15</v>
      </c>
      <c r="AE178" s="445">
        <v>0.15</v>
      </c>
      <c r="AF178" s="445">
        <v>0.15</v>
      </c>
      <c r="AG178" s="445">
        <v>0.15</v>
      </c>
      <c r="AH178" s="445">
        <v>0.15</v>
      </c>
      <c r="AI178" s="446">
        <v>0.15</v>
      </c>
      <c r="AJ178" s="446">
        <v>0.15</v>
      </c>
      <c r="AK178" s="446">
        <v>0.15</v>
      </c>
      <c r="AL178" s="445">
        <v>0.15</v>
      </c>
      <c r="AM178" s="298">
        <v>7.2144549658529997E-2</v>
      </c>
      <c r="AO178" s="313">
        <f t="shared" si="21"/>
        <v>0.16500000000000001</v>
      </c>
      <c r="AP178" s="313">
        <f t="shared" si="22"/>
        <v>0.16500000000000001</v>
      </c>
      <c r="AQ178" s="316">
        <f t="shared" si="23"/>
        <v>0.16500000000000001</v>
      </c>
      <c r="AR178" s="315">
        <f t="shared" si="24"/>
        <v>41579</v>
      </c>
      <c r="AS178" s="313">
        <f t="shared" si="18"/>
        <v>0.38292146838640351</v>
      </c>
      <c r="AT178" s="313">
        <f t="shared" si="19"/>
        <v>0.38299577841087445</v>
      </c>
      <c r="AV178" s="315">
        <f t="shared" si="25"/>
        <v>41579</v>
      </c>
      <c r="AW178" s="298">
        <v>166</v>
      </c>
    </row>
    <row r="179" spans="2:49" x14ac:dyDescent="0.25">
      <c r="B179" s="303">
        <f t="shared" si="20"/>
        <v>41609</v>
      </c>
      <c r="C179" s="301">
        <v>3.5015000000000001</v>
      </c>
      <c r="D179" s="301">
        <v>0.15</v>
      </c>
      <c r="E179" s="301">
        <v>7.2644390185123003E-2</v>
      </c>
      <c r="F179" s="301">
        <v>-0.19750000000000001</v>
      </c>
      <c r="G179" s="301">
        <v>-5.5E-2</v>
      </c>
      <c r="H179" s="301">
        <v>-0.19750000000000001</v>
      </c>
      <c r="I179" s="301">
        <v>0.27500000000000002</v>
      </c>
      <c r="J179" s="301">
        <v>0.29499999999999998</v>
      </c>
      <c r="K179" s="301">
        <v>-4.2500000000000003E-2</v>
      </c>
      <c r="L179" s="301">
        <v>-3.5000000000000001E-3</v>
      </c>
      <c r="M179" s="301">
        <v>0</v>
      </c>
      <c r="N179" s="301">
        <v>1.0999999999999999E-2</v>
      </c>
      <c r="O179" s="301">
        <v>1.9E-2</v>
      </c>
      <c r="P179" s="298">
        <v>-1.4500000000000001E-2</v>
      </c>
      <c r="Q179" s="298">
        <v>-0.03</v>
      </c>
      <c r="R179" s="298">
        <v>-2.3E-2</v>
      </c>
      <c r="S179" s="298">
        <v>-7.6999999999999999E-2</v>
      </c>
      <c r="T179" s="298">
        <v>-0.14499999999999999</v>
      </c>
      <c r="U179" s="298">
        <v>1.0449999999999999</v>
      </c>
      <c r="V179" s="298">
        <v>5.0000000000000001E-3</v>
      </c>
      <c r="W179" s="298">
        <v>-0.19</v>
      </c>
      <c r="X179" s="298">
        <v>-9.4999999999999998E-3</v>
      </c>
      <c r="Y179" s="313">
        <v>0.1</v>
      </c>
      <c r="Z179" s="313">
        <v>0</v>
      </c>
      <c r="AA179" s="445">
        <v>0.15</v>
      </c>
      <c r="AB179" s="445">
        <v>0.16500000000000001</v>
      </c>
      <c r="AC179" s="445">
        <v>0.15</v>
      </c>
      <c r="AD179" s="445">
        <v>0.15</v>
      </c>
      <c r="AE179" s="445">
        <v>0.15</v>
      </c>
      <c r="AF179" s="445">
        <v>0.15</v>
      </c>
      <c r="AG179" s="445">
        <v>0.15</v>
      </c>
      <c r="AH179" s="445">
        <v>0.15</v>
      </c>
      <c r="AI179" s="446">
        <v>0.15</v>
      </c>
      <c r="AJ179" s="446">
        <v>0.15</v>
      </c>
      <c r="AK179" s="446">
        <v>0.15</v>
      </c>
      <c r="AL179" s="445">
        <v>0.15</v>
      </c>
      <c r="AM179" s="298">
        <v>7.2146172443245005E-2</v>
      </c>
      <c r="AO179" s="313">
        <f t="shared" si="21"/>
        <v>0.16500000000000001</v>
      </c>
      <c r="AP179" s="313">
        <f t="shared" si="22"/>
        <v>0.16500000000000001</v>
      </c>
      <c r="AQ179" s="316">
        <f t="shared" si="23"/>
        <v>0.16500000000000001</v>
      </c>
      <c r="AR179" s="315">
        <f t="shared" si="24"/>
        <v>41609</v>
      </c>
      <c r="AS179" s="313">
        <f t="shared" si="18"/>
        <v>0.38069073436888806</v>
      </c>
      <c r="AT179" s="313">
        <f t="shared" si="19"/>
        <v>0.38076461312827448</v>
      </c>
      <c r="AV179" s="315">
        <f t="shared" si="25"/>
        <v>41609</v>
      </c>
      <c r="AW179" s="298">
        <v>167</v>
      </c>
    </row>
    <row r="180" spans="2:49" x14ac:dyDescent="0.25">
      <c r="B180" s="303">
        <f t="shared" si="20"/>
        <v>41640</v>
      </c>
      <c r="C180" s="301">
        <v>3.5459999999999998</v>
      </c>
      <c r="D180" s="301">
        <v>0.15</v>
      </c>
      <c r="E180" s="301">
        <v>7.2648387263054004E-2</v>
      </c>
      <c r="F180" s="301">
        <v>-0.2</v>
      </c>
      <c r="G180" s="301">
        <v>-5.7500000000000002E-2</v>
      </c>
      <c r="H180" s="301">
        <v>-0.2</v>
      </c>
      <c r="I180" s="301">
        <v>0.28499999999999998</v>
      </c>
      <c r="J180" s="301">
        <v>0.34250000000000003</v>
      </c>
      <c r="K180" s="301">
        <v>-4.65E-2</v>
      </c>
      <c r="L180" s="301">
        <v>-1.5E-3</v>
      </c>
      <c r="M180" s="301">
        <v>0</v>
      </c>
      <c r="N180" s="301">
        <v>1.0999999999999999E-2</v>
      </c>
      <c r="O180" s="301">
        <v>1.9E-2</v>
      </c>
      <c r="P180" s="298">
        <v>-0.01</v>
      </c>
      <c r="Q180" s="298">
        <v>-0.03</v>
      </c>
      <c r="R180" s="298">
        <v>-2.3E-2</v>
      </c>
      <c r="S180" s="298">
        <v>-8.7499999999999994E-2</v>
      </c>
      <c r="T180" s="298">
        <v>-0.14499999999999999</v>
      </c>
      <c r="U180" s="298">
        <v>1.52</v>
      </c>
      <c r="V180" s="298">
        <v>5.0000000000000001E-3</v>
      </c>
      <c r="W180" s="298">
        <v>-0.19</v>
      </c>
      <c r="X180" s="298">
        <v>-9.4999999999999998E-3</v>
      </c>
      <c r="Y180" s="313">
        <v>0.1</v>
      </c>
      <c r="Z180" s="313">
        <v>0</v>
      </c>
      <c r="AA180" s="445">
        <v>0.15</v>
      </c>
      <c r="AB180" s="445">
        <v>0.15</v>
      </c>
      <c r="AC180" s="445">
        <v>0.15</v>
      </c>
      <c r="AD180" s="445">
        <v>0.15</v>
      </c>
      <c r="AE180" s="445">
        <v>0.15</v>
      </c>
      <c r="AF180" s="445">
        <v>0.15</v>
      </c>
      <c r="AG180" s="445">
        <v>0.15</v>
      </c>
      <c r="AH180" s="445">
        <v>0.15</v>
      </c>
      <c r="AI180" s="446">
        <v>0.15</v>
      </c>
      <c r="AJ180" s="446">
        <v>0.15</v>
      </c>
      <c r="AK180" s="446">
        <v>0.15</v>
      </c>
      <c r="AL180" s="445">
        <v>0.15</v>
      </c>
      <c r="AM180" s="298">
        <v>7.2147849320782997E-2</v>
      </c>
      <c r="AO180" s="313">
        <f t="shared" si="21"/>
        <v>0.15</v>
      </c>
      <c r="AP180" s="313">
        <f t="shared" si="22"/>
        <v>0.15</v>
      </c>
      <c r="AQ180" s="316">
        <f t="shared" si="23"/>
        <v>0.15</v>
      </c>
      <c r="AR180" s="315">
        <f t="shared" si="24"/>
        <v>41640</v>
      </c>
      <c r="AS180" s="313">
        <f t="shared" si="18"/>
        <v>0.37839919166073832</v>
      </c>
      <c r="AT180" s="313">
        <f t="shared" si="19"/>
        <v>0.37847262738890153</v>
      </c>
      <c r="AV180" s="315">
        <f t="shared" si="25"/>
        <v>41640</v>
      </c>
      <c r="AW180" s="298">
        <v>168</v>
      </c>
    </row>
    <row r="181" spans="2:49" x14ac:dyDescent="0.25">
      <c r="B181" s="303">
        <f t="shared" si="20"/>
        <v>41671</v>
      </c>
      <c r="C181" s="301">
        <v>3.4769999999999999</v>
      </c>
      <c r="D181" s="301">
        <v>0.15</v>
      </c>
      <c r="E181" s="301">
        <v>7.2652384341000006E-2</v>
      </c>
      <c r="F181" s="301">
        <v>-0.20250000000000001</v>
      </c>
      <c r="G181" s="301">
        <v>-0.04</v>
      </c>
      <c r="H181" s="301">
        <v>-0.20250000000000001</v>
      </c>
      <c r="I181" s="301">
        <v>0.26</v>
      </c>
      <c r="J181" s="301">
        <v>0.33750000000000002</v>
      </c>
      <c r="K181" s="301">
        <v>-4.2500000000000003E-2</v>
      </c>
      <c r="L181" s="301">
        <v>-1.5E-3</v>
      </c>
      <c r="M181" s="301">
        <v>0</v>
      </c>
      <c r="N181" s="301">
        <v>1.0999999999999999E-2</v>
      </c>
      <c r="O181" s="301">
        <v>1.9E-2</v>
      </c>
      <c r="P181" s="298">
        <v>-0.01</v>
      </c>
      <c r="Q181" s="298">
        <v>-0.03</v>
      </c>
      <c r="R181" s="298">
        <v>-2.3E-2</v>
      </c>
      <c r="S181" s="298">
        <v>-7.4999999999999997E-2</v>
      </c>
      <c r="T181" s="298">
        <v>-0.14499999999999999</v>
      </c>
      <c r="U181" s="298">
        <v>1.4</v>
      </c>
      <c r="V181" s="298">
        <v>5.0000000000000001E-3</v>
      </c>
      <c r="W181" s="298">
        <v>-0.19</v>
      </c>
      <c r="X181" s="298">
        <v>-9.4999999999999998E-3</v>
      </c>
      <c r="Y181" s="313">
        <v>0.1</v>
      </c>
      <c r="Z181" s="313">
        <v>0</v>
      </c>
      <c r="AA181" s="445">
        <v>0.15</v>
      </c>
      <c r="AB181" s="445">
        <v>0.16500000000000001</v>
      </c>
      <c r="AC181" s="445">
        <v>0.15</v>
      </c>
      <c r="AD181" s="445">
        <v>0.15</v>
      </c>
      <c r="AE181" s="445">
        <v>0.15</v>
      </c>
      <c r="AF181" s="445">
        <v>0.15</v>
      </c>
      <c r="AG181" s="445">
        <v>0.15</v>
      </c>
      <c r="AH181" s="445">
        <v>0.15</v>
      </c>
      <c r="AI181" s="446">
        <v>0.15</v>
      </c>
      <c r="AJ181" s="446">
        <v>0.15</v>
      </c>
      <c r="AK181" s="446">
        <v>0.15</v>
      </c>
      <c r="AL181" s="445">
        <v>0.15</v>
      </c>
      <c r="AM181" s="298">
        <v>7.2149526198323002E-2</v>
      </c>
      <c r="AO181" s="313">
        <f t="shared" si="21"/>
        <v>0.16500000000000001</v>
      </c>
      <c r="AP181" s="313">
        <f t="shared" si="22"/>
        <v>0.16500000000000001</v>
      </c>
      <c r="AQ181" s="316">
        <f t="shared" si="23"/>
        <v>0.16500000000000001</v>
      </c>
      <c r="AR181" s="315">
        <f t="shared" si="24"/>
        <v>41671</v>
      </c>
      <c r="AS181" s="313">
        <f t="shared" si="18"/>
        <v>0.37612133941591486</v>
      </c>
      <c r="AT181" s="313">
        <f t="shared" si="19"/>
        <v>0.37619433474950259</v>
      </c>
      <c r="AV181" s="315">
        <f t="shared" si="25"/>
        <v>41671</v>
      </c>
      <c r="AW181" s="298">
        <v>169</v>
      </c>
    </row>
    <row r="182" spans="2:49" x14ac:dyDescent="0.25">
      <c r="B182" s="303">
        <f t="shared" si="20"/>
        <v>41699</v>
      </c>
      <c r="C182" s="301">
        <v>3.395</v>
      </c>
      <c r="D182" s="301">
        <v>0.15</v>
      </c>
      <c r="E182" s="301">
        <v>7.2655994604938004E-2</v>
      </c>
      <c r="F182" s="301">
        <v>-0.20499999999999999</v>
      </c>
      <c r="G182" s="301">
        <v>-2.75E-2</v>
      </c>
      <c r="H182" s="301">
        <v>-0.20499999999999999</v>
      </c>
      <c r="I182" s="301">
        <v>0.25700000000000001</v>
      </c>
      <c r="J182" s="301">
        <v>0.26</v>
      </c>
      <c r="K182" s="301">
        <v>-4.3999999999999997E-2</v>
      </c>
      <c r="L182" s="301">
        <v>-1.5E-3</v>
      </c>
      <c r="M182" s="301">
        <v>0</v>
      </c>
      <c r="N182" s="301">
        <v>1.0999999999999999E-2</v>
      </c>
      <c r="O182" s="301">
        <v>1.9E-2</v>
      </c>
      <c r="P182" s="298">
        <v>-0.01</v>
      </c>
      <c r="Q182" s="298">
        <v>-0.03</v>
      </c>
      <c r="R182" s="298">
        <v>-4.7000000000000002E-3</v>
      </c>
      <c r="S182" s="298">
        <v>-6.25E-2</v>
      </c>
      <c r="T182" s="298">
        <v>-0.14499999999999999</v>
      </c>
      <c r="U182" s="298">
        <v>0.88</v>
      </c>
      <c r="V182" s="298">
        <v>5.0000000000000001E-3</v>
      </c>
      <c r="W182" s="298">
        <v>-0.19</v>
      </c>
      <c r="X182" s="298">
        <v>-9.4999999999999998E-3</v>
      </c>
      <c r="Y182" s="313">
        <v>0.1</v>
      </c>
      <c r="Z182" s="313">
        <v>0</v>
      </c>
      <c r="AA182" s="445">
        <v>0.15</v>
      </c>
      <c r="AB182" s="445">
        <v>0.16500000000000001</v>
      </c>
      <c r="AC182" s="445">
        <v>0.15</v>
      </c>
      <c r="AD182" s="445">
        <v>0.15</v>
      </c>
      <c r="AE182" s="445">
        <v>0.15</v>
      </c>
      <c r="AF182" s="445">
        <v>0.15</v>
      </c>
      <c r="AG182" s="445">
        <v>0.15</v>
      </c>
      <c r="AH182" s="445">
        <v>0.15</v>
      </c>
      <c r="AI182" s="446">
        <v>0.15</v>
      </c>
      <c r="AJ182" s="446">
        <v>0.15</v>
      </c>
      <c r="AK182" s="446">
        <v>0.15</v>
      </c>
      <c r="AL182" s="445">
        <v>0.15</v>
      </c>
      <c r="AM182" s="298">
        <v>7.2151040797391E-2</v>
      </c>
      <c r="AO182" s="313">
        <f t="shared" si="21"/>
        <v>0.16500000000000001</v>
      </c>
      <c r="AP182" s="313">
        <f t="shared" si="22"/>
        <v>0.16500000000000001</v>
      </c>
      <c r="AQ182" s="316">
        <f t="shared" si="23"/>
        <v>0.16500000000000001</v>
      </c>
      <c r="AR182" s="315">
        <f t="shared" si="24"/>
        <v>41699</v>
      </c>
      <c r="AS182" s="313">
        <f t="shared" si="18"/>
        <v>0.37407562420840063</v>
      </c>
      <c r="AT182" s="313">
        <f t="shared" si="19"/>
        <v>0.37414822401954473</v>
      </c>
      <c r="AV182" s="315">
        <f t="shared" si="25"/>
        <v>41699</v>
      </c>
      <c r="AW182" s="298">
        <v>170</v>
      </c>
    </row>
    <row r="183" spans="2:49" x14ac:dyDescent="0.25">
      <c r="B183" s="303">
        <f t="shared" si="20"/>
        <v>41730</v>
      </c>
      <c r="C183" s="301">
        <v>3.3279999999999998</v>
      </c>
      <c r="D183" s="301">
        <v>0.15</v>
      </c>
      <c r="E183" s="301">
        <v>7.2659991682885006E-2</v>
      </c>
      <c r="F183" s="301">
        <v>-0.19500000000000001</v>
      </c>
      <c r="G183" s="301">
        <v>1.4999999999999999E-2</v>
      </c>
      <c r="H183" s="301">
        <v>-0.19500000000000001</v>
      </c>
      <c r="I183" s="301">
        <v>0.155</v>
      </c>
      <c r="J183" s="301">
        <v>0.17</v>
      </c>
      <c r="K183" s="301">
        <v>-5.3999999999999999E-2</v>
      </c>
      <c r="L183" s="301">
        <v>-4.0000000000000001E-3</v>
      </c>
      <c r="M183" s="301">
        <v>0</v>
      </c>
      <c r="N183" s="301">
        <v>6.4999999999999997E-3</v>
      </c>
      <c r="O183" s="301">
        <v>1.6500000000000001E-2</v>
      </c>
      <c r="P183" s="298">
        <v>-1.2E-2</v>
      </c>
      <c r="Q183" s="298">
        <v>-0.03</v>
      </c>
      <c r="R183" s="298">
        <v>-4.7000000000000002E-3</v>
      </c>
      <c r="S183" s="298">
        <v>-4.4999999999999998E-2</v>
      </c>
      <c r="T183" s="298">
        <v>-0.105</v>
      </c>
      <c r="U183" s="298">
        <v>0.37</v>
      </c>
      <c r="V183" s="298">
        <v>5.0000000000000001E-3</v>
      </c>
      <c r="W183" s="298">
        <v>-0.19</v>
      </c>
      <c r="X183" s="298">
        <v>-9.4999999999999998E-3</v>
      </c>
      <c r="Y183" s="313">
        <v>0.1875</v>
      </c>
      <c r="Z183" s="313">
        <v>0</v>
      </c>
      <c r="AA183" s="445">
        <v>0.15</v>
      </c>
      <c r="AB183" s="445">
        <v>0.14699999999999999</v>
      </c>
      <c r="AC183" s="445">
        <v>0.15</v>
      </c>
      <c r="AD183" s="445">
        <v>0.15</v>
      </c>
      <c r="AE183" s="445">
        <v>0.14699999999999999</v>
      </c>
      <c r="AF183" s="445">
        <v>0.15</v>
      </c>
      <c r="AG183" s="445">
        <v>0.15</v>
      </c>
      <c r="AH183" s="445">
        <v>0.15</v>
      </c>
      <c r="AI183" s="446">
        <v>0.15</v>
      </c>
      <c r="AJ183" s="446">
        <v>0.15</v>
      </c>
      <c r="AK183" s="446">
        <v>0.15</v>
      </c>
      <c r="AL183" s="445">
        <v>0.15</v>
      </c>
      <c r="AM183" s="298">
        <v>7.2152717674932004E-2</v>
      </c>
      <c r="AO183" s="313">
        <f t="shared" si="21"/>
        <v>0.14699999999999999</v>
      </c>
      <c r="AP183" s="313">
        <f t="shared" si="22"/>
        <v>0.14699999999999999</v>
      </c>
      <c r="AQ183" s="316">
        <f t="shared" si="23"/>
        <v>0.14699999999999999</v>
      </c>
      <c r="AR183" s="315">
        <f t="shared" si="24"/>
        <v>41730</v>
      </c>
      <c r="AS183" s="313">
        <f t="shared" si="18"/>
        <v>0.37182360416634147</v>
      </c>
      <c r="AT183" s="313">
        <f t="shared" si="19"/>
        <v>0.37189576855810541</v>
      </c>
      <c r="AV183" s="315">
        <f t="shared" si="25"/>
        <v>41730</v>
      </c>
      <c r="AW183" s="298">
        <v>171</v>
      </c>
    </row>
    <row r="184" spans="2:49" x14ac:dyDescent="0.25">
      <c r="B184" s="303">
        <f t="shared" si="20"/>
        <v>41760</v>
      </c>
      <c r="C184" s="301">
        <v>3.37</v>
      </c>
      <c r="D184" s="301">
        <v>0.15</v>
      </c>
      <c r="E184" s="301">
        <v>7.2663859822839003E-2</v>
      </c>
      <c r="F184" s="301">
        <v>-0.19500000000000001</v>
      </c>
      <c r="G184" s="301">
        <v>1.4999999999999999E-2</v>
      </c>
      <c r="H184" s="301">
        <v>-0.19500000000000001</v>
      </c>
      <c r="I184" s="301">
        <v>0.158</v>
      </c>
      <c r="J184" s="301">
        <v>0.155</v>
      </c>
      <c r="K184" s="301">
        <v>-3.6499999999999998E-2</v>
      </c>
      <c r="L184" s="301">
        <v>-4.0000000000000001E-3</v>
      </c>
      <c r="M184" s="301">
        <v>0</v>
      </c>
      <c r="N184" s="301">
        <v>6.4999999999999997E-3</v>
      </c>
      <c r="O184" s="301">
        <v>1.6500000000000001E-2</v>
      </c>
      <c r="P184" s="298">
        <v>-1.2E-2</v>
      </c>
      <c r="Q184" s="298">
        <v>-0.03</v>
      </c>
      <c r="R184" s="298">
        <v>-4.9500000000000004E-3</v>
      </c>
      <c r="S184" s="298">
        <v>-4.7500000000000001E-2</v>
      </c>
      <c r="T184" s="298">
        <v>-0.105</v>
      </c>
      <c r="U184" s="298">
        <v>0.2525</v>
      </c>
      <c r="V184" s="298">
        <v>5.0000000000000001E-3</v>
      </c>
      <c r="W184" s="298">
        <v>-0.19</v>
      </c>
      <c r="X184" s="298">
        <v>-6.0000000000000001E-3</v>
      </c>
      <c r="Y184" s="313">
        <v>0.1875</v>
      </c>
      <c r="Z184" s="313">
        <v>0</v>
      </c>
      <c r="AA184" s="445">
        <v>0.15</v>
      </c>
      <c r="AB184" s="445">
        <v>0.14699999999999999</v>
      </c>
      <c r="AC184" s="445">
        <v>0.15</v>
      </c>
      <c r="AD184" s="445">
        <v>0.15</v>
      </c>
      <c r="AE184" s="445">
        <v>0.14699999999999999</v>
      </c>
      <c r="AF184" s="445">
        <v>0.15</v>
      </c>
      <c r="AG184" s="445">
        <v>0.15</v>
      </c>
      <c r="AH184" s="445">
        <v>0.15</v>
      </c>
      <c r="AI184" s="446">
        <v>0.15</v>
      </c>
      <c r="AJ184" s="446">
        <v>0.15</v>
      </c>
      <c r="AK184" s="446">
        <v>0.15</v>
      </c>
      <c r="AL184" s="445">
        <v>0.15</v>
      </c>
      <c r="AM184" s="298">
        <v>7.2154340459650995E-2</v>
      </c>
      <c r="AO184" s="313">
        <f t="shared" si="21"/>
        <v>0.14699999999999999</v>
      </c>
      <c r="AP184" s="313">
        <f t="shared" si="22"/>
        <v>0.14699999999999999</v>
      </c>
      <c r="AQ184" s="316">
        <f t="shared" si="23"/>
        <v>0.14699999999999999</v>
      </c>
      <c r="AR184" s="315">
        <f t="shared" si="24"/>
        <v>41760</v>
      </c>
      <c r="AS184" s="313">
        <f t="shared" si="18"/>
        <v>0.36965704278827144</v>
      </c>
      <c r="AT184" s="313">
        <f t="shared" si="19"/>
        <v>0.36972878827423761</v>
      </c>
      <c r="AV184" s="315">
        <f t="shared" si="25"/>
        <v>41760</v>
      </c>
      <c r="AW184" s="298">
        <v>172</v>
      </c>
    </row>
    <row r="185" spans="2:49" x14ac:dyDescent="0.25">
      <c r="B185" s="303">
        <f t="shared" si="20"/>
        <v>41791</v>
      </c>
      <c r="C185" s="301">
        <v>3.383</v>
      </c>
      <c r="D185" s="301">
        <v>0.15</v>
      </c>
      <c r="E185" s="301">
        <v>7.2667856900795996E-2</v>
      </c>
      <c r="F185" s="301">
        <v>-0.19500000000000001</v>
      </c>
      <c r="G185" s="301">
        <v>0.02</v>
      </c>
      <c r="H185" s="301">
        <v>-0.19500000000000001</v>
      </c>
      <c r="I185" s="301">
        <v>0.153</v>
      </c>
      <c r="J185" s="301">
        <v>0.155</v>
      </c>
      <c r="K185" s="301">
        <v>-3.15E-2</v>
      </c>
      <c r="L185" s="301">
        <v>-4.0000000000000001E-3</v>
      </c>
      <c r="M185" s="301">
        <v>0</v>
      </c>
      <c r="N185" s="301">
        <v>6.4999999999999997E-3</v>
      </c>
      <c r="O185" s="301">
        <v>1.6500000000000001E-2</v>
      </c>
      <c r="P185" s="298">
        <v>-9.4999999999999998E-3</v>
      </c>
      <c r="Q185" s="298">
        <v>-0.03</v>
      </c>
      <c r="R185" s="298">
        <v>-4.9500000000000004E-3</v>
      </c>
      <c r="S185" s="298">
        <v>-0.04</v>
      </c>
      <c r="T185" s="298">
        <v>-0.105</v>
      </c>
      <c r="U185" s="298">
        <v>0.2525</v>
      </c>
      <c r="V185" s="298">
        <v>5.0000000000000001E-3</v>
      </c>
      <c r="W185" s="298">
        <v>-0.19</v>
      </c>
      <c r="X185" s="298">
        <v>-8.5000000000000006E-3</v>
      </c>
      <c r="Y185" s="313">
        <v>0.1875</v>
      </c>
      <c r="Z185" s="313">
        <v>0</v>
      </c>
      <c r="AA185" s="445">
        <v>0.15</v>
      </c>
      <c r="AB185" s="445">
        <v>0.14699999999999999</v>
      </c>
      <c r="AC185" s="445">
        <v>0.15</v>
      </c>
      <c r="AD185" s="445">
        <v>0.15</v>
      </c>
      <c r="AE185" s="445">
        <v>0.14699999999999999</v>
      </c>
      <c r="AF185" s="445">
        <v>0.15</v>
      </c>
      <c r="AG185" s="445">
        <v>0.15</v>
      </c>
      <c r="AH185" s="445">
        <v>0.15</v>
      </c>
      <c r="AI185" s="446">
        <v>0.15</v>
      </c>
      <c r="AJ185" s="446">
        <v>0.15</v>
      </c>
      <c r="AK185" s="446">
        <v>0.15</v>
      </c>
      <c r="AL185" s="445">
        <v>0.15</v>
      </c>
      <c r="AM185" s="298">
        <v>7.2156017337193998E-2</v>
      </c>
      <c r="AO185" s="313">
        <f t="shared" si="21"/>
        <v>0.14699999999999999</v>
      </c>
      <c r="AP185" s="313">
        <f t="shared" si="22"/>
        <v>0.14699999999999999</v>
      </c>
      <c r="AQ185" s="316">
        <f t="shared" si="23"/>
        <v>0.14699999999999999</v>
      </c>
      <c r="AR185" s="315">
        <f t="shared" si="24"/>
        <v>41791</v>
      </c>
      <c r="AS185" s="313">
        <f t="shared" si="18"/>
        <v>0.36743142498623454</v>
      </c>
      <c r="AT185" s="313">
        <f t="shared" si="19"/>
        <v>0.36750274013803308</v>
      </c>
      <c r="AV185" s="315">
        <f t="shared" si="25"/>
        <v>41791</v>
      </c>
      <c r="AW185" s="298">
        <v>173</v>
      </c>
    </row>
    <row r="186" spans="2:49" x14ac:dyDescent="0.25">
      <c r="B186" s="303">
        <f t="shared" si="20"/>
        <v>41821</v>
      </c>
      <c r="C186" s="301">
        <v>3.383</v>
      </c>
      <c r="D186" s="301">
        <v>0.15</v>
      </c>
      <c r="E186" s="301">
        <v>7.2671725040759E-2</v>
      </c>
      <c r="F186" s="301">
        <v>-0.19500000000000001</v>
      </c>
      <c r="G186" s="301">
        <v>2.2499999999999999E-2</v>
      </c>
      <c r="H186" s="301">
        <v>-0.19500000000000001</v>
      </c>
      <c r="I186" s="301">
        <v>0.14199999999999999</v>
      </c>
      <c r="J186" s="301">
        <v>0.155</v>
      </c>
      <c r="K186" s="301">
        <v>-3.15E-2</v>
      </c>
      <c r="L186" s="301">
        <v>-4.0000000000000001E-3</v>
      </c>
      <c r="M186" s="301">
        <v>0</v>
      </c>
      <c r="N186" s="301">
        <v>6.4999999999999997E-3</v>
      </c>
      <c r="O186" s="301">
        <v>1.6500000000000001E-2</v>
      </c>
      <c r="P186" s="298">
        <v>-9.4999999999999998E-3</v>
      </c>
      <c r="Q186" s="298">
        <v>-0.03</v>
      </c>
      <c r="R186" s="298">
        <v>-4.9500000000000004E-3</v>
      </c>
      <c r="S186" s="298">
        <v>-0.04</v>
      </c>
      <c r="T186" s="298">
        <v>-0.105</v>
      </c>
      <c r="U186" s="298">
        <v>0.25750000000000001</v>
      </c>
      <c r="V186" s="298">
        <v>5.0000000000000001E-3</v>
      </c>
      <c r="W186" s="298">
        <v>-0.19</v>
      </c>
      <c r="X186" s="298">
        <v>-8.5000000000000006E-3</v>
      </c>
      <c r="Y186" s="313">
        <v>0.1875</v>
      </c>
      <c r="Z186" s="313">
        <v>0</v>
      </c>
      <c r="AA186" s="445">
        <v>0.15</v>
      </c>
      <c r="AB186" s="445">
        <v>0.14699999999999999</v>
      </c>
      <c r="AC186" s="445">
        <v>0.15</v>
      </c>
      <c r="AD186" s="445">
        <v>0.15</v>
      </c>
      <c r="AE186" s="445">
        <v>0.14699999999999999</v>
      </c>
      <c r="AF186" s="445">
        <v>0.15</v>
      </c>
      <c r="AG186" s="445">
        <v>0.15</v>
      </c>
      <c r="AH186" s="445">
        <v>0.15</v>
      </c>
      <c r="AI186" s="446">
        <v>0.15</v>
      </c>
      <c r="AJ186" s="446">
        <v>0.15</v>
      </c>
      <c r="AK186" s="446">
        <v>0.15</v>
      </c>
      <c r="AL186" s="445">
        <v>0.15</v>
      </c>
      <c r="AM186" s="298">
        <v>7.2157640121913003E-2</v>
      </c>
      <c r="AO186" s="313">
        <f t="shared" si="21"/>
        <v>0.14699999999999999</v>
      </c>
      <c r="AP186" s="313">
        <f t="shared" si="22"/>
        <v>0.14699999999999999</v>
      </c>
      <c r="AQ186" s="316">
        <f t="shared" si="23"/>
        <v>0.14699999999999999</v>
      </c>
      <c r="AR186" s="315">
        <f t="shared" si="24"/>
        <v>41821</v>
      </c>
      <c r="AS186" s="313">
        <f t="shared" si="18"/>
        <v>0.36529026509524704</v>
      </c>
      <c r="AT186" s="313">
        <f t="shared" si="19"/>
        <v>0.36536116623382253</v>
      </c>
      <c r="AV186" s="315">
        <f t="shared" si="25"/>
        <v>41821</v>
      </c>
      <c r="AW186" s="298">
        <v>174</v>
      </c>
    </row>
    <row r="187" spans="2:49" x14ac:dyDescent="0.25">
      <c r="B187" s="303">
        <f t="shared" si="20"/>
        <v>41852</v>
      </c>
      <c r="C187" s="301">
        <v>3.3860000000000001</v>
      </c>
      <c r="D187" s="301">
        <v>0.15</v>
      </c>
      <c r="E187" s="301">
        <v>7.2675722118725999E-2</v>
      </c>
      <c r="F187" s="301">
        <v>-0.19500000000000001</v>
      </c>
      <c r="G187" s="301">
        <v>2.5000000000000001E-2</v>
      </c>
      <c r="H187" s="301">
        <v>-0.19500000000000001</v>
      </c>
      <c r="I187" s="301">
        <v>0.14000000000000001</v>
      </c>
      <c r="J187" s="301">
        <v>0.155</v>
      </c>
      <c r="K187" s="301">
        <v>-3.15E-2</v>
      </c>
      <c r="L187" s="301">
        <v>-4.0000000000000001E-3</v>
      </c>
      <c r="M187" s="301">
        <v>0</v>
      </c>
      <c r="N187" s="301">
        <v>6.4999999999999997E-3</v>
      </c>
      <c r="O187" s="301">
        <v>1.6500000000000001E-2</v>
      </c>
      <c r="P187" s="298">
        <v>-9.4999999999999998E-3</v>
      </c>
      <c r="Q187" s="298">
        <v>-0.03</v>
      </c>
      <c r="R187" s="298">
        <v>-2.2499999999999998E-3</v>
      </c>
      <c r="S187" s="298">
        <v>-0.04</v>
      </c>
      <c r="T187" s="298">
        <v>-0.105</v>
      </c>
      <c r="U187" s="298">
        <v>0.25750000000000001</v>
      </c>
      <c r="V187" s="298">
        <v>5.0000000000000001E-3</v>
      </c>
      <c r="W187" s="298">
        <v>-0.19</v>
      </c>
      <c r="X187" s="298">
        <v>-8.5000000000000006E-3</v>
      </c>
      <c r="Y187" s="313">
        <v>0.1875</v>
      </c>
      <c r="Z187" s="313">
        <v>0</v>
      </c>
      <c r="AA187" s="445">
        <v>0.15</v>
      </c>
      <c r="AB187" s="445">
        <v>0.14699999999999999</v>
      </c>
      <c r="AC187" s="445">
        <v>0.15</v>
      </c>
      <c r="AD187" s="445">
        <v>0.15</v>
      </c>
      <c r="AE187" s="445">
        <v>0.14699999999999999</v>
      </c>
      <c r="AF187" s="445">
        <v>0.15</v>
      </c>
      <c r="AG187" s="445">
        <v>0.15</v>
      </c>
      <c r="AH187" s="445">
        <v>0.15</v>
      </c>
      <c r="AI187" s="446">
        <v>0.15</v>
      </c>
      <c r="AJ187" s="446">
        <v>0.15</v>
      </c>
      <c r="AK187" s="446">
        <v>0.15</v>
      </c>
      <c r="AL187" s="445">
        <v>0.15</v>
      </c>
      <c r="AM187" s="298">
        <v>7.2159316999459003E-2</v>
      </c>
      <c r="AO187" s="313">
        <f t="shared" si="21"/>
        <v>0.14699999999999999</v>
      </c>
      <c r="AP187" s="313">
        <f t="shared" si="22"/>
        <v>0.14699999999999999</v>
      </c>
      <c r="AQ187" s="316">
        <f t="shared" si="23"/>
        <v>0.14699999999999999</v>
      </c>
      <c r="AR187" s="315">
        <f t="shared" si="24"/>
        <v>41852</v>
      </c>
      <c r="AS187" s="313">
        <f t="shared" si="18"/>
        <v>0.36309074235627853</v>
      </c>
      <c r="AT187" s="313">
        <f t="shared" si="19"/>
        <v>0.36316121818696601</v>
      </c>
      <c r="AV187" s="315">
        <f t="shared" si="25"/>
        <v>41852</v>
      </c>
      <c r="AW187" s="298">
        <v>175</v>
      </c>
    </row>
    <row r="188" spans="2:49" x14ac:dyDescent="0.25">
      <c r="B188" s="303">
        <f t="shared" si="20"/>
        <v>41883</v>
      </c>
      <c r="C188" s="301">
        <v>3.379</v>
      </c>
      <c r="D188" s="301">
        <v>0.15</v>
      </c>
      <c r="E188" s="301">
        <v>7.2679719196699993E-2</v>
      </c>
      <c r="F188" s="301">
        <v>-0.19500000000000001</v>
      </c>
      <c r="G188" s="301">
        <v>1.7500000000000002E-2</v>
      </c>
      <c r="H188" s="301">
        <v>-0.19500000000000001</v>
      </c>
      <c r="I188" s="301">
        <v>0.13700000000000001</v>
      </c>
      <c r="J188" s="301">
        <v>0.155</v>
      </c>
      <c r="K188" s="301">
        <v>-3.4000000000000002E-2</v>
      </c>
      <c r="L188" s="301">
        <v>-4.0000000000000001E-3</v>
      </c>
      <c r="M188" s="301">
        <v>0</v>
      </c>
      <c r="N188" s="301">
        <v>6.4999999999999997E-3</v>
      </c>
      <c r="O188" s="301">
        <v>1.6500000000000001E-2</v>
      </c>
      <c r="P188" s="298">
        <v>-9.4999999999999998E-3</v>
      </c>
      <c r="Q188" s="298">
        <v>-0.03</v>
      </c>
      <c r="R188" s="298">
        <v>-2.2499999999999998E-3</v>
      </c>
      <c r="S188" s="298">
        <v>-4.4999999999999998E-2</v>
      </c>
      <c r="T188" s="298">
        <v>-0.105</v>
      </c>
      <c r="U188" s="298">
        <v>0.2525</v>
      </c>
      <c r="V188" s="298">
        <v>5.0000000000000001E-3</v>
      </c>
      <c r="W188" s="298">
        <v>-0.19</v>
      </c>
      <c r="X188" s="298">
        <v>-1.0999999999999999E-2</v>
      </c>
      <c r="Y188" s="313">
        <v>0.1875</v>
      </c>
      <c r="Z188" s="313">
        <v>0</v>
      </c>
      <c r="AA188" s="445">
        <v>0.15</v>
      </c>
      <c r="AB188" s="445">
        <v>0.14699999999999999</v>
      </c>
      <c r="AC188" s="445">
        <v>0.15</v>
      </c>
      <c r="AD188" s="445">
        <v>0.15</v>
      </c>
      <c r="AE188" s="445">
        <v>0.14699999999999999</v>
      </c>
      <c r="AF188" s="445">
        <v>0.15</v>
      </c>
      <c r="AG188" s="445">
        <v>0.15</v>
      </c>
      <c r="AH188" s="445">
        <v>0.15</v>
      </c>
      <c r="AI188" s="446">
        <v>0.15</v>
      </c>
      <c r="AJ188" s="446">
        <v>0.15</v>
      </c>
      <c r="AK188" s="446">
        <v>0.15</v>
      </c>
      <c r="AL188" s="445">
        <v>0.15</v>
      </c>
      <c r="AM188" s="298">
        <v>7.2160993877004004E-2</v>
      </c>
      <c r="AO188" s="313">
        <f t="shared" si="21"/>
        <v>0.14699999999999999</v>
      </c>
      <c r="AP188" s="313">
        <f t="shared" si="22"/>
        <v>0.14699999999999999</v>
      </c>
      <c r="AQ188" s="316">
        <f t="shared" si="23"/>
        <v>0.14699999999999999</v>
      </c>
      <c r="AR188" s="315">
        <f t="shared" si="24"/>
        <v>41883</v>
      </c>
      <c r="AS188" s="313">
        <f t="shared" si="18"/>
        <v>0.36090436446105756</v>
      </c>
      <c r="AT188" s="313">
        <f t="shared" si="19"/>
        <v>0.36097441751582854</v>
      </c>
      <c r="AV188" s="315">
        <f t="shared" si="25"/>
        <v>41883</v>
      </c>
      <c r="AW188" s="298">
        <v>176</v>
      </c>
    </row>
    <row r="189" spans="2:49" x14ac:dyDescent="0.25">
      <c r="B189" s="303">
        <f t="shared" si="20"/>
        <v>41913</v>
      </c>
      <c r="C189" s="301">
        <v>3.395</v>
      </c>
      <c r="D189" s="301">
        <v>0.15</v>
      </c>
      <c r="E189" s="301">
        <v>7.2683587336677999E-2</v>
      </c>
      <c r="F189" s="301">
        <v>-0.19500000000000001</v>
      </c>
      <c r="G189" s="301">
        <v>7.4999999999999997E-3</v>
      </c>
      <c r="H189" s="301">
        <v>-0.19500000000000001</v>
      </c>
      <c r="I189" s="301">
        <v>0.153</v>
      </c>
      <c r="J189" s="301">
        <v>0.1575</v>
      </c>
      <c r="K189" s="301">
        <v>-3.4000000000000002E-2</v>
      </c>
      <c r="L189" s="301">
        <v>-4.0000000000000001E-3</v>
      </c>
      <c r="M189" s="301">
        <v>0</v>
      </c>
      <c r="N189" s="301">
        <v>6.4999999999999997E-3</v>
      </c>
      <c r="O189" s="301">
        <v>1.6500000000000001E-2</v>
      </c>
      <c r="P189" s="298">
        <v>-9.4999999999999998E-3</v>
      </c>
      <c r="Q189" s="298">
        <v>-0.03</v>
      </c>
      <c r="R189" s="298">
        <v>-2.3E-2</v>
      </c>
      <c r="S189" s="298">
        <v>-4.4999999999999998E-2</v>
      </c>
      <c r="T189" s="298">
        <v>-0.105</v>
      </c>
      <c r="U189" s="298">
        <v>0.255</v>
      </c>
      <c r="V189" s="298">
        <v>5.0000000000000001E-3</v>
      </c>
      <c r="W189" s="298">
        <v>-0.19</v>
      </c>
      <c r="X189" s="298">
        <v>-1.0999999999999999E-2</v>
      </c>
      <c r="Y189" s="313">
        <v>0.1875</v>
      </c>
      <c r="Z189" s="313">
        <v>0</v>
      </c>
      <c r="AA189" s="445">
        <v>0.15</v>
      </c>
      <c r="AB189" s="445">
        <v>0.14699999999999999</v>
      </c>
      <c r="AC189" s="445">
        <v>0.15</v>
      </c>
      <c r="AD189" s="445">
        <v>0.15</v>
      </c>
      <c r="AE189" s="445">
        <v>0.14699999999999999</v>
      </c>
      <c r="AF189" s="445">
        <v>0.15</v>
      </c>
      <c r="AG189" s="445">
        <v>0.15</v>
      </c>
      <c r="AH189" s="445">
        <v>0.15</v>
      </c>
      <c r="AI189" s="446">
        <v>0.15</v>
      </c>
      <c r="AJ189" s="446">
        <v>0.15</v>
      </c>
      <c r="AK189" s="446">
        <v>0.15</v>
      </c>
      <c r="AL189" s="445">
        <v>0.15</v>
      </c>
      <c r="AM189" s="298">
        <v>7.2162616661727005E-2</v>
      </c>
      <c r="AO189" s="313">
        <f t="shared" si="21"/>
        <v>0.14699999999999999</v>
      </c>
      <c r="AP189" s="313">
        <f t="shared" si="22"/>
        <v>0.14699999999999999</v>
      </c>
      <c r="AQ189" s="316">
        <f t="shared" si="23"/>
        <v>0.14699999999999999</v>
      </c>
      <c r="AR189" s="315">
        <f t="shared" si="24"/>
        <v>41913</v>
      </c>
      <c r="AS189" s="313">
        <f t="shared" si="18"/>
        <v>0.35880095709825865</v>
      </c>
      <c r="AT189" s="313">
        <f t="shared" si="19"/>
        <v>0.35887060341173166</v>
      </c>
      <c r="AV189" s="315">
        <f t="shared" si="25"/>
        <v>41913</v>
      </c>
      <c r="AW189" s="298">
        <v>177</v>
      </c>
    </row>
    <row r="190" spans="2:49" x14ac:dyDescent="0.25">
      <c r="B190" s="303">
        <f t="shared" si="20"/>
        <v>41944</v>
      </c>
      <c r="C190" s="301">
        <v>3.4729999999999999</v>
      </c>
      <c r="D190" s="301">
        <v>0.15</v>
      </c>
      <c r="E190" s="301">
        <v>7.2687584414661999E-2</v>
      </c>
      <c r="F190" s="301">
        <v>-0.19</v>
      </c>
      <c r="G190" s="301">
        <v>-3.2500000000000001E-2</v>
      </c>
      <c r="H190" s="301">
        <v>-0.19</v>
      </c>
      <c r="I190" s="301">
        <v>0.23</v>
      </c>
      <c r="J190" s="301">
        <v>0.24</v>
      </c>
      <c r="K190" s="301">
        <v>-4.0500000000000001E-2</v>
      </c>
      <c r="L190" s="301">
        <v>-1.5E-3</v>
      </c>
      <c r="M190" s="301">
        <v>0</v>
      </c>
      <c r="N190" s="301">
        <v>1.0999999999999999E-2</v>
      </c>
      <c r="O190" s="301">
        <v>2.1000000000000001E-2</v>
      </c>
      <c r="P190" s="298">
        <v>-1.2500000000000001E-2</v>
      </c>
      <c r="Q190" s="298">
        <v>-0.03</v>
      </c>
      <c r="R190" s="298">
        <v>-2.1999999999999999E-2</v>
      </c>
      <c r="S190" s="298">
        <v>-0.06</v>
      </c>
      <c r="T190" s="298">
        <v>-0.14499999999999999</v>
      </c>
      <c r="U190" s="298">
        <v>0.72499999999999998</v>
      </c>
      <c r="V190" s="298">
        <v>5.0000000000000001E-3</v>
      </c>
      <c r="W190" s="298">
        <v>-0.19</v>
      </c>
      <c r="X190" s="298">
        <v>-8.5000000000000006E-3</v>
      </c>
      <c r="Y190" s="313">
        <v>0.1</v>
      </c>
      <c r="Z190" s="313">
        <v>0</v>
      </c>
      <c r="AA190" s="445">
        <v>0.15</v>
      </c>
      <c r="AB190" s="445">
        <v>0.16500000000000001</v>
      </c>
      <c r="AC190" s="445">
        <v>0.15</v>
      </c>
      <c r="AD190" s="445">
        <v>0.15</v>
      </c>
      <c r="AE190" s="445">
        <v>0.15</v>
      </c>
      <c r="AF190" s="445">
        <v>0.15</v>
      </c>
      <c r="AG190" s="445">
        <v>0.15</v>
      </c>
      <c r="AH190" s="445">
        <v>0.15</v>
      </c>
      <c r="AI190" s="446">
        <v>0.15</v>
      </c>
      <c r="AJ190" s="446">
        <v>0.15</v>
      </c>
      <c r="AK190" s="446">
        <v>0.15</v>
      </c>
      <c r="AL190" s="445">
        <v>0.15</v>
      </c>
      <c r="AM190" s="298">
        <v>7.2164293539275004E-2</v>
      </c>
      <c r="AO190" s="313">
        <f t="shared" si="21"/>
        <v>0.16500000000000001</v>
      </c>
      <c r="AP190" s="313">
        <f t="shared" si="22"/>
        <v>0.16500000000000001</v>
      </c>
      <c r="AQ190" s="316">
        <f t="shared" si="23"/>
        <v>0.16500000000000001</v>
      </c>
      <c r="AR190" s="315">
        <f t="shared" si="24"/>
        <v>41944</v>
      </c>
      <c r="AS190" s="313">
        <f t="shared" si="18"/>
        <v>0.35664021767677706</v>
      </c>
      <c r="AT190" s="313">
        <f t="shared" si="19"/>
        <v>0.35670944615301009</v>
      </c>
      <c r="AV190" s="315">
        <f t="shared" si="25"/>
        <v>41944</v>
      </c>
      <c r="AW190" s="298">
        <v>178</v>
      </c>
    </row>
    <row r="191" spans="2:49" x14ac:dyDescent="0.25">
      <c r="B191" s="303">
        <f t="shared" si="20"/>
        <v>41974</v>
      </c>
      <c r="C191" s="301">
        <v>3.5630000000000002</v>
      </c>
      <c r="D191" s="301">
        <v>0.15</v>
      </c>
      <c r="E191" s="301">
        <v>7.2691452554649996E-2</v>
      </c>
      <c r="F191" s="301">
        <v>-0.19750000000000001</v>
      </c>
      <c r="G191" s="301">
        <v>-5.5E-2</v>
      </c>
      <c r="H191" s="301">
        <v>-0.19750000000000001</v>
      </c>
      <c r="I191" s="301">
        <v>0.27</v>
      </c>
      <c r="J191" s="301">
        <v>0.29499999999999998</v>
      </c>
      <c r="K191" s="301">
        <v>-4.0500000000000001E-2</v>
      </c>
      <c r="L191" s="301">
        <v>-1.5E-3</v>
      </c>
      <c r="M191" s="301">
        <v>0</v>
      </c>
      <c r="N191" s="301">
        <v>1.0999999999999999E-2</v>
      </c>
      <c r="O191" s="301">
        <v>2.1000000000000001E-2</v>
      </c>
      <c r="P191" s="298">
        <v>-1.2500000000000001E-2</v>
      </c>
      <c r="Q191" s="298">
        <v>-0.03</v>
      </c>
      <c r="R191" s="298">
        <v>-2.1999999999999999E-2</v>
      </c>
      <c r="S191" s="298">
        <v>-7.4999999999999997E-2</v>
      </c>
      <c r="T191" s="298">
        <v>-0.14499999999999999</v>
      </c>
      <c r="U191" s="298">
        <v>1.0449999999999999</v>
      </c>
      <c r="V191" s="298">
        <v>5.0000000000000001E-3</v>
      </c>
      <c r="W191" s="298">
        <v>-0.19</v>
      </c>
      <c r="X191" s="298">
        <v>-8.5000000000000006E-3</v>
      </c>
      <c r="Y191" s="313">
        <v>0.1</v>
      </c>
      <c r="Z191" s="313">
        <v>0</v>
      </c>
      <c r="AA191" s="445">
        <v>0.15</v>
      </c>
      <c r="AB191" s="445">
        <v>0.16500000000000001</v>
      </c>
      <c r="AC191" s="445">
        <v>0.15</v>
      </c>
      <c r="AD191" s="445">
        <v>0.15</v>
      </c>
      <c r="AE191" s="445">
        <v>0.15</v>
      </c>
      <c r="AF191" s="445">
        <v>0.15</v>
      </c>
      <c r="AG191" s="445">
        <v>0.15</v>
      </c>
      <c r="AH191" s="445">
        <v>0.15</v>
      </c>
      <c r="AI191" s="446">
        <v>0.15</v>
      </c>
      <c r="AJ191" s="446">
        <v>0.15</v>
      </c>
      <c r="AK191" s="446">
        <v>0.15</v>
      </c>
      <c r="AL191" s="445">
        <v>0.15</v>
      </c>
      <c r="AM191" s="298">
        <v>7.2165916324000004E-2</v>
      </c>
      <c r="AO191" s="313">
        <f t="shared" si="21"/>
        <v>0.16500000000000001</v>
      </c>
      <c r="AP191" s="313">
        <f t="shared" si="22"/>
        <v>0.16500000000000001</v>
      </c>
      <c r="AQ191" s="316">
        <f t="shared" si="23"/>
        <v>0.16500000000000001</v>
      </c>
      <c r="AR191" s="315">
        <f t="shared" si="24"/>
        <v>41974</v>
      </c>
      <c r="AS191" s="313">
        <f t="shared" si="18"/>
        <v>0.35456147695121459</v>
      </c>
      <c r="AT191" s="313">
        <f t="shared" si="19"/>
        <v>0.35463030343773294</v>
      </c>
      <c r="AV191" s="315">
        <f t="shared" si="25"/>
        <v>41974</v>
      </c>
      <c r="AW191" s="298">
        <v>179</v>
      </c>
    </row>
    <row r="192" spans="2:49" x14ac:dyDescent="0.25">
      <c r="B192" s="303">
        <f t="shared" si="20"/>
        <v>42005</v>
      </c>
      <c r="C192" s="301">
        <v>3.6055000000000001</v>
      </c>
      <c r="D192" s="301">
        <v>0.15</v>
      </c>
      <c r="E192" s="301">
        <v>7.2695449632644002E-2</v>
      </c>
      <c r="F192" s="301">
        <v>-0.2</v>
      </c>
      <c r="G192" s="301">
        <v>-5.7500000000000002E-2</v>
      </c>
      <c r="H192" s="301">
        <v>-0.2</v>
      </c>
      <c r="I192" s="301">
        <v>0.28000000000000003</v>
      </c>
      <c r="J192" s="301">
        <v>0.34250000000000003</v>
      </c>
      <c r="K192" s="301">
        <v>-4.4499999999999998E-2</v>
      </c>
      <c r="L192" s="301">
        <v>5.0000000000000001E-4</v>
      </c>
      <c r="M192" s="301">
        <v>0</v>
      </c>
      <c r="N192" s="301">
        <v>1.0999999999999999E-2</v>
      </c>
      <c r="O192" s="301">
        <v>2.1000000000000001E-2</v>
      </c>
      <c r="P192" s="298">
        <v>-8.0000000000000002E-3</v>
      </c>
      <c r="Q192" s="298">
        <v>-0.03</v>
      </c>
      <c r="R192" s="298">
        <v>-2.1999999999999999E-2</v>
      </c>
      <c r="S192" s="298">
        <v>-8.5500000000000007E-2</v>
      </c>
      <c r="T192" s="298">
        <v>-0.14499999999999999</v>
      </c>
      <c r="U192" s="298">
        <v>1.52</v>
      </c>
      <c r="V192" s="298">
        <v>5.0000000000000001E-3</v>
      </c>
      <c r="W192" s="298">
        <v>-0.19</v>
      </c>
      <c r="X192" s="298">
        <v>-8.5000000000000006E-3</v>
      </c>
      <c r="Y192" s="313">
        <v>0.1</v>
      </c>
      <c r="Z192" s="313">
        <v>0</v>
      </c>
      <c r="AA192" s="445">
        <v>0.15</v>
      </c>
      <c r="AB192" s="445">
        <v>0.15</v>
      </c>
      <c r="AC192" s="445">
        <v>0.15</v>
      </c>
      <c r="AD192" s="445">
        <v>0.15</v>
      </c>
      <c r="AE192" s="445">
        <v>0.15</v>
      </c>
      <c r="AF192" s="445">
        <v>0.15</v>
      </c>
      <c r="AG192" s="445">
        <v>0.15</v>
      </c>
      <c r="AH192" s="445">
        <v>0.15</v>
      </c>
      <c r="AI192" s="446">
        <v>0.15</v>
      </c>
      <c r="AJ192" s="446">
        <v>0.15</v>
      </c>
      <c r="AK192" s="446">
        <v>0.15</v>
      </c>
      <c r="AL192" s="445">
        <v>0.15</v>
      </c>
      <c r="AM192" s="298">
        <v>7.2167593201549002E-2</v>
      </c>
      <c r="AO192" s="313">
        <f t="shared" si="21"/>
        <v>0.15</v>
      </c>
      <c r="AP192" s="313">
        <f t="shared" si="22"/>
        <v>0.15</v>
      </c>
      <c r="AQ192" s="316">
        <f t="shared" si="23"/>
        <v>0.15</v>
      </c>
      <c r="AR192" s="315">
        <f t="shared" si="24"/>
        <v>42005</v>
      </c>
      <c r="AS192" s="313">
        <f t="shared" si="18"/>
        <v>0.35242607764389727</v>
      </c>
      <c r="AT192" s="313">
        <f t="shared" si="19"/>
        <v>0.35249449117460463</v>
      </c>
      <c r="AV192" s="315">
        <f t="shared" si="25"/>
        <v>42005</v>
      </c>
      <c r="AW192" s="298">
        <v>180</v>
      </c>
    </row>
    <row r="193" spans="2:49" x14ac:dyDescent="0.25">
      <c r="B193" s="303">
        <f t="shared" si="20"/>
        <v>42036</v>
      </c>
      <c r="C193" s="301">
        <v>3.5405000000000002</v>
      </c>
      <c r="D193" s="301">
        <v>0.15</v>
      </c>
      <c r="E193" s="301">
        <v>7.2699446710643004E-2</v>
      </c>
      <c r="F193" s="301">
        <v>-0.20250000000000001</v>
      </c>
      <c r="G193" s="301">
        <v>-0.04</v>
      </c>
      <c r="H193" s="301">
        <v>-0.20250000000000001</v>
      </c>
      <c r="I193" s="301">
        <v>0.255</v>
      </c>
      <c r="J193" s="301">
        <v>0.33750000000000002</v>
      </c>
      <c r="K193" s="301">
        <v>-4.0500000000000001E-2</v>
      </c>
      <c r="L193" s="301">
        <v>5.0000000000000001E-4</v>
      </c>
      <c r="M193" s="301">
        <v>0</v>
      </c>
      <c r="N193" s="301">
        <v>1.0999999999999999E-2</v>
      </c>
      <c r="O193" s="301">
        <v>2.1000000000000001E-2</v>
      </c>
      <c r="P193" s="298">
        <v>-8.0000000000000002E-3</v>
      </c>
      <c r="Q193" s="298">
        <v>-0.03</v>
      </c>
      <c r="R193" s="298">
        <v>-2.1999999999999999E-2</v>
      </c>
      <c r="S193" s="298">
        <v>-7.2999999999999995E-2</v>
      </c>
      <c r="T193" s="298">
        <v>-0.14499999999999999</v>
      </c>
      <c r="U193" s="298">
        <v>1.4</v>
      </c>
      <c r="V193" s="298">
        <v>5.0000000000000001E-3</v>
      </c>
      <c r="W193" s="298">
        <v>-0.19</v>
      </c>
      <c r="X193" s="298">
        <v>-8.5000000000000006E-3</v>
      </c>
      <c r="Y193" s="313">
        <v>0.1</v>
      </c>
      <c r="Z193" s="313">
        <v>0</v>
      </c>
      <c r="AA193" s="445">
        <v>0.15</v>
      </c>
      <c r="AB193" s="445">
        <v>0.16500000000000001</v>
      </c>
      <c r="AC193" s="445">
        <v>0.15</v>
      </c>
      <c r="AD193" s="445">
        <v>0.15</v>
      </c>
      <c r="AE193" s="445">
        <v>0.15</v>
      </c>
      <c r="AF193" s="445">
        <v>0.15</v>
      </c>
      <c r="AG193" s="445">
        <v>0.15</v>
      </c>
      <c r="AH193" s="445">
        <v>0.15</v>
      </c>
      <c r="AI193" s="446">
        <v>0.15</v>
      </c>
      <c r="AJ193" s="446">
        <v>0.15</v>
      </c>
      <c r="AK193" s="446">
        <v>0.15</v>
      </c>
      <c r="AL193" s="445">
        <v>0.15</v>
      </c>
      <c r="AM193" s="298">
        <v>7.2169270079098999E-2</v>
      </c>
      <c r="AO193" s="313">
        <f t="shared" si="21"/>
        <v>0.16500000000000001</v>
      </c>
      <c r="AP193" s="313">
        <f t="shared" si="22"/>
        <v>0.16500000000000001</v>
      </c>
      <c r="AQ193" s="316">
        <f t="shared" si="23"/>
        <v>0.16500000000000001</v>
      </c>
      <c r="AR193" s="315">
        <f t="shared" si="24"/>
        <v>42036</v>
      </c>
      <c r="AS193" s="313">
        <f t="shared" si="18"/>
        <v>0.35030344286443815</v>
      </c>
      <c r="AT193" s="313">
        <f t="shared" si="19"/>
        <v>0.3503714458983328</v>
      </c>
      <c r="AV193" s="315">
        <f t="shared" si="25"/>
        <v>42036</v>
      </c>
      <c r="AW193" s="298">
        <v>181</v>
      </c>
    </row>
    <row r="194" spans="2:49" x14ac:dyDescent="0.25">
      <c r="B194" s="303">
        <f t="shared" si="20"/>
        <v>42064</v>
      </c>
      <c r="C194" s="301">
        <v>3.4615</v>
      </c>
      <c r="D194" s="301">
        <v>0.15</v>
      </c>
      <c r="E194" s="301">
        <v>7.2703056974647004E-2</v>
      </c>
      <c r="F194" s="301">
        <v>-0.20499999999999999</v>
      </c>
      <c r="G194" s="301">
        <v>-2.75E-2</v>
      </c>
      <c r="H194" s="301">
        <v>-0.20499999999999999</v>
      </c>
      <c r="I194" s="301">
        <v>0.252</v>
      </c>
      <c r="J194" s="301">
        <v>0.26</v>
      </c>
      <c r="K194" s="301">
        <v>-4.2000000000000003E-2</v>
      </c>
      <c r="L194" s="301">
        <v>5.0000000000000001E-4</v>
      </c>
      <c r="M194" s="301">
        <v>0</v>
      </c>
      <c r="N194" s="301">
        <v>1.0999999999999999E-2</v>
      </c>
      <c r="O194" s="301">
        <v>2.1000000000000001E-2</v>
      </c>
      <c r="P194" s="298">
        <v>-8.0000000000000002E-3</v>
      </c>
      <c r="Q194" s="298">
        <v>-0.03</v>
      </c>
      <c r="R194" s="298">
        <v>-3.7000000000000002E-3</v>
      </c>
      <c r="S194" s="298">
        <v>-6.0499999999999998E-2</v>
      </c>
      <c r="T194" s="298">
        <v>-0.14499999999999999</v>
      </c>
      <c r="U194" s="298">
        <v>0.88</v>
      </c>
      <c r="V194" s="298">
        <v>5.0000000000000001E-3</v>
      </c>
      <c r="W194" s="298">
        <v>-0.19</v>
      </c>
      <c r="X194" s="298">
        <v>-8.5000000000000006E-3</v>
      </c>
      <c r="Y194" s="313">
        <v>0.1</v>
      </c>
      <c r="Z194" s="313">
        <v>0</v>
      </c>
      <c r="AA194" s="445">
        <v>0.15</v>
      </c>
      <c r="AB194" s="445">
        <v>0.16500000000000001</v>
      </c>
      <c r="AC194" s="445">
        <v>0.15</v>
      </c>
      <c r="AD194" s="445">
        <v>0.15</v>
      </c>
      <c r="AE194" s="445">
        <v>0.15</v>
      </c>
      <c r="AF194" s="445">
        <v>0.15</v>
      </c>
      <c r="AG194" s="445">
        <v>0.15</v>
      </c>
      <c r="AH194" s="445">
        <v>0.15</v>
      </c>
      <c r="AI194" s="446">
        <v>0.15</v>
      </c>
      <c r="AJ194" s="446">
        <v>0.15</v>
      </c>
      <c r="AK194" s="446">
        <v>0.15</v>
      </c>
      <c r="AL194" s="445">
        <v>0.15</v>
      </c>
      <c r="AM194" s="298">
        <v>7.2170784678178002E-2</v>
      </c>
      <c r="AO194" s="313">
        <f t="shared" si="21"/>
        <v>0.16500000000000001</v>
      </c>
      <c r="AP194" s="313">
        <f t="shared" si="22"/>
        <v>0.16500000000000001</v>
      </c>
      <c r="AQ194" s="316">
        <f t="shared" si="23"/>
        <v>0.16500000000000001</v>
      </c>
      <c r="AR194" s="315">
        <f t="shared" si="24"/>
        <v>42064</v>
      </c>
      <c r="AS194" s="313">
        <f t="shared" si="18"/>
        <v>0.34839713274801082</v>
      </c>
      <c r="AT194" s="313">
        <f t="shared" si="19"/>
        <v>0.34846476711206509</v>
      </c>
      <c r="AV194" s="315">
        <f t="shared" si="25"/>
        <v>42064</v>
      </c>
      <c r="AW194" s="298">
        <v>182</v>
      </c>
    </row>
    <row r="195" spans="2:49" x14ac:dyDescent="0.25">
      <c r="B195" s="303">
        <f t="shared" si="20"/>
        <v>42095</v>
      </c>
      <c r="C195" s="301">
        <v>3.3975</v>
      </c>
      <c r="D195" s="301">
        <v>0.15</v>
      </c>
      <c r="E195" s="301">
        <v>7.2707054052654999E-2</v>
      </c>
      <c r="F195" s="301">
        <v>-0.19500000000000001</v>
      </c>
      <c r="G195" s="301">
        <v>1.4999999999999999E-2</v>
      </c>
      <c r="H195" s="301">
        <v>-0.19500000000000001</v>
      </c>
      <c r="I195" s="301">
        <v>0.15</v>
      </c>
      <c r="J195" s="301">
        <v>0.17</v>
      </c>
      <c r="K195" s="301">
        <v>-5.1999999999999998E-2</v>
      </c>
      <c r="L195" s="301">
        <v>-2E-3</v>
      </c>
      <c r="M195" s="301">
        <v>0</v>
      </c>
      <c r="N195" s="301">
        <v>6.4999999999999997E-3</v>
      </c>
      <c r="O195" s="301">
        <v>1.8499999999999999E-2</v>
      </c>
      <c r="P195" s="298">
        <v>-0.01</v>
      </c>
      <c r="Q195" s="298">
        <v>-0.03</v>
      </c>
      <c r="R195" s="298">
        <v>-3.7000000000000002E-3</v>
      </c>
      <c r="S195" s="298">
        <v>-4.2999999999999997E-2</v>
      </c>
      <c r="T195" s="298">
        <v>-0.105</v>
      </c>
      <c r="U195" s="298">
        <v>0.37</v>
      </c>
      <c r="V195" s="298">
        <v>5.0000000000000001E-3</v>
      </c>
      <c r="W195" s="298">
        <v>-0.19</v>
      </c>
      <c r="X195" s="298">
        <v>-8.5000000000000006E-3</v>
      </c>
      <c r="Y195" s="313">
        <v>0.1875</v>
      </c>
      <c r="Z195" s="313">
        <v>0</v>
      </c>
      <c r="AA195" s="445">
        <v>0.15</v>
      </c>
      <c r="AB195" s="445">
        <v>0.14699999999999999</v>
      </c>
      <c r="AC195" s="445">
        <v>0.15</v>
      </c>
      <c r="AD195" s="445">
        <v>0.15</v>
      </c>
      <c r="AE195" s="445">
        <v>0.14699999999999999</v>
      </c>
      <c r="AF195" s="445">
        <v>0.15</v>
      </c>
      <c r="AG195" s="445">
        <v>0.15</v>
      </c>
      <c r="AH195" s="445">
        <v>0.15</v>
      </c>
      <c r="AI195" s="446">
        <v>0.15</v>
      </c>
      <c r="AJ195" s="446">
        <v>0.15</v>
      </c>
      <c r="AK195" s="446">
        <v>0.15</v>
      </c>
      <c r="AL195" s="445">
        <v>0.15</v>
      </c>
      <c r="AM195" s="298">
        <v>7.2172461555729997E-2</v>
      </c>
      <c r="AO195" s="313">
        <f t="shared" si="21"/>
        <v>0.14699999999999999</v>
      </c>
      <c r="AP195" s="313">
        <f t="shared" si="22"/>
        <v>0.14699999999999999</v>
      </c>
      <c r="AQ195" s="316">
        <f t="shared" si="23"/>
        <v>0.14699999999999999</v>
      </c>
      <c r="AR195" s="315">
        <f t="shared" si="24"/>
        <v>42095</v>
      </c>
      <c r="AS195" s="313">
        <f t="shared" si="18"/>
        <v>0.34629858293136623</v>
      </c>
      <c r="AT195" s="313">
        <f t="shared" si="19"/>
        <v>0.34636581143856704</v>
      </c>
      <c r="AV195" s="315">
        <f t="shared" si="25"/>
        <v>42095</v>
      </c>
      <c r="AW195" s="298">
        <v>183</v>
      </c>
    </row>
    <row r="196" spans="2:49" x14ac:dyDescent="0.25">
      <c r="B196" s="303">
        <f t="shared" si="20"/>
        <v>42125</v>
      </c>
      <c r="C196" s="301">
        <v>3.4405000000000001</v>
      </c>
      <c r="D196" s="301">
        <v>0.15</v>
      </c>
      <c r="E196" s="301">
        <v>7.2710922192669003E-2</v>
      </c>
      <c r="F196" s="301">
        <v>-0.19500000000000001</v>
      </c>
      <c r="G196" s="301">
        <v>1.4999999999999999E-2</v>
      </c>
      <c r="H196" s="301">
        <v>-0.19500000000000001</v>
      </c>
      <c r="I196" s="301">
        <v>0.153</v>
      </c>
      <c r="J196" s="301">
        <v>0.155</v>
      </c>
      <c r="K196" s="301">
        <v>-3.4500000000000003E-2</v>
      </c>
      <c r="L196" s="301">
        <v>-2E-3</v>
      </c>
      <c r="M196" s="301">
        <v>0</v>
      </c>
      <c r="N196" s="301">
        <v>6.4999999999999997E-3</v>
      </c>
      <c r="O196" s="301">
        <v>1.8499999999999999E-2</v>
      </c>
      <c r="P196" s="298">
        <v>-0.01</v>
      </c>
      <c r="Q196" s="298">
        <v>-0.03</v>
      </c>
      <c r="R196" s="298">
        <v>-3.9500000000000004E-3</v>
      </c>
      <c r="S196" s="298">
        <v>-4.5499999999999999E-2</v>
      </c>
      <c r="T196" s="298">
        <v>-0.105</v>
      </c>
      <c r="U196" s="298">
        <v>0.2525</v>
      </c>
      <c r="V196" s="298">
        <v>5.0000000000000001E-3</v>
      </c>
      <c r="W196" s="298">
        <v>-0.19</v>
      </c>
      <c r="X196" s="298">
        <v>-5.0000000000000001E-3</v>
      </c>
      <c r="Y196" s="313">
        <v>0.1875</v>
      </c>
      <c r="Z196" s="313">
        <v>0</v>
      </c>
      <c r="AA196" s="445">
        <v>0.15</v>
      </c>
      <c r="AB196" s="445">
        <v>0.14699999999999999</v>
      </c>
      <c r="AC196" s="445">
        <v>0.15</v>
      </c>
      <c r="AD196" s="445">
        <v>0.15</v>
      </c>
      <c r="AE196" s="445">
        <v>0.14699999999999999</v>
      </c>
      <c r="AF196" s="445">
        <v>0.15</v>
      </c>
      <c r="AG196" s="445">
        <v>0.15</v>
      </c>
      <c r="AH196" s="445">
        <v>0.15</v>
      </c>
      <c r="AI196" s="446">
        <v>0.15</v>
      </c>
      <c r="AJ196" s="446">
        <v>0.15</v>
      </c>
      <c r="AK196" s="446">
        <v>0.15</v>
      </c>
      <c r="AL196" s="445">
        <v>0.15</v>
      </c>
      <c r="AM196" s="298">
        <v>7.2174084340458994E-2</v>
      </c>
      <c r="AO196" s="313">
        <f t="shared" si="21"/>
        <v>0.14699999999999999</v>
      </c>
      <c r="AP196" s="313">
        <f t="shared" si="22"/>
        <v>0.14699999999999999</v>
      </c>
      <c r="AQ196" s="316">
        <f t="shared" si="23"/>
        <v>0.14699999999999999</v>
      </c>
      <c r="AR196" s="315">
        <f t="shared" si="24"/>
        <v>42125</v>
      </c>
      <c r="AS196" s="313">
        <f t="shared" si="18"/>
        <v>0.34427967443301144</v>
      </c>
      <c r="AT196" s="313">
        <f t="shared" si="19"/>
        <v>0.34434651247701686</v>
      </c>
      <c r="AV196" s="315">
        <f t="shared" si="25"/>
        <v>42125</v>
      </c>
      <c r="AW196" s="298">
        <v>184</v>
      </c>
    </row>
    <row r="197" spans="2:49" x14ac:dyDescent="0.25">
      <c r="B197" s="303">
        <f t="shared" si="20"/>
        <v>42156</v>
      </c>
      <c r="C197" s="301">
        <v>3.4544999999999999</v>
      </c>
      <c r="D197" s="301">
        <v>0.15</v>
      </c>
      <c r="E197" s="301">
        <v>7.2714919270688003E-2</v>
      </c>
      <c r="F197" s="301">
        <v>-0.19500000000000001</v>
      </c>
      <c r="G197" s="301">
        <v>0.02</v>
      </c>
      <c r="H197" s="301">
        <v>-0.19500000000000001</v>
      </c>
      <c r="I197" s="301">
        <v>0.14799999999999999</v>
      </c>
      <c r="J197" s="301">
        <v>0.155</v>
      </c>
      <c r="K197" s="301">
        <v>-2.9499999999999998E-2</v>
      </c>
      <c r="L197" s="301">
        <v>-2E-3</v>
      </c>
      <c r="M197" s="301">
        <v>0</v>
      </c>
      <c r="N197" s="301">
        <v>6.4999999999999997E-3</v>
      </c>
      <c r="O197" s="301">
        <v>1.8499999999999999E-2</v>
      </c>
      <c r="P197" s="298">
        <v>-7.4999999999999997E-3</v>
      </c>
      <c r="Q197" s="298">
        <v>-0.03</v>
      </c>
      <c r="R197" s="298">
        <v>-3.9500000000000004E-3</v>
      </c>
      <c r="S197" s="298">
        <v>-3.7999999999999999E-2</v>
      </c>
      <c r="T197" s="298">
        <v>-0.105</v>
      </c>
      <c r="U197" s="298">
        <v>0.2525</v>
      </c>
      <c r="V197" s="298">
        <v>5.0000000000000001E-3</v>
      </c>
      <c r="W197" s="298">
        <v>-0.19</v>
      </c>
      <c r="X197" s="298">
        <v>-7.4999999999999997E-3</v>
      </c>
      <c r="Y197" s="313">
        <v>0.1875</v>
      </c>
      <c r="Z197" s="313">
        <v>0</v>
      </c>
      <c r="AA197" s="445">
        <v>0.15</v>
      </c>
      <c r="AB197" s="445">
        <v>0.14699999999999999</v>
      </c>
      <c r="AC197" s="445">
        <v>0.15</v>
      </c>
      <c r="AD197" s="445">
        <v>0.15</v>
      </c>
      <c r="AE197" s="445">
        <v>0.14699999999999999</v>
      </c>
      <c r="AF197" s="445">
        <v>0.15</v>
      </c>
      <c r="AG197" s="445">
        <v>0.15</v>
      </c>
      <c r="AH197" s="445">
        <v>0.15</v>
      </c>
      <c r="AI197" s="446">
        <v>0.15</v>
      </c>
      <c r="AJ197" s="446">
        <v>0.15</v>
      </c>
      <c r="AK197" s="446">
        <v>0.15</v>
      </c>
      <c r="AL197" s="445">
        <v>0.15</v>
      </c>
      <c r="AM197" s="298">
        <v>7.2175761218013001E-2</v>
      </c>
      <c r="AO197" s="313">
        <f t="shared" si="21"/>
        <v>0.14699999999999999</v>
      </c>
      <c r="AP197" s="313">
        <f t="shared" si="22"/>
        <v>0.14699999999999999</v>
      </c>
      <c r="AQ197" s="316">
        <f t="shared" si="23"/>
        <v>0.14699999999999999</v>
      </c>
      <c r="AR197" s="315">
        <f t="shared" si="24"/>
        <v>42156</v>
      </c>
      <c r="AS197" s="313">
        <f t="shared" si="18"/>
        <v>0.34220574090370598</v>
      </c>
      <c r="AT197" s="313">
        <f t="shared" si="19"/>
        <v>0.34227217783339114</v>
      </c>
      <c r="AV197" s="315">
        <f t="shared" si="25"/>
        <v>42156</v>
      </c>
      <c r="AW197" s="298">
        <v>185</v>
      </c>
    </row>
    <row r="198" spans="2:49" x14ac:dyDescent="0.25">
      <c r="B198" s="303">
        <f t="shared" si="20"/>
        <v>42186</v>
      </c>
      <c r="C198" s="301">
        <v>3.4544999999999999</v>
      </c>
      <c r="D198" s="301">
        <v>0.15</v>
      </c>
      <c r="E198" s="301">
        <v>7.2718787410711999E-2</v>
      </c>
      <c r="F198" s="301">
        <v>-0.19500000000000001</v>
      </c>
      <c r="G198" s="301">
        <v>2.2499999999999999E-2</v>
      </c>
      <c r="H198" s="301">
        <v>-0.19500000000000001</v>
      </c>
      <c r="I198" s="301">
        <v>0.13700000000000001</v>
      </c>
      <c r="J198" s="301">
        <v>0.155</v>
      </c>
      <c r="K198" s="301">
        <v>-2.9499999999999998E-2</v>
      </c>
      <c r="L198" s="301">
        <v>-2E-3</v>
      </c>
      <c r="M198" s="301">
        <v>0</v>
      </c>
      <c r="N198" s="301">
        <v>6.4999999999999997E-3</v>
      </c>
      <c r="O198" s="301">
        <v>1.8499999999999999E-2</v>
      </c>
      <c r="P198" s="298">
        <v>-7.4999999999999997E-3</v>
      </c>
      <c r="Q198" s="298">
        <v>-0.03</v>
      </c>
      <c r="R198" s="298">
        <v>-3.9500000000000004E-3</v>
      </c>
      <c r="S198" s="298">
        <v>-3.7999999999999999E-2</v>
      </c>
      <c r="T198" s="298">
        <v>-0.105</v>
      </c>
      <c r="U198" s="298">
        <v>0.25750000000000001</v>
      </c>
      <c r="V198" s="298">
        <v>5.0000000000000001E-3</v>
      </c>
      <c r="W198" s="298">
        <v>-0.19</v>
      </c>
      <c r="X198" s="402">
        <v>-7.4999999999999997E-3</v>
      </c>
      <c r="Y198" s="313">
        <v>0.1875</v>
      </c>
      <c r="Z198" s="313">
        <v>0</v>
      </c>
      <c r="AA198" s="445">
        <v>0.15</v>
      </c>
      <c r="AB198" s="445">
        <v>0.14699999999999999</v>
      </c>
      <c r="AC198" s="445">
        <v>0.15</v>
      </c>
      <c r="AD198" s="445">
        <v>0.15</v>
      </c>
      <c r="AE198" s="445">
        <v>0.14699999999999999</v>
      </c>
      <c r="AF198" s="445">
        <v>0.15</v>
      </c>
      <c r="AG198" s="445">
        <v>0.15</v>
      </c>
      <c r="AH198" s="445">
        <v>0.15</v>
      </c>
      <c r="AI198" s="446">
        <v>0.15</v>
      </c>
      <c r="AJ198" s="446">
        <v>0.15</v>
      </c>
      <c r="AK198" s="446">
        <v>0.15</v>
      </c>
      <c r="AL198" s="445">
        <v>0.15</v>
      </c>
      <c r="AM198" s="298">
        <v>7.2177384002742997E-2</v>
      </c>
      <c r="AO198" s="313">
        <f t="shared" si="21"/>
        <v>0.14699999999999999</v>
      </c>
      <c r="AP198" s="313">
        <f t="shared" si="22"/>
        <v>0.14699999999999999</v>
      </c>
      <c r="AQ198" s="316">
        <f t="shared" si="23"/>
        <v>0.14699999999999999</v>
      </c>
      <c r="AR198" s="315">
        <f t="shared" si="24"/>
        <v>42186</v>
      </c>
      <c r="AS198" s="313">
        <f t="shared" si="18"/>
        <v>0.34021051555809745</v>
      </c>
      <c r="AT198" s="313">
        <f t="shared" si="19"/>
        <v>0.34027656658744904</v>
      </c>
      <c r="AV198" s="315">
        <f t="shared" si="25"/>
        <v>42186</v>
      </c>
      <c r="AW198" s="298">
        <v>186</v>
      </c>
    </row>
    <row r="199" spans="2:49" x14ac:dyDescent="0.25">
      <c r="B199" s="303">
        <f t="shared" si="20"/>
        <v>42217</v>
      </c>
      <c r="C199" s="301">
        <v>3.4575</v>
      </c>
      <c r="D199" s="301">
        <v>0.15</v>
      </c>
      <c r="E199" s="301">
        <v>7.2722784488742004E-2</v>
      </c>
      <c r="F199" s="301">
        <v>-0.19500000000000001</v>
      </c>
      <c r="G199" s="301">
        <v>2.5000000000000001E-2</v>
      </c>
      <c r="H199" s="301">
        <v>-0.19500000000000001</v>
      </c>
      <c r="I199" s="301">
        <v>0.13500000000000001</v>
      </c>
      <c r="J199" s="301">
        <v>0.155</v>
      </c>
      <c r="K199" s="301">
        <v>-2.9499999999999998E-2</v>
      </c>
      <c r="L199" s="301">
        <v>-2E-3</v>
      </c>
      <c r="M199" s="301">
        <v>0</v>
      </c>
      <c r="N199" s="301">
        <v>6.4999999999999997E-3</v>
      </c>
      <c r="O199" s="301">
        <v>1.8499999999999999E-2</v>
      </c>
      <c r="P199" s="298">
        <v>-7.4999999999999997E-3</v>
      </c>
      <c r="Q199" s="298">
        <v>-0.03</v>
      </c>
      <c r="R199" s="298">
        <v>-1.25E-3</v>
      </c>
      <c r="S199" s="298">
        <v>-3.7999999999999999E-2</v>
      </c>
      <c r="T199" s="298">
        <v>0</v>
      </c>
      <c r="U199" s="298">
        <v>0.25750000000000001</v>
      </c>
      <c r="V199" s="298">
        <v>5.0000000000000001E-3</v>
      </c>
      <c r="W199" s="298">
        <v>-0.19</v>
      </c>
      <c r="X199" s="402">
        <v>-7.4999999999999997E-3</v>
      </c>
      <c r="Y199" s="313">
        <v>0.1875</v>
      </c>
      <c r="Z199" s="313">
        <v>0</v>
      </c>
      <c r="AA199" s="445">
        <v>0.15</v>
      </c>
      <c r="AB199" s="445">
        <v>0.14699999999999999</v>
      </c>
      <c r="AC199" s="445">
        <v>0.15</v>
      </c>
      <c r="AD199" s="445">
        <v>0.15</v>
      </c>
      <c r="AE199" s="445">
        <v>0.14699999999999999</v>
      </c>
      <c r="AF199" s="445">
        <v>0.15</v>
      </c>
      <c r="AG199" s="445">
        <v>0.15</v>
      </c>
      <c r="AH199" s="445">
        <v>0.15</v>
      </c>
      <c r="AI199" s="446">
        <v>0.15</v>
      </c>
      <c r="AJ199" s="446">
        <v>0.15</v>
      </c>
      <c r="AK199" s="446">
        <v>0.15</v>
      </c>
      <c r="AL199" s="445">
        <v>0.15</v>
      </c>
      <c r="AM199" s="298">
        <v>7.2179060880299004E-2</v>
      </c>
      <c r="AO199" s="313">
        <f t="shared" si="21"/>
        <v>0.14699999999999999</v>
      </c>
      <c r="AP199" s="313">
        <f t="shared" si="22"/>
        <v>0.14699999999999999</v>
      </c>
      <c r="AQ199" s="316">
        <f t="shared" si="23"/>
        <v>0.14699999999999999</v>
      </c>
      <c r="AR199" s="315">
        <f t="shared" si="24"/>
        <v>42217</v>
      </c>
      <c r="AS199" s="313">
        <f t="shared" si="18"/>
        <v>0.33816091176055374</v>
      </c>
      <c r="AT199" s="313">
        <f t="shared" si="19"/>
        <v>0.33822656636312637</v>
      </c>
      <c r="AV199" s="315">
        <f t="shared" si="25"/>
        <v>42217</v>
      </c>
      <c r="AW199" s="298">
        <v>187</v>
      </c>
    </row>
    <row r="200" spans="2:49" x14ac:dyDescent="0.25">
      <c r="B200" s="303">
        <f t="shared" si="20"/>
        <v>42248</v>
      </c>
      <c r="C200" s="301">
        <v>3.4495</v>
      </c>
      <c r="D200" s="301">
        <v>0.15</v>
      </c>
      <c r="E200" s="301">
        <v>7.2726781566776005E-2</v>
      </c>
      <c r="F200" s="301">
        <v>-0.19500000000000001</v>
      </c>
      <c r="G200" s="301">
        <v>1.7500000000000002E-2</v>
      </c>
      <c r="H200" s="301">
        <v>-0.19500000000000001</v>
      </c>
      <c r="I200" s="301">
        <v>0.13200000000000001</v>
      </c>
      <c r="J200" s="301">
        <v>0.155</v>
      </c>
      <c r="K200" s="301">
        <v>-3.2000000000000001E-2</v>
      </c>
      <c r="L200" s="301">
        <v>-2E-3</v>
      </c>
      <c r="M200" s="301">
        <v>0</v>
      </c>
      <c r="N200" s="301">
        <v>6.4999999999999997E-3</v>
      </c>
      <c r="O200" s="301">
        <v>1.8499999999999999E-2</v>
      </c>
      <c r="P200" s="298">
        <v>-7.4999999999999997E-3</v>
      </c>
      <c r="Q200" s="298">
        <v>0</v>
      </c>
      <c r="R200" s="298">
        <v>-1.25E-3</v>
      </c>
      <c r="S200" s="298">
        <v>-4.2999999999999997E-2</v>
      </c>
      <c r="T200" s="298">
        <v>0</v>
      </c>
      <c r="U200" s="298">
        <v>0.2525</v>
      </c>
      <c r="V200" s="298">
        <v>5.0000000000000001E-3</v>
      </c>
      <c r="W200" s="298">
        <v>-0.19</v>
      </c>
      <c r="X200" s="402">
        <v>-0.01</v>
      </c>
      <c r="Y200" s="313">
        <v>0.1875</v>
      </c>
      <c r="Z200" s="313">
        <v>0</v>
      </c>
      <c r="AA200" s="445">
        <v>0.15</v>
      </c>
      <c r="AB200" s="445">
        <v>0.14699999999999999</v>
      </c>
      <c r="AC200" s="445">
        <v>0.15</v>
      </c>
      <c r="AD200" s="445">
        <v>0.15</v>
      </c>
      <c r="AE200" s="445">
        <v>0.14699999999999999</v>
      </c>
      <c r="AF200" s="445">
        <v>0.15</v>
      </c>
      <c r="AG200" s="445">
        <v>0.15</v>
      </c>
      <c r="AH200" s="445">
        <v>0.15</v>
      </c>
      <c r="AI200" s="446">
        <v>0.15</v>
      </c>
      <c r="AJ200" s="446">
        <v>0.15</v>
      </c>
      <c r="AK200" s="446">
        <v>0.15</v>
      </c>
      <c r="AL200" s="445">
        <v>0.15</v>
      </c>
      <c r="AM200" s="298">
        <v>7.2180737757855995E-2</v>
      </c>
      <c r="AO200" s="313">
        <f t="shared" si="21"/>
        <v>0.14699999999999999</v>
      </c>
      <c r="AP200" s="313">
        <f t="shared" si="22"/>
        <v>0.14699999999999999</v>
      </c>
      <c r="AQ200" s="316">
        <f t="shared" si="23"/>
        <v>0.14699999999999999</v>
      </c>
      <c r="AR200" s="315">
        <f t="shared" si="24"/>
        <v>42248</v>
      </c>
      <c r="AS200" s="313">
        <f t="shared" si="18"/>
        <v>0.33612356349810707</v>
      </c>
      <c r="AT200" s="313">
        <f t="shared" si="19"/>
        <v>0.33618882403522232</v>
      </c>
      <c r="AV200" s="315">
        <f t="shared" si="25"/>
        <v>42248</v>
      </c>
      <c r="AW200" s="298">
        <v>188</v>
      </c>
    </row>
    <row r="201" spans="2:49" x14ac:dyDescent="0.25">
      <c r="B201" s="303">
        <f t="shared" si="20"/>
        <v>42278</v>
      </c>
      <c r="C201" s="301">
        <v>3.4645000000000001</v>
      </c>
      <c r="D201" s="301">
        <v>0.15</v>
      </c>
      <c r="E201" s="301">
        <v>7.2730649706815004E-2</v>
      </c>
      <c r="F201" s="301">
        <v>-0.19500000000000001</v>
      </c>
      <c r="G201" s="301">
        <v>7.4999999999999997E-3</v>
      </c>
      <c r="H201" s="301">
        <v>-0.19500000000000001</v>
      </c>
      <c r="I201" s="301">
        <v>0.14799999999999999</v>
      </c>
      <c r="J201" s="301">
        <v>0.1575</v>
      </c>
      <c r="K201" s="301">
        <v>-3.2000000000000001E-2</v>
      </c>
      <c r="L201" s="301">
        <v>-2E-3</v>
      </c>
      <c r="M201" s="301">
        <v>0</v>
      </c>
      <c r="N201" s="301">
        <v>6.4999999999999997E-3</v>
      </c>
      <c r="O201" s="301">
        <v>1.8499999999999999E-2</v>
      </c>
      <c r="P201" s="298">
        <v>-7.4999999999999997E-3</v>
      </c>
      <c r="Q201" s="298">
        <v>0</v>
      </c>
      <c r="R201" s="298">
        <v>-2.1999999999999999E-2</v>
      </c>
      <c r="S201" s="298">
        <v>-4.2999999999999997E-2</v>
      </c>
      <c r="T201" s="298">
        <v>0</v>
      </c>
      <c r="U201" s="298">
        <v>0.255</v>
      </c>
      <c r="V201" s="298">
        <v>5.0000000000000001E-3</v>
      </c>
      <c r="W201" s="298">
        <v>-0.19</v>
      </c>
      <c r="X201" s="402">
        <v>-0.01</v>
      </c>
      <c r="Y201" s="313">
        <v>0.1875</v>
      </c>
      <c r="Z201" s="313">
        <v>0</v>
      </c>
      <c r="AA201" s="445">
        <v>0.15</v>
      </c>
      <c r="AB201" s="445">
        <v>0.14699999999999999</v>
      </c>
      <c r="AC201" s="445">
        <v>0.15</v>
      </c>
      <c r="AD201" s="445">
        <v>0.15</v>
      </c>
      <c r="AE201" s="445">
        <v>0.14699999999999999</v>
      </c>
      <c r="AF201" s="445">
        <v>0.15</v>
      </c>
      <c r="AG201" s="445">
        <v>0.15</v>
      </c>
      <c r="AH201" s="445">
        <v>0.15</v>
      </c>
      <c r="AI201" s="446">
        <v>0.15</v>
      </c>
      <c r="AJ201" s="446">
        <v>0.15</v>
      </c>
      <c r="AK201" s="446">
        <v>0.15</v>
      </c>
      <c r="AL201" s="445">
        <v>0.15</v>
      </c>
      <c r="AM201" s="298">
        <v>7.2182360542589002E-2</v>
      </c>
      <c r="AO201" s="313">
        <f t="shared" si="21"/>
        <v>0.14699999999999999</v>
      </c>
      <c r="AP201" s="313">
        <f t="shared" si="22"/>
        <v>0.14699999999999999</v>
      </c>
      <c r="AQ201" s="316">
        <f t="shared" si="23"/>
        <v>0.14699999999999999</v>
      </c>
      <c r="AR201" s="315">
        <f t="shared" si="24"/>
        <v>42278</v>
      </c>
      <c r="AS201" s="313">
        <f t="shared" si="18"/>
        <v>0.33416353655040065</v>
      </c>
      <c r="AT201" s="313">
        <f t="shared" si="19"/>
        <v>0.33422841796899389</v>
      </c>
      <c r="AV201" s="315">
        <f t="shared" si="25"/>
        <v>42278</v>
      </c>
      <c r="AW201" s="298">
        <v>189</v>
      </c>
    </row>
    <row r="202" spans="2:49" x14ac:dyDescent="0.25">
      <c r="B202" s="303">
        <f t="shared" si="20"/>
        <v>42309</v>
      </c>
      <c r="C202" s="301">
        <v>3.5375000000000001</v>
      </c>
      <c r="D202" s="301">
        <v>0.15</v>
      </c>
      <c r="E202" s="301">
        <v>7.2734646784860996E-2</v>
      </c>
      <c r="F202" s="301">
        <v>-0.19</v>
      </c>
      <c r="G202" s="301">
        <v>-3.2500000000000001E-2</v>
      </c>
      <c r="H202" s="301">
        <v>-0.19</v>
      </c>
      <c r="I202" s="301">
        <v>0.22500000000000001</v>
      </c>
      <c r="J202" s="301">
        <v>0.24</v>
      </c>
      <c r="K202" s="301">
        <v>-3.85E-2</v>
      </c>
      <c r="L202" s="401">
        <v>5.0000000000000001E-4</v>
      </c>
      <c r="M202" s="301">
        <v>0</v>
      </c>
      <c r="N202" s="301">
        <v>1.0999999999999999E-2</v>
      </c>
      <c r="O202" s="301">
        <v>2.3E-2</v>
      </c>
      <c r="P202" s="298">
        <v>-1.0500000000000001E-2</v>
      </c>
      <c r="Q202" s="298">
        <v>0</v>
      </c>
      <c r="R202" s="298">
        <v>-2.1000000000000001E-2</v>
      </c>
      <c r="S202" s="298">
        <v>-5.8000000000000003E-2</v>
      </c>
      <c r="T202" s="298">
        <v>0</v>
      </c>
      <c r="U202" s="298">
        <v>0.72499999999999998</v>
      </c>
      <c r="V202" s="298">
        <v>5.0000000000000001E-3</v>
      </c>
      <c r="W202" s="298">
        <v>-0.19</v>
      </c>
      <c r="X202" s="298">
        <v>-7.4999999999999997E-3</v>
      </c>
      <c r="Y202" s="313">
        <v>0.1</v>
      </c>
      <c r="Z202" s="313">
        <v>0</v>
      </c>
      <c r="AA202" s="445">
        <v>0.15</v>
      </c>
      <c r="AB202" s="445">
        <v>0.16500000000000001</v>
      </c>
      <c r="AC202" s="445">
        <v>0.15</v>
      </c>
      <c r="AD202" s="445">
        <v>0.15</v>
      </c>
      <c r="AE202" s="445">
        <v>0.15</v>
      </c>
      <c r="AF202" s="445">
        <v>0.15</v>
      </c>
      <c r="AG202" s="445">
        <v>0.15</v>
      </c>
      <c r="AH202" s="445">
        <v>0.15</v>
      </c>
      <c r="AI202" s="446">
        <v>0.15</v>
      </c>
      <c r="AJ202" s="446">
        <v>0.15</v>
      </c>
      <c r="AK202" s="446">
        <v>0.15</v>
      </c>
      <c r="AL202" s="445">
        <v>0.15</v>
      </c>
      <c r="AM202" s="298">
        <v>7.2184037420148006E-2</v>
      </c>
      <c r="AO202" s="313">
        <f t="shared" si="21"/>
        <v>0.16500000000000001</v>
      </c>
      <c r="AP202" s="313">
        <f t="shared" si="22"/>
        <v>0.16500000000000001</v>
      </c>
      <c r="AQ202" s="316">
        <f t="shared" si="23"/>
        <v>0.16500000000000001</v>
      </c>
      <c r="AR202" s="315">
        <f t="shared" si="24"/>
        <v>42309</v>
      </c>
      <c r="AS202" s="313">
        <f t="shared" si="18"/>
        <v>0.33215009208557444</v>
      </c>
      <c r="AT202" s="313">
        <f t="shared" si="19"/>
        <v>0.3322145840445076</v>
      </c>
      <c r="AV202" s="315">
        <f t="shared" si="25"/>
        <v>42309</v>
      </c>
      <c r="AW202" s="298">
        <v>190</v>
      </c>
    </row>
    <row r="203" spans="2:49" x14ac:dyDescent="0.25">
      <c r="B203" s="303">
        <f t="shared" si="20"/>
        <v>42339</v>
      </c>
      <c r="C203" s="301">
        <v>3.6244999999999998</v>
      </c>
      <c r="D203" s="301">
        <v>0.15</v>
      </c>
      <c r="E203" s="301">
        <v>7.2738514924909001E-2</v>
      </c>
      <c r="F203" s="301">
        <v>-0.19750000000000001</v>
      </c>
      <c r="G203" s="301">
        <v>-5.5E-2</v>
      </c>
      <c r="H203" s="301">
        <v>-0.19750000000000001</v>
      </c>
      <c r="I203" s="301">
        <v>0.26500000000000001</v>
      </c>
      <c r="J203" s="301">
        <v>0.29499999999999998</v>
      </c>
      <c r="K203" s="301">
        <v>-3.85E-2</v>
      </c>
      <c r="L203" s="401">
        <v>5.0000000000000001E-4</v>
      </c>
      <c r="M203" s="301">
        <v>0</v>
      </c>
      <c r="N203" s="301">
        <v>1.0999999999999999E-2</v>
      </c>
      <c r="O203" s="301">
        <v>2.3E-2</v>
      </c>
      <c r="P203" s="298">
        <v>-1.0500000000000001E-2</v>
      </c>
      <c r="Q203" s="298">
        <v>0</v>
      </c>
      <c r="R203" s="298">
        <v>-2.1000000000000001E-2</v>
      </c>
      <c r="S203" s="298">
        <v>-7.2999999999999995E-2</v>
      </c>
      <c r="T203" s="298">
        <v>0</v>
      </c>
      <c r="U203" s="298">
        <v>1.0449999999999999</v>
      </c>
      <c r="V203" s="298">
        <v>5.0000000000000001E-3</v>
      </c>
      <c r="W203" s="298">
        <v>-0.19</v>
      </c>
      <c r="X203" s="298">
        <v>-7.4999999999999997E-3</v>
      </c>
      <c r="Y203" s="313">
        <v>0.1</v>
      </c>
      <c r="Z203" s="313">
        <v>0</v>
      </c>
      <c r="AA203" s="445">
        <v>0.15</v>
      </c>
      <c r="AB203" s="445">
        <v>0.16500000000000001</v>
      </c>
      <c r="AC203" s="445">
        <v>0.15</v>
      </c>
      <c r="AD203" s="445">
        <v>0.15</v>
      </c>
      <c r="AE203" s="445">
        <v>0.15</v>
      </c>
      <c r="AF203" s="445">
        <v>0.15</v>
      </c>
      <c r="AG203" s="445">
        <v>0.15</v>
      </c>
      <c r="AH203" s="445">
        <v>0.15</v>
      </c>
      <c r="AI203" s="446">
        <v>0.15</v>
      </c>
      <c r="AJ203" s="446">
        <v>0.15</v>
      </c>
      <c r="AK203" s="446">
        <v>0.15</v>
      </c>
      <c r="AL203" s="445">
        <v>0.15</v>
      </c>
      <c r="AM203" s="298">
        <v>7.2185660204882998E-2</v>
      </c>
      <c r="AO203" s="313">
        <f t="shared" si="21"/>
        <v>0.16500000000000001</v>
      </c>
      <c r="AP203" s="313">
        <f t="shared" si="22"/>
        <v>0.16500000000000001</v>
      </c>
      <c r="AQ203" s="316">
        <f t="shared" si="23"/>
        <v>0.16500000000000001</v>
      </c>
      <c r="AR203" s="315">
        <f t="shared" si="24"/>
        <v>42339</v>
      </c>
      <c r="AS203" s="313">
        <f t="shared" si="18"/>
        <v>0.33021306277821733</v>
      </c>
      <c r="AT203" s="313">
        <f t="shared" si="19"/>
        <v>0.33027718004992862</v>
      </c>
      <c r="AV203" s="315">
        <f t="shared" si="25"/>
        <v>42339</v>
      </c>
      <c r="AW203" s="298">
        <v>191</v>
      </c>
    </row>
    <row r="204" spans="2:49" x14ac:dyDescent="0.25">
      <c r="B204" s="303">
        <f t="shared" si="20"/>
        <v>42370</v>
      </c>
      <c r="C204" s="301">
        <v>3.665</v>
      </c>
      <c r="D204" s="301">
        <v>0.15</v>
      </c>
      <c r="E204" s="301">
        <v>7.2742512002964999E-2</v>
      </c>
      <c r="F204" s="301">
        <v>-0.16</v>
      </c>
      <c r="G204" s="301">
        <v>-5.7500000000000002E-2</v>
      </c>
      <c r="H204" s="301">
        <v>-0.16</v>
      </c>
      <c r="I204" s="301">
        <v>0.27500000000000002</v>
      </c>
      <c r="J204" s="301">
        <v>0.34250000000000003</v>
      </c>
      <c r="K204" s="301">
        <v>-4.2500000000000003E-2</v>
      </c>
      <c r="L204" s="401">
        <v>2.5000000000000001E-3</v>
      </c>
      <c r="M204" s="301">
        <v>0</v>
      </c>
      <c r="N204" s="301">
        <v>1.0999999999999999E-2</v>
      </c>
      <c r="O204" s="301">
        <v>2.3E-2</v>
      </c>
      <c r="P204" s="298">
        <v>-6.0000000000000001E-3</v>
      </c>
      <c r="Q204" s="298">
        <v>0</v>
      </c>
      <c r="R204" s="298">
        <v>-2.1000000000000001E-2</v>
      </c>
      <c r="S204" s="298">
        <v>-8.3500000000000005E-2</v>
      </c>
      <c r="T204" s="298">
        <v>0</v>
      </c>
      <c r="U204" s="298">
        <v>1.52</v>
      </c>
      <c r="V204" s="298">
        <v>5.0000000000000001E-3</v>
      </c>
      <c r="W204" s="298">
        <v>-0.19</v>
      </c>
      <c r="X204" s="298">
        <v>-7.4999999999999997E-3</v>
      </c>
      <c r="Y204" s="313">
        <v>0.1</v>
      </c>
      <c r="Z204" s="313">
        <v>0</v>
      </c>
      <c r="AA204" s="445">
        <v>0.15</v>
      </c>
      <c r="AB204" s="445">
        <v>0.15</v>
      </c>
      <c r="AC204" s="445">
        <v>0.15</v>
      </c>
      <c r="AD204" s="445">
        <v>0.15</v>
      </c>
      <c r="AE204" s="445">
        <v>0.15</v>
      </c>
      <c r="AF204" s="445">
        <v>0.15</v>
      </c>
      <c r="AG204" s="445">
        <v>0.15</v>
      </c>
      <c r="AH204" s="445">
        <v>0.15</v>
      </c>
      <c r="AI204" s="446">
        <v>0.15</v>
      </c>
      <c r="AJ204" s="446">
        <v>0.15</v>
      </c>
      <c r="AK204" s="446">
        <v>0.15</v>
      </c>
      <c r="AL204" s="445">
        <v>0.15</v>
      </c>
      <c r="AM204" s="298">
        <v>7.2187337082444E-2</v>
      </c>
      <c r="AO204" s="313">
        <f t="shared" si="21"/>
        <v>0.15</v>
      </c>
      <c r="AP204" s="313">
        <f t="shared" si="22"/>
        <v>0.15</v>
      </c>
      <c r="AQ204" s="316">
        <f t="shared" si="23"/>
        <v>0.15</v>
      </c>
      <c r="AR204" s="315">
        <f t="shared" si="24"/>
        <v>42370</v>
      </c>
      <c r="AS204" s="313">
        <f t="shared" si="18"/>
        <v>0.32822324378542206</v>
      </c>
      <c r="AT204" s="313">
        <f t="shared" si="19"/>
        <v>0.32828697614985169</v>
      </c>
      <c r="AV204" s="315">
        <f t="shared" si="25"/>
        <v>42370</v>
      </c>
      <c r="AW204" s="298">
        <v>192</v>
      </c>
    </row>
    <row r="205" spans="2:49" x14ac:dyDescent="0.25">
      <c r="B205" s="303">
        <f t="shared" si="20"/>
        <v>42401</v>
      </c>
      <c r="C205" s="301">
        <v>3.6040000000000001</v>
      </c>
      <c r="D205" s="301">
        <v>0.15</v>
      </c>
      <c r="E205" s="301">
        <v>7.2746509081027005E-2</v>
      </c>
      <c r="F205" s="301">
        <v>-0.16</v>
      </c>
      <c r="G205" s="301">
        <v>-0.04</v>
      </c>
      <c r="H205" s="301">
        <v>-0.16</v>
      </c>
      <c r="I205" s="301">
        <v>0.25</v>
      </c>
      <c r="J205" s="301">
        <v>0.33750000000000002</v>
      </c>
      <c r="K205" s="301">
        <v>-3.85E-2</v>
      </c>
      <c r="L205" s="301">
        <v>2.5000000000000001E-3</v>
      </c>
      <c r="M205" s="301">
        <v>0</v>
      </c>
      <c r="N205" s="301">
        <v>1.0999999999999999E-2</v>
      </c>
      <c r="O205" s="301">
        <v>2.3E-2</v>
      </c>
      <c r="P205" s="298">
        <v>-6.0000000000000001E-3</v>
      </c>
      <c r="Q205" s="298">
        <v>0</v>
      </c>
      <c r="R205" s="298">
        <v>-2.1000000000000001E-2</v>
      </c>
      <c r="S205" s="298">
        <v>-7.0999999999999994E-2</v>
      </c>
      <c r="T205" s="298">
        <v>0</v>
      </c>
      <c r="U205" s="298">
        <v>1.4</v>
      </c>
      <c r="V205" s="298">
        <v>5.0000000000000001E-3</v>
      </c>
      <c r="W205" s="298">
        <v>-0.19</v>
      </c>
      <c r="X205" s="298">
        <v>-7.4999999999999997E-3</v>
      </c>
      <c r="Y205" s="313">
        <v>0.1</v>
      </c>
      <c r="Z205" s="313">
        <v>0</v>
      </c>
      <c r="AA205" s="445">
        <v>0.15</v>
      </c>
      <c r="AB205" s="445">
        <v>0.16500000000000001</v>
      </c>
      <c r="AC205" s="445">
        <v>0.15</v>
      </c>
      <c r="AD205" s="445">
        <v>0.15</v>
      </c>
      <c r="AE205" s="445">
        <v>0.15</v>
      </c>
      <c r="AF205" s="445">
        <v>0.15</v>
      </c>
      <c r="AG205" s="445">
        <v>0.15</v>
      </c>
      <c r="AH205" s="445">
        <v>0.15</v>
      </c>
      <c r="AI205" s="446">
        <v>0.15</v>
      </c>
      <c r="AJ205" s="446">
        <v>0.15</v>
      </c>
      <c r="AK205" s="446">
        <v>0.15</v>
      </c>
      <c r="AL205" s="445">
        <v>0.15</v>
      </c>
      <c r="AM205" s="298">
        <v>7.2189013960005002E-2</v>
      </c>
      <c r="AO205" s="313">
        <f t="shared" si="21"/>
        <v>0.16500000000000001</v>
      </c>
      <c r="AP205" s="313">
        <f t="shared" si="22"/>
        <v>0.16500000000000001</v>
      </c>
      <c r="AQ205" s="316">
        <f t="shared" si="23"/>
        <v>0.16500000000000001</v>
      </c>
      <c r="AR205" s="315">
        <f t="shared" si="24"/>
        <v>42401</v>
      </c>
      <c r="AS205" s="313">
        <f t="shared" si="18"/>
        <v>0.32624532554897062</v>
      </c>
      <c r="AT205" s="313">
        <f t="shared" si="19"/>
        <v>0.32630867529934793</v>
      </c>
      <c r="AV205" s="315">
        <f t="shared" si="25"/>
        <v>42401</v>
      </c>
      <c r="AW205" s="298">
        <v>193</v>
      </c>
    </row>
    <row r="206" spans="2:49" x14ac:dyDescent="0.25">
      <c r="B206" s="303">
        <f t="shared" si="20"/>
        <v>42430</v>
      </c>
      <c r="C206" s="301">
        <v>3.528</v>
      </c>
      <c r="D206" s="301">
        <v>0.15</v>
      </c>
      <c r="E206" s="301">
        <v>7.2750248283088001E-2</v>
      </c>
      <c r="F206" s="301">
        <v>-0.16</v>
      </c>
      <c r="G206" s="301">
        <v>-2.75E-2</v>
      </c>
      <c r="H206" s="301">
        <v>-0.16</v>
      </c>
      <c r="I206" s="301">
        <v>0.247</v>
      </c>
      <c r="J206" s="301">
        <v>0.26</v>
      </c>
      <c r="K206" s="301">
        <v>-0.04</v>
      </c>
      <c r="L206" s="301">
        <v>2.5000000000000001E-3</v>
      </c>
      <c r="M206" s="301">
        <v>0</v>
      </c>
      <c r="N206" s="301">
        <v>1.0999999999999999E-2</v>
      </c>
      <c r="O206" s="301">
        <v>0</v>
      </c>
      <c r="P206" s="298">
        <v>-6.0000000000000001E-3</v>
      </c>
      <c r="Q206" s="298">
        <v>0</v>
      </c>
      <c r="R206" s="298">
        <v>-2.7000000000000001E-3</v>
      </c>
      <c r="S206" s="298">
        <v>-5.8500000000000003E-2</v>
      </c>
      <c r="T206" s="298">
        <v>0</v>
      </c>
      <c r="U206" s="298">
        <v>0.88</v>
      </c>
      <c r="V206" s="298">
        <v>5.0000000000000001E-3</v>
      </c>
      <c r="W206" s="298">
        <v>-0.19</v>
      </c>
      <c r="X206" s="298">
        <v>-7.4999999999999997E-3</v>
      </c>
      <c r="Y206" s="313">
        <v>0.1</v>
      </c>
      <c r="Z206" s="313">
        <v>0</v>
      </c>
      <c r="AA206" s="445">
        <v>0.15</v>
      </c>
      <c r="AB206" s="445">
        <v>0.16500000000000001</v>
      </c>
      <c r="AC206" s="445">
        <v>0.15</v>
      </c>
      <c r="AD206" s="445">
        <v>0.15</v>
      </c>
      <c r="AE206" s="445">
        <v>0.15</v>
      </c>
      <c r="AF206" s="445">
        <v>0.15</v>
      </c>
      <c r="AG206" s="445">
        <v>0.15</v>
      </c>
      <c r="AH206" s="445">
        <v>0.15</v>
      </c>
      <c r="AI206" s="446">
        <v>0.15</v>
      </c>
      <c r="AJ206" s="446">
        <v>0.15</v>
      </c>
      <c r="AK206" s="446">
        <v>0.15</v>
      </c>
      <c r="AL206" s="445">
        <v>0.15</v>
      </c>
      <c r="AM206" s="298">
        <v>7.2190582651917995E-2</v>
      </c>
      <c r="AO206" s="313">
        <f t="shared" si="21"/>
        <v>0.16500000000000001</v>
      </c>
      <c r="AP206" s="313">
        <f t="shared" si="22"/>
        <v>0.16500000000000001</v>
      </c>
      <c r="AQ206" s="316">
        <f t="shared" si="23"/>
        <v>0.16500000000000001</v>
      </c>
      <c r="AR206" s="315">
        <f t="shared" si="24"/>
        <v>42430</v>
      </c>
      <c r="AS206" s="313">
        <f t="shared" si="18"/>
        <v>0.32440572620385061</v>
      </c>
      <c r="AT206" s="313">
        <f t="shared" si="19"/>
        <v>0.32446872008901911</v>
      </c>
      <c r="AV206" s="315">
        <f t="shared" si="25"/>
        <v>42430</v>
      </c>
      <c r="AW206" s="298">
        <v>194</v>
      </c>
    </row>
    <row r="207" spans="2:49" x14ac:dyDescent="0.25">
      <c r="B207" s="303">
        <f t="shared" si="20"/>
        <v>42461</v>
      </c>
      <c r="C207" s="301">
        <v>3.4670000000000001</v>
      </c>
      <c r="D207" s="301">
        <v>0.15</v>
      </c>
      <c r="E207" s="301">
        <v>7.2754245361159001E-2</v>
      </c>
      <c r="F207" s="301">
        <v>-0.16</v>
      </c>
      <c r="G207" s="301">
        <v>1.4999999999999999E-2</v>
      </c>
      <c r="H207" s="301">
        <v>-0.16</v>
      </c>
      <c r="I207" s="301">
        <v>0.14499999999999999</v>
      </c>
      <c r="J207" s="301">
        <v>0.17</v>
      </c>
      <c r="K207" s="301">
        <v>-0.05</v>
      </c>
      <c r="L207" s="401">
        <v>6.9388939039100002E-18</v>
      </c>
      <c r="M207" s="301">
        <v>0</v>
      </c>
      <c r="N207" s="301">
        <v>6.4999999999999997E-3</v>
      </c>
      <c r="O207" s="301">
        <v>0</v>
      </c>
      <c r="P207" s="298">
        <v>-8.0000000000000002E-3</v>
      </c>
      <c r="Q207" s="298">
        <v>0</v>
      </c>
      <c r="R207" s="298">
        <v>-2.7000000000000001E-3</v>
      </c>
      <c r="S207" s="298">
        <v>-4.1000000000000002E-2</v>
      </c>
      <c r="T207" s="298">
        <v>0</v>
      </c>
      <c r="U207" s="298">
        <v>0.37</v>
      </c>
      <c r="V207" s="298">
        <v>5.0000000000000001E-3</v>
      </c>
      <c r="W207" s="298">
        <v>-0.19</v>
      </c>
      <c r="X207" s="298">
        <v>-7.4999999999999997E-3</v>
      </c>
      <c r="Y207" s="313">
        <v>0.1875</v>
      </c>
      <c r="Z207" s="313">
        <v>0</v>
      </c>
      <c r="AA207" s="445">
        <v>0.15</v>
      </c>
      <c r="AB207" s="445">
        <v>0.14699999999999999</v>
      </c>
      <c r="AC207" s="445">
        <v>0.15</v>
      </c>
      <c r="AD207" s="445">
        <v>0.15</v>
      </c>
      <c r="AE207" s="445">
        <v>0.14699999999999999</v>
      </c>
      <c r="AF207" s="445">
        <v>0.15</v>
      </c>
      <c r="AG207" s="445">
        <v>0.15</v>
      </c>
      <c r="AH207" s="445">
        <v>0.15</v>
      </c>
      <c r="AI207" s="446">
        <v>0.15</v>
      </c>
      <c r="AJ207" s="446">
        <v>0.15</v>
      </c>
      <c r="AK207" s="446">
        <v>0.15</v>
      </c>
      <c r="AL207" s="445">
        <v>0.15</v>
      </c>
      <c r="AM207" s="298">
        <v>7.2192259529480995E-2</v>
      </c>
      <c r="AO207" s="313">
        <f t="shared" si="21"/>
        <v>0.14699999999999999</v>
      </c>
      <c r="AP207" s="313">
        <f t="shared" si="22"/>
        <v>0.14699999999999999</v>
      </c>
      <c r="AQ207" s="316">
        <f t="shared" si="23"/>
        <v>0.14699999999999999</v>
      </c>
      <c r="AR207" s="315">
        <f t="shared" si="24"/>
        <v>42461</v>
      </c>
      <c r="AS207" s="313">
        <f t="shared" si="18"/>
        <v>0.3224506414069237</v>
      </c>
      <c r="AT207" s="313">
        <f t="shared" si="19"/>
        <v>0.32251325707810535</v>
      </c>
      <c r="AV207" s="315">
        <f t="shared" si="25"/>
        <v>42461</v>
      </c>
      <c r="AW207" s="298">
        <v>195</v>
      </c>
    </row>
    <row r="208" spans="2:49" x14ac:dyDescent="0.25">
      <c r="B208" s="303">
        <f t="shared" si="20"/>
        <v>42491</v>
      </c>
      <c r="C208" s="301">
        <v>3.5110000000000001</v>
      </c>
      <c r="D208" s="301">
        <v>0.15</v>
      </c>
      <c r="E208" s="301">
        <v>7.2758113501233998E-2</v>
      </c>
      <c r="F208" s="301">
        <v>0</v>
      </c>
      <c r="G208" s="301">
        <v>1.4999999999999999E-2</v>
      </c>
      <c r="H208" s="301">
        <v>0</v>
      </c>
      <c r="I208" s="301">
        <v>0</v>
      </c>
      <c r="J208" s="301">
        <v>0.155</v>
      </c>
      <c r="K208" s="301">
        <v>-3.2500000000000001E-2</v>
      </c>
      <c r="L208" s="401">
        <v>6.9388939039100002E-18</v>
      </c>
      <c r="M208" s="301">
        <v>0</v>
      </c>
      <c r="N208" s="301">
        <v>6.4999999999999997E-3</v>
      </c>
      <c r="O208" s="301">
        <v>0</v>
      </c>
      <c r="P208" s="298">
        <v>-8.0000000000000002E-3</v>
      </c>
      <c r="Q208" s="298">
        <v>0</v>
      </c>
      <c r="R208" s="298">
        <v>-2.9499999999999999E-3</v>
      </c>
      <c r="S208" s="298">
        <v>-4.3499999999999997E-2</v>
      </c>
      <c r="T208" s="298">
        <v>0</v>
      </c>
      <c r="U208" s="298">
        <v>0.2525</v>
      </c>
      <c r="V208" s="298">
        <v>5.0000000000000001E-3</v>
      </c>
      <c r="W208" s="298">
        <v>-0.19</v>
      </c>
      <c r="X208" s="298">
        <v>-4.0000000000000001E-3</v>
      </c>
      <c r="Y208" s="313">
        <v>0.1875</v>
      </c>
      <c r="Z208" s="313">
        <v>0</v>
      </c>
      <c r="AA208" s="445">
        <v>0.15</v>
      </c>
      <c r="AB208" s="445">
        <v>0.14699999999999999</v>
      </c>
      <c r="AC208" s="445">
        <v>0.15</v>
      </c>
      <c r="AD208" s="445">
        <v>0.15</v>
      </c>
      <c r="AE208" s="445">
        <v>0.14699999999999999</v>
      </c>
      <c r="AF208" s="445">
        <v>0.15</v>
      </c>
      <c r="AG208" s="445">
        <v>0.15</v>
      </c>
      <c r="AH208" s="445">
        <v>0.15</v>
      </c>
      <c r="AI208" s="446">
        <v>0.15</v>
      </c>
      <c r="AJ208" s="446">
        <v>0.15</v>
      </c>
      <c r="AK208" s="446">
        <v>0.15</v>
      </c>
      <c r="AL208" s="445">
        <v>0.15</v>
      </c>
      <c r="AM208" s="298">
        <v>7.2193882314220997E-2</v>
      </c>
      <c r="AO208" s="313">
        <f t="shared" si="21"/>
        <v>0.14699999999999999</v>
      </c>
      <c r="AP208" s="313">
        <f t="shared" si="22"/>
        <v>0.14699999999999999</v>
      </c>
      <c r="AQ208" s="316">
        <f t="shared" si="23"/>
        <v>0.14699999999999999</v>
      </c>
      <c r="AR208" s="315">
        <f t="shared" si="24"/>
        <v>42491</v>
      </c>
      <c r="AS208" s="313">
        <f t="shared" ref="AS208:AS234" si="26">(1+$AM208/2)^(-2*($B208-$AS$11)/365.25)</f>
        <v>0.3205697593868006</v>
      </c>
      <c r="AT208" s="313">
        <f t="shared" ref="AT208:AT234" si="27">(1+$AM208/2)^(-2*($B208-$AT$11)/365.25)</f>
        <v>0.32063201119036577</v>
      </c>
      <c r="AV208" s="315">
        <f t="shared" si="25"/>
        <v>42491</v>
      </c>
      <c r="AW208" s="298">
        <v>196</v>
      </c>
    </row>
    <row r="209" spans="2:49" x14ac:dyDescent="0.25">
      <c r="B209" s="303">
        <f t="shared" ref="B209:B272" si="28">EOMONTH(B208,0)+1</f>
        <v>42522</v>
      </c>
      <c r="C209" s="301">
        <v>3.5259999999999998</v>
      </c>
      <c r="D209" s="301">
        <v>0.15</v>
      </c>
      <c r="E209" s="301">
        <v>7.2762110579315004E-2</v>
      </c>
      <c r="F209" s="301">
        <v>0</v>
      </c>
      <c r="G209" s="301">
        <v>0.02</v>
      </c>
      <c r="H209" s="301">
        <v>0</v>
      </c>
      <c r="I209" s="301">
        <v>0</v>
      </c>
      <c r="J209" s="301">
        <v>0.155</v>
      </c>
      <c r="K209" s="301">
        <v>-2.75E-2</v>
      </c>
      <c r="L209" s="401">
        <v>6.9388939039100002E-18</v>
      </c>
      <c r="M209" s="301">
        <v>0</v>
      </c>
      <c r="N209" s="301">
        <v>6.4999999999999997E-3</v>
      </c>
      <c r="O209" s="301">
        <v>0</v>
      </c>
      <c r="P209" s="298">
        <v>-5.4999999999999997E-3</v>
      </c>
      <c r="Q209" s="298">
        <v>0</v>
      </c>
      <c r="R209" s="298">
        <v>-2.9499999999999999E-3</v>
      </c>
      <c r="S209" s="298">
        <v>-3.5999999999999997E-2</v>
      </c>
      <c r="T209" s="298">
        <v>0</v>
      </c>
      <c r="U209" s="298">
        <v>0.2525</v>
      </c>
      <c r="V209" s="298">
        <v>5.0000000000000001E-3</v>
      </c>
      <c r="W209" s="298">
        <v>-0.19</v>
      </c>
      <c r="X209" s="298">
        <v>-6.4999999999999997E-3</v>
      </c>
      <c r="Y209" s="313">
        <v>0.1875</v>
      </c>
      <c r="Z209" s="313">
        <v>0</v>
      </c>
      <c r="AA209" s="445">
        <v>0.15</v>
      </c>
      <c r="AB209" s="445">
        <v>0.14699999999999999</v>
      </c>
      <c r="AC209" s="445">
        <v>0.15</v>
      </c>
      <c r="AD209" s="445">
        <v>0.15</v>
      </c>
      <c r="AE209" s="445">
        <v>0.14699999999999999</v>
      </c>
      <c r="AF209" s="445">
        <v>0.15</v>
      </c>
      <c r="AG209" s="445">
        <v>0.15</v>
      </c>
      <c r="AH209" s="445">
        <v>0.15</v>
      </c>
      <c r="AI209" s="446">
        <v>0.15</v>
      </c>
      <c r="AJ209" s="446">
        <v>0.15</v>
      </c>
      <c r="AK209" s="446">
        <v>0.15</v>
      </c>
      <c r="AL209" s="445">
        <v>0.15</v>
      </c>
      <c r="AM209" s="298">
        <v>7.2195559191784997E-2</v>
      </c>
      <c r="AO209" s="313">
        <f t="shared" ref="AO209:AO235" si="29">AB209</f>
        <v>0.14699999999999999</v>
      </c>
      <c r="AP209" s="313">
        <f t="shared" ref="AP209:AP235" si="30">AB209</f>
        <v>0.14699999999999999</v>
      </c>
      <c r="AQ209" s="316">
        <f t="shared" ref="AQ209:AQ235" si="31">AB209</f>
        <v>0.14699999999999999</v>
      </c>
      <c r="AR209" s="315">
        <f t="shared" ref="AR209:AR272" si="32">B209</f>
        <v>42522</v>
      </c>
      <c r="AS209" s="313">
        <f t="shared" si="26"/>
        <v>0.31863762043842853</v>
      </c>
      <c r="AT209" s="313">
        <f t="shared" si="27"/>
        <v>0.31869949844993561</v>
      </c>
      <c r="AV209" s="315">
        <f t="shared" ref="AV209:AV235" si="33">B209</f>
        <v>42522</v>
      </c>
      <c r="AW209" s="298">
        <v>197</v>
      </c>
    </row>
    <row r="210" spans="2:49" x14ac:dyDescent="0.25">
      <c r="B210" s="303">
        <f t="shared" si="28"/>
        <v>42552</v>
      </c>
      <c r="C210" s="301">
        <v>3.5259999999999998</v>
      </c>
      <c r="D210" s="301">
        <v>0.15</v>
      </c>
      <c r="E210" s="301">
        <v>7.2765978719398994E-2</v>
      </c>
      <c r="F210" s="301">
        <v>0</v>
      </c>
      <c r="G210" s="301">
        <v>2.2499999999999999E-2</v>
      </c>
      <c r="H210" s="301">
        <v>0</v>
      </c>
      <c r="I210" s="301">
        <v>0</v>
      </c>
      <c r="J210" s="301">
        <v>0.155</v>
      </c>
      <c r="K210" s="301">
        <v>-2.75E-2</v>
      </c>
      <c r="L210" s="401">
        <v>6.9388939039100002E-18</v>
      </c>
      <c r="M210" s="301">
        <v>0</v>
      </c>
      <c r="N210" s="301">
        <v>6.4999999999999997E-3</v>
      </c>
      <c r="O210" s="301">
        <v>0</v>
      </c>
      <c r="P210" s="298">
        <v>-5.4999999999999997E-3</v>
      </c>
      <c r="Q210" s="298">
        <v>0</v>
      </c>
      <c r="R210" s="298">
        <v>-2.9499999999999999E-3</v>
      </c>
      <c r="S210" s="298">
        <v>-3.5999999999999997E-2</v>
      </c>
      <c r="T210" s="298">
        <v>0</v>
      </c>
      <c r="U210" s="298">
        <v>0.25750000000000001</v>
      </c>
      <c r="V210" s="298">
        <v>5.0000000000000001E-3</v>
      </c>
      <c r="W210" s="298">
        <v>-0.19</v>
      </c>
      <c r="X210" s="298">
        <v>-6.4999999999999997E-3</v>
      </c>
      <c r="Y210" s="313">
        <v>0.1875</v>
      </c>
      <c r="Z210" s="313">
        <v>0</v>
      </c>
      <c r="AA210" s="445">
        <v>0.15</v>
      </c>
      <c r="AB210" s="445">
        <v>0.14699999999999999</v>
      </c>
      <c r="AC210" s="445">
        <v>0.15</v>
      </c>
      <c r="AD210" s="445">
        <v>0.15</v>
      </c>
      <c r="AE210" s="445">
        <v>0.14699999999999999</v>
      </c>
      <c r="AF210" s="445">
        <v>0.15</v>
      </c>
      <c r="AG210" s="445">
        <v>0.15</v>
      </c>
      <c r="AH210" s="445">
        <v>0.15</v>
      </c>
      <c r="AI210" s="446">
        <v>0.15</v>
      </c>
      <c r="AJ210" s="446">
        <v>0.15</v>
      </c>
      <c r="AK210" s="446">
        <v>0.15</v>
      </c>
      <c r="AL210" s="445">
        <v>0.15</v>
      </c>
      <c r="AM210" s="298">
        <v>7.2197181976526997E-2</v>
      </c>
      <c r="AO210" s="313">
        <f t="shared" si="29"/>
        <v>0.14699999999999999</v>
      </c>
      <c r="AP210" s="313">
        <f t="shared" si="30"/>
        <v>0.14699999999999999</v>
      </c>
      <c r="AQ210" s="316">
        <f t="shared" si="31"/>
        <v>0.14699999999999999</v>
      </c>
      <c r="AR210" s="315">
        <f t="shared" si="32"/>
        <v>42552</v>
      </c>
      <c r="AS210" s="313">
        <f t="shared" si="26"/>
        <v>0.31677881438236272</v>
      </c>
      <c r="AT210" s="313">
        <f t="shared" si="27"/>
        <v>0.31684033278064305</v>
      </c>
      <c r="AV210" s="315">
        <f t="shared" si="33"/>
        <v>42552</v>
      </c>
      <c r="AW210" s="298">
        <v>198</v>
      </c>
    </row>
    <row r="211" spans="2:49" x14ac:dyDescent="0.25">
      <c r="B211" s="303">
        <f t="shared" si="28"/>
        <v>42583</v>
      </c>
      <c r="C211" s="301">
        <v>3.5289999999999999</v>
      </c>
      <c r="D211" s="301">
        <v>0.15</v>
      </c>
      <c r="E211" s="301">
        <v>7.2769975797491004E-2</v>
      </c>
      <c r="F211" s="301">
        <v>0</v>
      </c>
      <c r="G211" s="301">
        <v>2.5000000000000001E-2</v>
      </c>
      <c r="H211" s="301">
        <v>0</v>
      </c>
      <c r="I211" s="301">
        <v>0</v>
      </c>
      <c r="J211" s="301">
        <v>0.155</v>
      </c>
      <c r="K211" s="301">
        <v>-2.75E-2</v>
      </c>
      <c r="L211" s="401">
        <v>6.9388939039100002E-18</v>
      </c>
      <c r="M211" s="301">
        <v>0</v>
      </c>
      <c r="N211" s="301">
        <v>6.4999999999999997E-3</v>
      </c>
      <c r="O211" s="301">
        <v>0</v>
      </c>
      <c r="P211" s="298">
        <v>-5.4999999999999997E-3</v>
      </c>
      <c r="Q211" s="298">
        <v>0</v>
      </c>
      <c r="R211" s="298">
        <v>-2.5000000000000001E-4</v>
      </c>
      <c r="S211" s="298">
        <v>-3.5999999999999997E-2</v>
      </c>
      <c r="T211" s="298">
        <v>0</v>
      </c>
      <c r="U211" s="298">
        <v>0.25750000000000001</v>
      </c>
      <c r="V211" s="298">
        <v>5.0000000000000001E-3</v>
      </c>
      <c r="W211" s="298">
        <v>-0.19</v>
      </c>
      <c r="X211" s="298">
        <v>-6.4999999999999997E-3</v>
      </c>
      <c r="Y211" s="313">
        <v>0.1875</v>
      </c>
      <c r="Z211" s="313">
        <v>0</v>
      </c>
      <c r="AA211" s="445">
        <v>0.15</v>
      </c>
      <c r="AB211" s="445">
        <v>0.14699999999999999</v>
      </c>
      <c r="AC211" s="445">
        <v>0.15</v>
      </c>
      <c r="AD211" s="445">
        <v>0.15</v>
      </c>
      <c r="AE211" s="445">
        <v>0.14699999999999999</v>
      </c>
      <c r="AF211" s="445">
        <v>0.15</v>
      </c>
      <c r="AG211" s="445">
        <v>0.15</v>
      </c>
      <c r="AH211" s="445">
        <v>0.15</v>
      </c>
      <c r="AI211" s="446">
        <v>0.15</v>
      </c>
      <c r="AJ211" s="446">
        <v>0.15</v>
      </c>
      <c r="AK211" s="446">
        <v>0.15</v>
      </c>
      <c r="AL211" s="445">
        <v>0.15</v>
      </c>
      <c r="AM211" s="298">
        <v>7.2198858854093995E-2</v>
      </c>
      <c r="AO211" s="313">
        <f t="shared" si="29"/>
        <v>0.14699999999999999</v>
      </c>
      <c r="AP211" s="313">
        <f t="shared" si="30"/>
        <v>0.14699999999999999</v>
      </c>
      <c r="AQ211" s="316">
        <f t="shared" si="31"/>
        <v>0.14699999999999999</v>
      </c>
      <c r="AR211" s="315">
        <f t="shared" si="32"/>
        <v>42583</v>
      </c>
      <c r="AS211" s="313">
        <f t="shared" si="26"/>
        <v>0.31486935402533478</v>
      </c>
      <c r="AT211" s="313">
        <f t="shared" si="27"/>
        <v>0.31493050300218306</v>
      </c>
      <c r="AV211" s="315">
        <f t="shared" si="33"/>
        <v>42583</v>
      </c>
      <c r="AW211" s="298">
        <v>199</v>
      </c>
    </row>
    <row r="212" spans="2:49" x14ac:dyDescent="0.25">
      <c r="B212" s="303">
        <f t="shared" si="28"/>
        <v>42614</v>
      </c>
      <c r="C212" s="301">
        <v>3.52</v>
      </c>
      <c r="D212" s="301">
        <v>0.15</v>
      </c>
      <c r="E212" s="301">
        <v>7.2773972875587997E-2</v>
      </c>
      <c r="F212" s="301">
        <v>0</v>
      </c>
      <c r="G212" s="301">
        <v>1.7500000000000002E-2</v>
      </c>
      <c r="H212" s="301">
        <v>0</v>
      </c>
      <c r="I212" s="301">
        <v>0</v>
      </c>
      <c r="J212" s="301">
        <v>0.155</v>
      </c>
      <c r="K212" s="301">
        <v>-0.03</v>
      </c>
      <c r="L212" s="401">
        <v>6.9388939039100002E-18</v>
      </c>
      <c r="M212" s="301">
        <v>0</v>
      </c>
      <c r="N212" s="301">
        <v>6.4999999999999997E-3</v>
      </c>
      <c r="O212" s="301">
        <v>0</v>
      </c>
      <c r="P212" s="298">
        <v>-5.4999999999999997E-3</v>
      </c>
      <c r="Q212" s="298">
        <v>0</v>
      </c>
      <c r="R212" s="298">
        <v>-2.5000000000000001E-4</v>
      </c>
      <c r="S212" s="298">
        <v>-4.1000000000000002E-2</v>
      </c>
      <c r="T212" s="298">
        <v>0</v>
      </c>
      <c r="U212" s="298">
        <v>0.2525</v>
      </c>
      <c r="V212" s="298">
        <v>5.0000000000000001E-3</v>
      </c>
      <c r="W212" s="298">
        <v>-0.19</v>
      </c>
      <c r="X212" s="298">
        <v>-8.9999999999999993E-3</v>
      </c>
      <c r="Y212" s="313">
        <v>0.1875</v>
      </c>
      <c r="Z212" s="313">
        <v>0</v>
      </c>
      <c r="AA212" s="445">
        <v>0.15</v>
      </c>
      <c r="AB212" s="445">
        <v>0.14699999999999999</v>
      </c>
      <c r="AC212" s="445">
        <v>0.15</v>
      </c>
      <c r="AD212" s="445">
        <v>0.15</v>
      </c>
      <c r="AE212" s="445">
        <v>0.14699999999999999</v>
      </c>
      <c r="AF212" s="445">
        <v>0.15</v>
      </c>
      <c r="AG212" s="445">
        <v>0.15</v>
      </c>
      <c r="AH212" s="445">
        <v>0.15</v>
      </c>
      <c r="AI212" s="446">
        <v>0.15</v>
      </c>
      <c r="AJ212" s="446">
        <v>0.15</v>
      </c>
      <c r="AK212" s="446">
        <v>0.15</v>
      </c>
      <c r="AL212" s="445">
        <v>0.15</v>
      </c>
      <c r="AM212" s="298">
        <v>7.2200535731662005E-2</v>
      </c>
      <c r="AO212" s="313">
        <f t="shared" si="29"/>
        <v>0.14699999999999999</v>
      </c>
      <c r="AP212" s="313">
        <f t="shared" si="30"/>
        <v>0.14699999999999999</v>
      </c>
      <c r="AQ212" s="316">
        <f t="shared" si="31"/>
        <v>0.14699999999999999</v>
      </c>
      <c r="AR212" s="315">
        <f t="shared" si="32"/>
        <v>42614</v>
      </c>
      <c r="AS212" s="313">
        <f t="shared" si="26"/>
        <v>0.31297131742401912</v>
      </c>
      <c r="AT212" s="313">
        <f t="shared" si="27"/>
        <v>0.31303209918110192</v>
      </c>
      <c r="AV212" s="315">
        <f t="shared" si="33"/>
        <v>42614</v>
      </c>
      <c r="AW212" s="298">
        <v>200</v>
      </c>
    </row>
    <row r="213" spans="2:49" x14ac:dyDescent="0.25">
      <c r="B213" s="303">
        <f t="shared" si="28"/>
        <v>42644</v>
      </c>
      <c r="C213" s="301">
        <v>3.5339999999999998</v>
      </c>
      <c r="D213" s="301">
        <v>0.15</v>
      </c>
      <c r="E213" s="301">
        <v>7.2777841015687003E-2</v>
      </c>
      <c r="F213" s="301">
        <v>0</v>
      </c>
      <c r="G213" s="301">
        <v>7.4999999999999997E-3</v>
      </c>
      <c r="H213" s="301">
        <v>0</v>
      </c>
      <c r="I213" s="301">
        <v>0</v>
      </c>
      <c r="J213" s="301">
        <v>0.1575</v>
      </c>
      <c r="K213" s="301">
        <v>-0.03</v>
      </c>
      <c r="L213" s="401">
        <v>6.9388939039100002E-18</v>
      </c>
      <c r="M213" s="301">
        <v>0</v>
      </c>
      <c r="N213" s="301">
        <v>6.4999999999999997E-3</v>
      </c>
      <c r="O213" s="301">
        <v>0</v>
      </c>
      <c r="P213" s="298">
        <v>-5.4999999999999997E-3</v>
      </c>
      <c r="Q213" s="298">
        <v>0</v>
      </c>
      <c r="R213" s="298">
        <v>-2.1000000000000001E-2</v>
      </c>
      <c r="S213" s="298">
        <v>-4.1000000000000002E-2</v>
      </c>
      <c r="T213" s="298">
        <v>0</v>
      </c>
      <c r="U213" s="298">
        <v>0.255</v>
      </c>
      <c r="V213" s="298">
        <v>5.0000000000000001E-3</v>
      </c>
      <c r="W213" s="298">
        <v>-0.19</v>
      </c>
      <c r="X213" s="298">
        <v>-8.9999999999999993E-3</v>
      </c>
      <c r="Y213" s="313">
        <v>0.1875</v>
      </c>
      <c r="Z213" s="313">
        <v>0</v>
      </c>
      <c r="AA213" s="445">
        <v>0.15</v>
      </c>
      <c r="AB213" s="445">
        <v>0.14699999999999999</v>
      </c>
      <c r="AC213" s="445">
        <v>0.15</v>
      </c>
      <c r="AD213" s="445">
        <v>0.15</v>
      </c>
      <c r="AE213" s="445">
        <v>0.14699999999999999</v>
      </c>
      <c r="AF213" s="445">
        <v>0.15</v>
      </c>
      <c r="AG213" s="445">
        <v>0.15</v>
      </c>
      <c r="AH213" s="445">
        <v>0.15</v>
      </c>
      <c r="AI213" s="446">
        <v>0.15</v>
      </c>
      <c r="AJ213" s="446">
        <v>0.15</v>
      </c>
      <c r="AK213" s="446">
        <v>0.15</v>
      </c>
      <c r="AL213" s="445">
        <v>0.15</v>
      </c>
      <c r="AM213" s="298">
        <v>7.2202158516405004E-2</v>
      </c>
      <c r="AO213" s="313">
        <f t="shared" si="29"/>
        <v>0.14699999999999999</v>
      </c>
      <c r="AP213" s="313">
        <f t="shared" si="30"/>
        <v>0.14699999999999999</v>
      </c>
      <c r="AQ213" s="316">
        <f t="shared" si="31"/>
        <v>0.14699999999999999</v>
      </c>
      <c r="AR213" s="315">
        <f t="shared" si="32"/>
        <v>42644</v>
      </c>
      <c r="AS213" s="313">
        <f t="shared" si="26"/>
        <v>0.31114532086187724</v>
      </c>
      <c r="AT213" s="313">
        <f t="shared" si="27"/>
        <v>0.31120574932900913</v>
      </c>
      <c r="AV213" s="315">
        <f t="shared" si="33"/>
        <v>42644</v>
      </c>
      <c r="AW213" s="298">
        <v>201</v>
      </c>
    </row>
    <row r="214" spans="2:49" x14ac:dyDescent="0.25">
      <c r="B214" s="303">
        <f t="shared" si="28"/>
        <v>42675</v>
      </c>
      <c r="C214" s="301">
        <v>3.6019999999999999</v>
      </c>
      <c r="D214" s="301">
        <v>0.15</v>
      </c>
      <c r="E214" s="301">
        <v>7.2781838093795001E-2</v>
      </c>
      <c r="F214" s="301">
        <v>0</v>
      </c>
      <c r="G214" s="301">
        <v>-3.2500000000000001E-2</v>
      </c>
      <c r="H214" s="301">
        <v>0</v>
      </c>
      <c r="I214" s="301">
        <v>0</v>
      </c>
      <c r="J214" s="301">
        <v>0.24</v>
      </c>
      <c r="K214" s="301">
        <v>-3.6499999999999998E-2</v>
      </c>
      <c r="L214" s="301">
        <v>2.5000000000000001E-3</v>
      </c>
      <c r="M214" s="301">
        <v>0</v>
      </c>
      <c r="N214" s="301">
        <v>1.0999999999999999E-2</v>
      </c>
      <c r="O214" s="301">
        <v>0</v>
      </c>
      <c r="P214" s="298">
        <v>-8.5000000000000006E-3</v>
      </c>
      <c r="Q214" s="298">
        <v>0</v>
      </c>
      <c r="R214" s="298">
        <v>-0.02</v>
      </c>
      <c r="S214" s="298">
        <v>-5.6000000000000001E-2</v>
      </c>
      <c r="T214" s="298">
        <v>0</v>
      </c>
      <c r="U214" s="298">
        <v>0.72499999999999998</v>
      </c>
      <c r="V214" s="298">
        <v>5.0000000000000001E-3</v>
      </c>
      <c r="W214" s="298">
        <v>-0.19</v>
      </c>
      <c r="X214" s="298">
        <v>-6.4999999999999997E-3</v>
      </c>
      <c r="Y214" s="313">
        <v>0.1</v>
      </c>
      <c r="Z214" s="313">
        <v>0</v>
      </c>
      <c r="AA214" s="445">
        <v>0.15</v>
      </c>
      <c r="AB214" s="445">
        <v>0.16500000000000001</v>
      </c>
      <c r="AC214" s="445">
        <v>0.15</v>
      </c>
      <c r="AD214" s="445">
        <v>0.15</v>
      </c>
      <c r="AE214" s="445">
        <v>0.15</v>
      </c>
      <c r="AF214" s="445">
        <v>0.15</v>
      </c>
      <c r="AG214" s="445">
        <v>0.15</v>
      </c>
      <c r="AH214" s="445">
        <v>0.15</v>
      </c>
      <c r="AI214" s="446">
        <v>0.15</v>
      </c>
      <c r="AJ214" s="446">
        <v>0.15</v>
      </c>
      <c r="AK214" s="446">
        <v>0.15</v>
      </c>
      <c r="AL214" s="445">
        <v>0.15</v>
      </c>
      <c r="AM214" s="298">
        <v>7.2203835393974E-2</v>
      </c>
      <c r="AO214" s="313">
        <f t="shared" si="29"/>
        <v>0.16500000000000001</v>
      </c>
      <c r="AP214" s="313">
        <f t="shared" si="30"/>
        <v>0.16500000000000001</v>
      </c>
      <c r="AQ214" s="316">
        <f t="shared" si="31"/>
        <v>0.16500000000000001</v>
      </c>
      <c r="AR214" s="315">
        <f t="shared" si="32"/>
        <v>42675</v>
      </c>
      <c r="AS214" s="313">
        <f t="shared" si="26"/>
        <v>0.30926956560600005</v>
      </c>
      <c r="AT214" s="313">
        <f t="shared" si="27"/>
        <v>0.30932963114773265</v>
      </c>
      <c r="AV214" s="315">
        <f t="shared" si="33"/>
        <v>42675</v>
      </c>
      <c r="AW214" s="298">
        <v>202</v>
      </c>
    </row>
    <row r="215" spans="2:49" x14ac:dyDescent="0.25">
      <c r="B215" s="303">
        <f t="shared" si="28"/>
        <v>42705</v>
      </c>
      <c r="C215" s="301">
        <v>3.6859999999999999</v>
      </c>
      <c r="D215" s="301">
        <v>0.15</v>
      </c>
      <c r="E215" s="301">
        <v>7.2785706233903999E-2</v>
      </c>
      <c r="F215" s="301">
        <v>0</v>
      </c>
      <c r="G215" s="301">
        <v>-5.5E-2</v>
      </c>
      <c r="H215" s="301">
        <v>0</v>
      </c>
      <c r="I215" s="301">
        <v>0</v>
      </c>
      <c r="J215" s="301">
        <v>0.29499999999999998</v>
      </c>
      <c r="K215" s="301">
        <v>-3.6499999999999998E-2</v>
      </c>
      <c r="L215" s="301">
        <v>2.5000000000000001E-3</v>
      </c>
      <c r="M215" s="301">
        <v>0</v>
      </c>
      <c r="N215" s="301">
        <v>1.0999999999999999E-2</v>
      </c>
      <c r="O215" s="301">
        <v>0</v>
      </c>
      <c r="P215" s="298">
        <v>-8.5000000000000006E-3</v>
      </c>
      <c r="Q215" s="298">
        <v>0</v>
      </c>
      <c r="R215" s="298">
        <v>-0.02</v>
      </c>
      <c r="S215" s="298">
        <v>-7.0999999999999994E-2</v>
      </c>
      <c r="T215" s="298">
        <v>0</v>
      </c>
      <c r="U215" s="298">
        <v>1.0449999999999999</v>
      </c>
      <c r="V215" s="298">
        <v>5.0000000000000001E-3</v>
      </c>
      <c r="W215" s="298">
        <v>-0.19</v>
      </c>
      <c r="X215" s="298">
        <v>-6.4999999999999997E-3</v>
      </c>
      <c r="Y215" s="313">
        <v>0.1</v>
      </c>
      <c r="Z215" s="313">
        <v>0</v>
      </c>
      <c r="AA215" s="445">
        <v>0.15</v>
      </c>
      <c r="AB215" s="445">
        <v>0.16500000000000001</v>
      </c>
      <c r="AC215" s="445">
        <v>0.15</v>
      </c>
      <c r="AD215" s="445">
        <v>0.15</v>
      </c>
      <c r="AE215" s="445">
        <v>0.15</v>
      </c>
      <c r="AF215" s="445">
        <v>0.15</v>
      </c>
      <c r="AG215" s="445">
        <v>0.15</v>
      </c>
      <c r="AH215" s="445">
        <v>0.15</v>
      </c>
      <c r="AI215" s="446">
        <v>0.15</v>
      </c>
      <c r="AJ215" s="446">
        <v>0.15</v>
      </c>
      <c r="AK215" s="446">
        <v>0.15</v>
      </c>
      <c r="AL215" s="445">
        <v>0.15</v>
      </c>
      <c r="AM215" s="298">
        <v>7.2205458178719997E-2</v>
      </c>
      <c r="AO215" s="313">
        <f t="shared" si="29"/>
        <v>0.16500000000000001</v>
      </c>
      <c r="AP215" s="313">
        <f t="shared" si="30"/>
        <v>0.16500000000000001</v>
      </c>
      <c r="AQ215" s="316">
        <f t="shared" si="31"/>
        <v>0.16500000000000001</v>
      </c>
      <c r="AR215" s="315">
        <f t="shared" si="32"/>
        <v>42705</v>
      </c>
      <c r="AS215" s="313">
        <f t="shared" si="26"/>
        <v>0.30746500566726742</v>
      </c>
      <c r="AT215" s="313">
        <f t="shared" si="27"/>
        <v>0.30752472205070375</v>
      </c>
      <c r="AV215" s="315">
        <f t="shared" si="33"/>
        <v>42705</v>
      </c>
      <c r="AW215" s="298">
        <v>203</v>
      </c>
    </row>
    <row r="216" spans="2:49" x14ac:dyDescent="0.25">
      <c r="B216" s="303">
        <f t="shared" si="28"/>
        <v>42736</v>
      </c>
      <c r="C216" s="301">
        <v>3.7244999999999999</v>
      </c>
      <c r="D216" s="301">
        <v>0.15</v>
      </c>
      <c r="E216" s="301">
        <v>7.2789703312022003E-2</v>
      </c>
      <c r="F216" s="301">
        <v>0</v>
      </c>
      <c r="G216" s="301">
        <v>-5.7500000000000002E-2</v>
      </c>
      <c r="H216" s="301">
        <v>0</v>
      </c>
      <c r="I216" s="301">
        <v>0</v>
      </c>
      <c r="J216" s="301">
        <v>0.34250000000000003</v>
      </c>
      <c r="K216" s="301">
        <v>-4.0500000000000001E-2</v>
      </c>
      <c r="L216" s="301">
        <v>4.4999999999999997E-3</v>
      </c>
      <c r="M216" s="301">
        <v>0</v>
      </c>
      <c r="N216" s="301">
        <v>1.0999999999999999E-2</v>
      </c>
      <c r="O216" s="301">
        <v>0</v>
      </c>
      <c r="P216" s="298">
        <v>-4.0000000000000001E-3</v>
      </c>
      <c r="Q216" s="298">
        <v>0</v>
      </c>
      <c r="R216" s="298">
        <v>-0.02</v>
      </c>
      <c r="S216" s="298">
        <v>-8.1500000000000003E-2</v>
      </c>
      <c r="T216" s="298">
        <v>0</v>
      </c>
      <c r="U216" s="298">
        <v>1.52</v>
      </c>
      <c r="V216" s="298">
        <v>5.0000000000000001E-3</v>
      </c>
      <c r="W216" s="298">
        <v>-0.19</v>
      </c>
      <c r="X216" s="298">
        <v>-6.4999999999999997E-3</v>
      </c>
      <c r="Y216" s="313">
        <v>0.1</v>
      </c>
      <c r="Z216" s="313">
        <v>0</v>
      </c>
      <c r="AA216" s="445">
        <v>0.15</v>
      </c>
      <c r="AB216" s="445">
        <v>0.15</v>
      </c>
      <c r="AC216" s="445">
        <v>0.15</v>
      </c>
      <c r="AD216" s="445">
        <v>0.15</v>
      </c>
      <c r="AE216" s="445">
        <v>0.15</v>
      </c>
      <c r="AF216" s="445">
        <v>0.15</v>
      </c>
      <c r="AG216" s="445">
        <v>0.15</v>
      </c>
      <c r="AH216" s="445">
        <v>0.15</v>
      </c>
      <c r="AI216" s="446">
        <v>0.15</v>
      </c>
      <c r="AJ216" s="446">
        <v>0.15</v>
      </c>
      <c r="AK216" s="446">
        <v>0.15</v>
      </c>
      <c r="AL216" s="445">
        <v>0.15</v>
      </c>
      <c r="AM216" s="298">
        <v>7.2207135056292004E-2</v>
      </c>
      <c r="AO216" s="313">
        <f t="shared" si="29"/>
        <v>0.15</v>
      </c>
      <c r="AP216" s="313">
        <f t="shared" si="30"/>
        <v>0.15</v>
      </c>
      <c r="AQ216" s="316">
        <f t="shared" si="31"/>
        <v>0.15</v>
      </c>
      <c r="AR216" s="315">
        <f t="shared" si="32"/>
        <v>42736</v>
      </c>
      <c r="AS216" s="313">
        <f t="shared" si="26"/>
        <v>0.30561127217960454</v>
      </c>
      <c r="AT216" s="313">
        <f t="shared" si="27"/>
        <v>0.30567062988217381</v>
      </c>
      <c r="AV216" s="315">
        <f t="shared" si="33"/>
        <v>42736</v>
      </c>
      <c r="AW216" s="298">
        <v>204</v>
      </c>
    </row>
    <row r="217" spans="2:49" x14ac:dyDescent="0.25">
      <c r="B217" s="303">
        <f t="shared" si="28"/>
        <v>42767</v>
      </c>
      <c r="C217" s="301">
        <v>3.6675</v>
      </c>
      <c r="D217" s="301">
        <v>0.15</v>
      </c>
      <c r="E217" s="301">
        <v>7.2793700390145002E-2</v>
      </c>
      <c r="F217" s="301">
        <v>0</v>
      </c>
      <c r="G217" s="301">
        <v>-0.04</v>
      </c>
      <c r="H217" s="301">
        <v>0</v>
      </c>
      <c r="I217" s="301">
        <v>0</v>
      </c>
      <c r="J217" s="301">
        <v>0.33750000000000002</v>
      </c>
      <c r="K217" s="301">
        <v>-3.6499999999999998E-2</v>
      </c>
      <c r="L217" s="301">
        <v>4.4999999999999997E-3</v>
      </c>
      <c r="M217" s="301">
        <v>0</v>
      </c>
      <c r="N217" s="301">
        <v>1.0999999999999999E-2</v>
      </c>
      <c r="O217" s="301">
        <v>0</v>
      </c>
      <c r="P217" s="298">
        <v>-4.0000000000000001E-3</v>
      </c>
      <c r="Q217" s="298">
        <v>0</v>
      </c>
      <c r="R217" s="298">
        <v>-0.02</v>
      </c>
      <c r="S217" s="298">
        <v>-6.9000000000000006E-2</v>
      </c>
      <c r="T217" s="298">
        <v>0</v>
      </c>
      <c r="U217" s="298">
        <v>1.4</v>
      </c>
      <c r="V217" s="298">
        <v>5.0000000000000001E-3</v>
      </c>
      <c r="W217" s="298">
        <v>-0.19</v>
      </c>
      <c r="X217" s="298">
        <v>-6.4999999999999997E-3</v>
      </c>
      <c r="Y217" s="313">
        <v>0.1</v>
      </c>
      <c r="Z217" s="313">
        <v>0</v>
      </c>
      <c r="AA217" s="445">
        <v>0.15</v>
      </c>
      <c r="AB217" s="445">
        <v>0.16500000000000001</v>
      </c>
      <c r="AC217" s="445">
        <v>0.15</v>
      </c>
      <c r="AD217" s="445">
        <v>0.15</v>
      </c>
      <c r="AE217" s="445">
        <v>0.15</v>
      </c>
      <c r="AF217" s="445">
        <v>0.15</v>
      </c>
      <c r="AG217" s="445">
        <v>0.15</v>
      </c>
      <c r="AH217" s="445">
        <v>0.15</v>
      </c>
      <c r="AI217" s="446">
        <v>0.15</v>
      </c>
      <c r="AJ217" s="446">
        <v>0.15</v>
      </c>
      <c r="AK217" s="446">
        <v>0.15</v>
      </c>
      <c r="AL217" s="445">
        <v>0.15</v>
      </c>
      <c r="AM217" s="298">
        <v>7.2208811933863998E-2</v>
      </c>
      <c r="AO217" s="313">
        <f t="shared" si="29"/>
        <v>0.16500000000000001</v>
      </c>
      <c r="AP217" s="313">
        <f t="shared" si="30"/>
        <v>0.16500000000000001</v>
      </c>
      <c r="AQ217" s="316">
        <f t="shared" si="31"/>
        <v>0.16500000000000001</v>
      </c>
      <c r="AR217" s="315">
        <f t="shared" si="32"/>
        <v>42767</v>
      </c>
      <c r="AS217" s="313">
        <f t="shared" si="26"/>
        <v>0.30376863156725165</v>
      </c>
      <c r="AT217" s="313">
        <f t="shared" si="27"/>
        <v>0.30382763272709712</v>
      </c>
      <c r="AV217" s="315">
        <f t="shared" si="33"/>
        <v>42767</v>
      </c>
      <c r="AW217" s="298">
        <v>205</v>
      </c>
    </row>
    <row r="218" spans="2:49" x14ac:dyDescent="0.25">
      <c r="B218" s="303">
        <f t="shared" si="28"/>
        <v>42795</v>
      </c>
      <c r="C218" s="301">
        <v>3.5945</v>
      </c>
      <c r="D218" s="301">
        <v>0.15</v>
      </c>
      <c r="E218" s="301">
        <v>7.2797310654260997E-2</v>
      </c>
      <c r="F218" s="301">
        <v>0</v>
      </c>
      <c r="G218" s="301">
        <v>-2.75E-2</v>
      </c>
      <c r="H218" s="301">
        <v>0</v>
      </c>
      <c r="I218" s="301">
        <v>0</v>
      </c>
      <c r="J218" s="301">
        <v>0.26</v>
      </c>
      <c r="K218" s="301">
        <v>0</v>
      </c>
      <c r="L218" s="301">
        <v>0</v>
      </c>
      <c r="M218" s="301">
        <v>0</v>
      </c>
      <c r="N218" s="301">
        <v>0</v>
      </c>
      <c r="O218" s="301">
        <v>0</v>
      </c>
      <c r="P218" s="298">
        <v>0</v>
      </c>
      <c r="Q218" s="298">
        <v>0</v>
      </c>
      <c r="R218" s="298">
        <v>-1.6999999999999999E-3</v>
      </c>
      <c r="S218" s="298">
        <v>0</v>
      </c>
      <c r="T218" s="298">
        <v>0</v>
      </c>
      <c r="U218" s="298">
        <v>0.88</v>
      </c>
      <c r="V218" s="298">
        <v>0</v>
      </c>
      <c r="W218" s="298">
        <v>-0.19</v>
      </c>
      <c r="X218" s="298">
        <v>0</v>
      </c>
      <c r="Y218" s="313">
        <v>0.1</v>
      </c>
      <c r="Z218" s="313">
        <v>0</v>
      </c>
      <c r="AA218" s="445">
        <v>0.15</v>
      </c>
      <c r="AB218" s="445">
        <v>0.16500000000000001</v>
      </c>
      <c r="AC218" s="445">
        <v>0.15</v>
      </c>
      <c r="AD218" s="445">
        <v>0.15</v>
      </c>
      <c r="AE218" s="445">
        <v>0.15</v>
      </c>
      <c r="AF218" s="445">
        <v>0.15</v>
      </c>
      <c r="AG218" s="445">
        <v>0.15</v>
      </c>
      <c r="AH218" s="445">
        <v>0.15</v>
      </c>
      <c r="AI218" s="446">
        <v>0.15</v>
      </c>
      <c r="AJ218" s="446">
        <v>0.15</v>
      </c>
      <c r="AK218" s="446">
        <v>0.15</v>
      </c>
      <c r="AL218" s="445">
        <v>0.15</v>
      </c>
      <c r="AM218" s="298">
        <v>7.2210326532961999E-2</v>
      </c>
      <c r="AO218" s="313">
        <f t="shared" si="29"/>
        <v>0.16500000000000001</v>
      </c>
      <c r="AP218" s="313">
        <f t="shared" si="30"/>
        <v>0.16500000000000001</v>
      </c>
      <c r="AQ218" s="316">
        <f t="shared" si="31"/>
        <v>0.16500000000000001</v>
      </c>
      <c r="AR218" s="315">
        <f t="shared" si="32"/>
        <v>42795</v>
      </c>
      <c r="AS218" s="313">
        <f t="shared" si="26"/>
        <v>0.30211379077602712</v>
      </c>
      <c r="AT218" s="313">
        <f t="shared" si="27"/>
        <v>0.30217247172454176</v>
      </c>
      <c r="AV218" s="315">
        <f t="shared" si="33"/>
        <v>42795</v>
      </c>
      <c r="AW218" s="298">
        <v>206</v>
      </c>
    </row>
    <row r="219" spans="2:49" x14ac:dyDescent="0.25">
      <c r="B219" s="303">
        <f t="shared" si="28"/>
        <v>42826</v>
      </c>
      <c r="C219" s="301">
        <v>3.5365000000000002</v>
      </c>
      <c r="D219" s="301">
        <v>0.15</v>
      </c>
      <c r="E219" s="301">
        <v>7.2801307732394002E-2</v>
      </c>
      <c r="F219" s="301">
        <v>0</v>
      </c>
      <c r="G219" s="301">
        <v>4.4976638999999999E-2</v>
      </c>
      <c r="H219" s="301">
        <v>0</v>
      </c>
      <c r="I219" s="301">
        <v>0</v>
      </c>
      <c r="J219" s="301">
        <v>0.17</v>
      </c>
      <c r="K219" s="301">
        <v>0</v>
      </c>
      <c r="L219" s="301">
        <v>0</v>
      </c>
      <c r="M219" s="301">
        <v>0</v>
      </c>
      <c r="N219" s="301">
        <v>0</v>
      </c>
      <c r="O219" s="301">
        <v>0</v>
      </c>
      <c r="P219" s="298">
        <v>0</v>
      </c>
      <c r="Q219" s="298">
        <v>0</v>
      </c>
      <c r="R219" s="298">
        <v>-1.6999999999999999E-3</v>
      </c>
      <c r="S219" s="298">
        <v>0</v>
      </c>
      <c r="T219" s="298">
        <v>0</v>
      </c>
      <c r="U219" s="298">
        <v>0.37</v>
      </c>
      <c r="V219" s="298">
        <v>0</v>
      </c>
      <c r="W219" s="298">
        <v>-0.19</v>
      </c>
      <c r="X219" s="298">
        <v>0</v>
      </c>
      <c r="Y219" s="313">
        <v>0.1875</v>
      </c>
      <c r="Z219" s="313">
        <v>0</v>
      </c>
      <c r="AA219" s="445">
        <v>0.15</v>
      </c>
      <c r="AB219" s="445">
        <v>0.14699999999999999</v>
      </c>
      <c r="AC219" s="445">
        <v>0.15</v>
      </c>
      <c r="AD219" s="445">
        <v>0.15</v>
      </c>
      <c r="AE219" s="445">
        <v>0.14699999999999999</v>
      </c>
      <c r="AF219" s="445">
        <v>0.15</v>
      </c>
      <c r="AG219" s="445">
        <v>0.15</v>
      </c>
      <c r="AH219" s="445">
        <v>0.15</v>
      </c>
      <c r="AI219" s="446">
        <v>0.15</v>
      </c>
      <c r="AJ219" s="446">
        <v>0.15</v>
      </c>
      <c r="AK219" s="446">
        <v>0.15</v>
      </c>
      <c r="AL219" s="445">
        <v>0.15</v>
      </c>
      <c r="AM219" s="298">
        <v>7.2212003410537004E-2</v>
      </c>
      <c r="AO219" s="313">
        <f t="shared" si="29"/>
        <v>0.14699999999999999</v>
      </c>
      <c r="AP219" s="313">
        <f t="shared" si="30"/>
        <v>0.14699999999999999</v>
      </c>
      <c r="AQ219" s="316">
        <f t="shared" si="31"/>
        <v>0.14699999999999999</v>
      </c>
      <c r="AR219" s="315">
        <f t="shared" si="32"/>
        <v>42826</v>
      </c>
      <c r="AS219" s="313">
        <f t="shared" si="26"/>
        <v>0.30029208074117508</v>
      </c>
      <c r="AT219" s="313">
        <f t="shared" si="27"/>
        <v>0.30035040918145572</v>
      </c>
      <c r="AV219" s="315">
        <f t="shared" si="33"/>
        <v>42826</v>
      </c>
      <c r="AW219" s="298">
        <v>207</v>
      </c>
    </row>
    <row r="220" spans="2:49" x14ac:dyDescent="0.25">
      <c r="B220" s="303">
        <f t="shared" si="28"/>
        <v>42856</v>
      </c>
      <c r="C220" s="301">
        <v>3.5815000000000001</v>
      </c>
      <c r="D220" s="301">
        <v>0.15</v>
      </c>
      <c r="E220" s="301">
        <v>7.2805175872528993E-2</v>
      </c>
      <c r="F220" s="301">
        <v>0</v>
      </c>
      <c r="G220" s="301">
        <v>4.4968123999999998E-2</v>
      </c>
      <c r="H220" s="301">
        <v>0</v>
      </c>
      <c r="I220" s="301">
        <v>0</v>
      </c>
      <c r="J220" s="301">
        <v>0.155</v>
      </c>
      <c r="K220" s="301">
        <v>0</v>
      </c>
      <c r="L220" s="301">
        <v>0</v>
      </c>
      <c r="M220" s="301">
        <v>0</v>
      </c>
      <c r="N220" s="301">
        <v>0</v>
      </c>
      <c r="O220" s="301">
        <v>0</v>
      </c>
      <c r="P220" s="298">
        <v>0</v>
      </c>
      <c r="Q220" s="298">
        <v>0</v>
      </c>
      <c r="R220" s="298">
        <v>-1.9499999999999999E-3</v>
      </c>
      <c r="S220" s="298">
        <v>0</v>
      </c>
      <c r="T220" s="298">
        <v>0</v>
      </c>
      <c r="U220" s="298">
        <v>0.2525</v>
      </c>
      <c r="V220" s="298">
        <v>0</v>
      </c>
      <c r="W220" s="298">
        <v>-0.19</v>
      </c>
      <c r="X220" s="298">
        <v>0</v>
      </c>
      <c r="Y220" s="313">
        <v>0.1875</v>
      </c>
      <c r="Z220" s="313">
        <v>0</v>
      </c>
      <c r="AA220" s="445">
        <v>0.15</v>
      </c>
      <c r="AB220" s="445">
        <v>0.14699999999999999</v>
      </c>
      <c r="AC220" s="445">
        <v>0.15</v>
      </c>
      <c r="AD220" s="445">
        <v>0.15</v>
      </c>
      <c r="AE220" s="445">
        <v>0.14699999999999999</v>
      </c>
      <c r="AF220" s="445">
        <v>0.15</v>
      </c>
      <c r="AG220" s="445">
        <v>0.15</v>
      </c>
      <c r="AH220" s="445">
        <v>0.15</v>
      </c>
      <c r="AI220" s="446">
        <v>0.15</v>
      </c>
      <c r="AJ220" s="446">
        <v>0.15</v>
      </c>
      <c r="AK220" s="446">
        <v>0.15</v>
      </c>
      <c r="AL220" s="445">
        <v>0.15</v>
      </c>
      <c r="AM220" s="298">
        <v>7.2213626195286998E-2</v>
      </c>
      <c r="AO220" s="313">
        <f t="shared" si="29"/>
        <v>0.14699999999999999</v>
      </c>
      <c r="AP220" s="313">
        <f t="shared" si="30"/>
        <v>0.14699999999999999</v>
      </c>
      <c r="AQ220" s="316">
        <f t="shared" si="31"/>
        <v>0.14699999999999999</v>
      </c>
      <c r="AR220" s="315">
        <f t="shared" si="32"/>
        <v>42856</v>
      </c>
      <c r="AS220" s="313">
        <f t="shared" si="26"/>
        <v>0.29853951703264714</v>
      </c>
      <c r="AT220" s="313">
        <f t="shared" si="27"/>
        <v>0.29859750633708604</v>
      </c>
      <c r="AV220" s="315">
        <f t="shared" si="33"/>
        <v>42856</v>
      </c>
      <c r="AW220" s="298">
        <v>208</v>
      </c>
    </row>
    <row r="221" spans="2:49" x14ac:dyDescent="0.25">
      <c r="B221" s="303">
        <f t="shared" si="28"/>
        <v>42887</v>
      </c>
      <c r="C221" s="301">
        <v>3.5975000000000001</v>
      </c>
      <c r="D221" s="301">
        <v>0.15</v>
      </c>
      <c r="E221" s="301">
        <v>7.2809172950672005E-2</v>
      </c>
      <c r="F221" s="301">
        <v>0</v>
      </c>
      <c r="G221" s="301">
        <v>4.4968123999999998E-2</v>
      </c>
      <c r="H221" s="301">
        <v>0</v>
      </c>
      <c r="I221" s="301">
        <v>0</v>
      </c>
      <c r="J221" s="301">
        <v>0.155</v>
      </c>
      <c r="K221" s="301">
        <v>0</v>
      </c>
      <c r="L221" s="301">
        <v>0</v>
      </c>
      <c r="M221" s="301">
        <v>0</v>
      </c>
      <c r="N221" s="301">
        <v>0</v>
      </c>
      <c r="O221" s="301">
        <v>0</v>
      </c>
      <c r="P221" s="298">
        <v>0</v>
      </c>
      <c r="Q221" s="298">
        <v>0</v>
      </c>
      <c r="R221" s="298">
        <v>-1.9499999999999999E-3</v>
      </c>
      <c r="S221" s="298">
        <v>0</v>
      </c>
      <c r="T221" s="298">
        <v>0</v>
      </c>
      <c r="U221" s="298">
        <v>0.2525</v>
      </c>
      <c r="V221" s="298">
        <v>0</v>
      </c>
      <c r="W221" s="298">
        <v>-0.19</v>
      </c>
      <c r="X221" s="298">
        <v>0</v>
      </c>
      <c r="Y221" s="313">
        <v>0.1875</v>
      </c>
      <c r="Z221" s="313">
        <v>0</v>
      </c>
      <c r="AA221" s="445">
        <v>0.15</v>
      </c>
      <c r="AB221" s="445">
        <v>0.14699999999999999</v>
      </c>
      <c r="AC221" s="445">
        <v>0.15</v>
      </c>
      <c r="AD221" s="445">
        <v>0.15</v>
      </c>
      <c r="AE221" s="445">
        <v>0.14699999999999999</v>
      </c>
      <c r="AF221" s="445">
        <v>0.15</v>
      </c>
      <c r="AG221" s="445">
        <v>0.15</v>
      </c>
      <c r="AH221" s="445">
        <v>0.15</v>
      </c>
      <c r="AI221" s="446">
        <v>0.15</v>
      </c>
      <c r="AJ221" s="446">
        <v>0.15</v>
      </c>
      <c r="AK221" s="446">
        <v>0.15</v>
      </c>
      <c r="AL221" s="445">
        <v>0.15</v>
      </c>
      <c r="AM221" s="298">
        <v>7.2215303072863002E-2</v>
      </c>
      <c r="AO221" s="313">
        <f t="shared" si="29"/>
        <v>0.14699999999999999</v>
      </c>
      <c r="AP221" s="313">
        <f t="shared" si="30"/>
        <v>0.14699999999999999</v>
      </c>
      <c r="AQ221" s="316">
        <f t="shared" si="31"/>
        <v>0.14699999999999999</v>
      </c>
      <c r="AR221" s="315">
        <f t="shared" si="32"/>
        <v>42887</v>
      </c>
      <c r="AS221" s="313">
        <f t="shared" si="26"/>
        <v>0.29673919904031937</v>
      </c>
      <c r="AT221" s="313">
        <f t="shared" si="27"/>
        <v>0.29679683996015049</v>
      </c>
      <c r="AV221" s="315">
        <f t="shared" si="33"/>
        <v>42887</v>
      </c>
      <c r="AW221" s="298">
        <v>209</v>
      </c>
    </row>
    <row r="222" spans="2:49" x14ac:dyDescent="0.25">
      <c r="B222" s="303">
        <f t="shared" si="28"/>
        <v>42917</v>
      </c>
      <c r="C222" s="301">
        <v>3.5975000000000001</v>
      </c>
      <c r="D222" s="301">
        <v>0.15</v>
      </c>
      <c r="E222" s="301">
        <v>7.2813041090817002E-2</v>
      </c>
      <c r="F222" s="301">
        <v>0</v>
      </c>
      <c r="G222" s="301">
        <v>4.4968123999999998E-2</v>
      </c>
      <c r="H222" s="301">
        <v>0</v>
      </c>
      <c r="I222" s="301">
        <v>0</v>
      </c>
      <c r="J222" s="301">
        <v>0.155</v>
      </c>
      <c r="K222" s="301">
        <v>0</v>
      </c>
      <c r="L222" s="301">
        <v>0</v>
      </c>
      <c r="M222" s="301">
        <v>0</v>
      </c>
      <c r="N222" s="301">
        <v>0</v>
      </c>
      <c r="O222" s="301">
        <v>0</v>
      </c>
      <c r="P222" s="298">
        <v>0</v>
      </c>
      <c r="Q222" s="298">
        <v>0</v>
      </c>
      <c r="R222" s="298">
        <v>-1.9499999999999999E-3</v>
      </c>
      <c r="S222" s="298">
        <v>0</v>
      </c>
      <c r="T222" s="298">
        <v>0</v>
      </c>
      <c r="U222" s="298">
        <v>0.25750000000000001</v>
      </c>
      <c r="V222" s="298">
        <v>0</v>
      </c>
      <c r="W222" s="298">
        <v>-0.19</v>
      </c>
      <c r="X222" s="298">
        <v>0</v>
      </c>
      <c r="Y222" s="313">
        <v>0.1875</v>
      </c>
      <c r="Z222" s="313">
        <v>0</v>
      </c>
      <c r="AA222" s="445">
        <v>0.15</v>
      </c>
      <c r="AB222" s="445">
        <v>0.14699999999999999</v>
      </c>
      <c r="AC222" s="445">
        <v>0.15</v>
      </c>
      <c r="AD222" s="445">
        <v>0.15</v>
      </c>
      <c r="AE222" s="445">
        <v>0.14699999999999999</v>
      </c>
      <c r="AF222" s="445">
        <v>0.15</v>
      </c>
      <c r="AG222" s="445">
        <v>0.15</v>
      </c>
      <c r="AH222" s="445">
        <v>0.15</v>
      </c>
      <c r="AI222" s="446">
        <v>0.15</v>
      </c>
      <c r="AJ222" s="446">
        <v>0.15</v>
      </c>
      <c r="AK222" s="446">
        <v>0.15</v>
      </c>
      <c r="AL222" s="445">
        <v>0.15</v>
      </c>
      <c r="AM222" s="298">
        <v>7.2216925857614994E-2</v>
      </c>
      <c r="AO222" s="313">
        <f t="shared" si="29"/>
        <v>0.14699999999999999</v>
      </c>
      <c r="AP222" s="313">
        <f t="shared" si="30"/>
        <v>0.14699999999999999</v>
      </c>
      <c r="AQ222" s="316">
        <f t="shared" si="31"/>
        <v>0.14699999999999999</v>
      </c>
      <c r="AR222" s="315">
        <f t="shared" si="32"/>
        <v>42917</v>
      </c>
      <c r="AS222" s="313">
        <f t="shared" si="26"/>
        <v>0.2950072163285723</v>
      </c>
      <c r="AT222" s="313">
        <f t="shared" si="27"/>
        <v>0.29506452207993805</v>
      </c>
      <c r="AV222" s="315">
        <f t="shared" si="33"/>
        <v>42917</v>
      </c>
      <c r="AW222" s="298">
        <v>210</v>
      </c>
    </row>
    <row r="223" spans="2:49" x14ac:dyDescent="0.25">
      <c r="B223" s="303">
        <f t="shared" si="28"/>
        <v>42948</v>
      </c>
      <c r="C223" s="301">
        <v>3.6004999999999998</v>
      </c>
      <c r="D223" s="301">
        <v>0.15</v>
      </c>
      <c r="E223" s="301">
        <v>7.2817038168970005E-2</v>
      </c>
      <c r="F223" s="301">
        <v>0</v>
      </c>
      <c r="G223" s="301">
        <v>4.4968123999999998E-2</v>
      </c>
      <c r="H223" s="301">
        <v>0</v>
      </c>
      <c r="I223" s="301">
        <v>0</v>
      </c>
      <c r="J223" s="301">
        <v>0.155</v>
      </c>
      <c r="K223" s="301">
        <v>0</v>
      </c>
      <c r="L223" s="301">
        <v>0</v>
      </c>
      <c r="M223" s="301">
        <v>0</v>
      </c>
      <c r="N223" s="301">
        <v>0</v>
      </c>
      <c r="O223" s="301">
        <v>0</v>
      </c>
      <c r="P223" s="298">
        <v>0</v>
      </c>
      <c r="Q223" s="298">
        <v>0</v>
      </c>
      <c r="R223" s="298">
        <v>7.5000000000000002E-4</v>
      </c>
      <c r="S223" s="298">
        <v>0</v>
      </c>
      <c r="T223" s="298">
        <v>0</v>
      </c>
      <c r="U223" s="298">
        <v>0.25750000000000001</v>
      </c>
      <c r="V223" s="298">
        <v>0</v>
      </c>
      <c r="W223" s="298">
        <v>-0.19</v>
      </c>
      <c r="X223" s="298">
        <v>0</v>
      </c>
      <c r="Y223" s="313">
        <v>0.1875</v>
      </c>
      <c r="Z223" s="313">
        <v>0</v>
      </c>
      <c r="AA223" s="445">
        <v>0.15</v>
      </c>
      <c r="AB223" s="445">
        <v>0.14699999999999999</v>
      </c>
      <c r="AC223" s="445">
        <v>0.15</v>
      </c>
      <c r="AD223" s="445">
        <v>0.15</v>
      </c>
      <c r="AE223" s="445">
        <v>0.14699999999999999</v>
      </c>
      <c r="AF223" s="445">
        <v>0.15</v>
      </c>
      <c r="AG223" s="445">
        <v>0.15</v>
      </c>
      <c r="AH223" s="445">
        <v>0.15</v>
      </c>
      <c r="AI223" s="446">
        <v>0.15</v>
      </c>
      <c r="AJ223" s="446">
        <v>0.15</v>
      </c>
      <c r="AK223" s="446">
        <v>0.15</v>
      </c>
      <c r="AL223" s="445">
        <v>0.15</v>
      </c>
      <c r="AM223" s="298">
        <v>7.2218602735191997E-2</v>
      </c>
      <c r="AO223" s="313">
        <f t="shared" si="29"/>
        <v>0.14699999999999999</v>
      </c>
      <c r="AP223" s="313">
        <f t="shared" si="30"/>
        <v>0.14699999999999999</v>
      </c>
      <c r="AQ223" s="316">
        <f t="shared" si="31"/>
        <v>0.14699999999999999</v>
      </c>
      <c r="AR223" s="315">
        <f t="shared" si="32"/>
        <v>42948</v>
      </c>
      <c r="AS223" s="313">
        <f t="shared" si="26"/>
        <v>0.29322804108253259</v>
      </c>
      <c r="AT223" s="313">
        <f t="shared" si="27"/>
        <v>0.29328500252504841</v>
      </c>
      <c r="AV223" s="315">
        <f t="shared" si="33"/>
        <v>42948</v>
      </c>
      <c r="AW223" s="298">
        <v>211</v>
      </c>
    </row>
    <row r="224" spans="2:49" x14ac:dyDescent="0.25">
      <c r="B224" s="303">
        <f t="shared" si="28"/>
        <v>42979</v>
      </c>
      <c r="C224" s="301">
        <v>3.5905</v>
      </c>
      <c r="D224" s="301">
        <v>0.15</v>
      </c>
      <c r="E224" s="301">
        <v>7.2821035247130003E-2</v>
      </c>
      <c r="F224" s="301">
        <v>0</v>
      </c>
      <c r="G224" s="301">
        <v>4.4968123999999998E-2</v>
      </c>
      <c r="H224" s="301">
        <v>0</v>
      </c>
      <c r="I224" s="301">
        <v>0</v>
      </c>
      <c r="J224" s="301">
        <v>0.155</v>
      </c>
      <c r="K224" s="301">
        <v>0</v>
      </c>
      <c r="L224" s="301">
        <v>0</v>
      </c>
      <c r="M224" s="301">
        <v>0</v>
      </c>
      <c r="N224" s="301">
        <v>0</v>
      </c>
      <c r="O224" s="301">
        <v>0</v>
      </c>
      <c r="P224" s="298">
        <v>0</v>
      </c>
      <c r="Q224" s="298">
        <v>0</v>
      </c>
      <c r="R224" s="298">
        <v>7.5000000000000002E-4</v>
      </c>
      <c r="S224" s="298">
        <v>0</v>
      </c>
      <c r="T224" s="298">
        <v>0</v>
      </c>
      <c r="U224" s="298">
        <v>0.2525</v>
      </c>
      <c r="V224" s="298">
        <v>0</v>
      </c>
      <c r="W224" s="298">
        <v>-0.19</v>
      </c>
      <c r="X224" s="298">
        <v>0</v>
      </c>
      <c r="Y224" s="313">
        <v>0.1875</v>
      </c>
      <c r="Z224" s="313">
        <v>0</v>
      </c>
      <c r="AA224" s="445">
        <v>0.15</v>
      </c>
      <c r="AB224" s="445">
        <v>0.14699999999999999</v>
      </c>
      <c r="AC224" s="445">
        <v>0.15</v>
      </c>
      <c r="AD224" s="445">
        <v>0.15</v>
      </c>
      <c r="AE224" s="445">
        <v>0.14699999999999999</v>
      </c>
      <c r="AF224" s="445">
        <v>0.15</v>
      </c>
      <c r="AG224" s="445">
        <v>0.15</v>
      </c>
      <c r="AH224" s="445">
        <v>0.15</v>
      </c>
      <c r="AI224" s="446">
        <v>0.15</v>
      </c>
      <c r="AJ224" s="446">
        <v>0.15</v>
      </c>
      <c r="AK224" s="446">
        <v>0.15</v>
      </c>
      <c r="AL224" s="445">
        <v>0.15</v>
      </c>
      <c r="AM224" s="298">
        <v>7.2220279612770999E-2</v>
      </c>
      <c r="AO224" s="313">
        <f t="shared" si="29"/>
        <v>0.14699999999999999</v>
      </c>
      <c r="AP224" s="313">
        <f t="shared" si="30"/>
        <v>0.14699999999999999</v>
      </c>
      <c r="AQ224" s="316">
        <f t="shared" si="31"/>
        <v>0.14699999999999999</v>
      </c>
      <c r="AR224" s="315">
        <f t="shared" si="32"/>
        <v>42979</v>
      </c>
      <c r="AS224" s="313">
        <f t="shared" si="26"/>
        <v>0.29145951589787217</v>
      </c>
      <c r="AT224" s="313">
        <f t="shared" si="27"/>
        <v>0.29151613508465729</v>
      </c>
      <c r="AV224" s="315">
        <f t="shared" si="33"/>
        <v>42979</v>
      </c>
      <c r="AW224" s="298">
        <v>212</v>
      </c>
    </row>
    <row r="225" spans="2:49" x14ac:dyDescent="0.25">
      <c r="B225" s="303">
        <f t="shared" si="28"/>
        <v>43009</v>
      </c>
      <c r="C225" s="301">
        <v>3.6034999999999999</v>
      </c>
      <c r="D225" s="301">
        <v>0.15</v>
      </c>
      <c r="E225" s="301">
        <v>7.2824903387289003E-2</v>
      </c>
      <c r="F225" s="301">
        <v>0</v>
      </c>
      <c r="G225" s="301">
        <v>4.4968123999999998E-2</v>
      </c>
      <c r="H225" s="301">
        <v>0</v>
      </c>
      <c r="I225" s="301">
        <v>0</v>
      </c>
      <c r="J225" s="301">
        <v>0.1575</v>
      </c>
      <c r="K225" s="301">
        <v>0</v>
      </c>
      <c r="L225" s="301">
        <v>0</v>
      </c>
      <c r="M225" s="301">
        <v>0</v>
      </c>
      <c r="N225" s="301">
        <v>0</v>
      </c>
      <c r="O225" s="301">
        <v>0</v>
      </c>
      <c r="P225" s="298">
        <v>0</v>
      </c>
      <c r="Q225" s="298">
        <v>0</v>
      </c>
      <c r="R225" s="298">
        <v>-0.02</v>
      </c>
      <c r="S225" s="298">
        <v>0</v>
      </c>
      <c r="T225" s="298">
        <v>0</v>
      </c>
      <c r="U225" s="298">
        <v>0.255</v>
      </c>
      <c r="V225" s="298">
        <v>0</v>
      </c>
      <c r="W225" s="298">
        <v>-0.19</v>
      </c>
      <c r="X225" s="298">
        <v>0</v>
      </c>
      <c r="Y225" s="313">
        <v>0.1875</v>
      </c>
      <c r="Z225" s="313">
        <v>0</v>
      </c>
      <c r="AA225" s="445">
        <v>0.15</v>
      </c>
      <c r="AB225" s="445">
        <v>0.14699999999999999</v>
      </c>
      <c r="AC225" s="445">
        <v>0.15</v>
      </c>
      <c r="AD225" s="445">
        <v>0.15</v>
      </c>
      <c r="AE225" s="445">
        <v>0.14699999999999999</v>
      </c>
      <c r="AF225" s="445">
        <v>0.15</v>
      </c>
      <c r="AG225" s="445">
        <v>0.15</v>
      </c>
      <c r="AH225" s="445">
        <v>0.15</v>
      </c>
      <c r="AI225" s="446">
        <v>0.15</v>
      </c>
      <c r="AJ225" s="446">
        <v>0.15</v>
      </c>
      <c r="AK225" s="446">
        <v>0.15</v>
      </c>
      <c r="AL225" s="445">
        <v>0.15</v>
      </c>
      <c r="AM225" s="298">
        <v>7.2221902397525004E-2</v>
      </c>
      <c r="AO225" s="313">
        <f t="shared" si="29"/>
        <v>0.14699999999999999</v>
      </c>
      <c r="AP225" s="313">
        <f t="shared" si="30"/>
        <v>0.14699999999999999</v>
      </c>
      <c r="AQ225" s="316">
        <f t="shared" si="31"/>
        <v>0.14699999999999999</v>
      </c>
      <c r="AR225" s="315">
        <f t="shared" si="32"/>
        <v>43009</v>
      </c>
      <c r="AS225" s="313">
        <f t="shared" si="26"/>
        <v>0.28975812059865602</v>
      </c>
      <c r="AT225" s="313">
        <f t="shared" si="27"/>
        <v>0.28981441051361773</v>
      </c>
      <c r="AV225" s="315">
        <f t="shared" si="33"/>
        <v>43009</v>
      </c>
      <c r="AW225" s="298">
        <v>213</v>
      </c>
    </row>
    <row r="226" spans="2:49" x14ac:dyDescent="0.25">
      <c r="B226" s="303">
        <f t="shared" si="28"/>
        <v>43040</v>
      </c>
      <c r="C226" s="301">
        <v>3.6665000000000001</v>
      </c>
      <c r="D226" s="301">
        <v>0.15</v>
      </c>
      <c r="E226" s="301">
        <v>7.2828900465459007E-2</v>
      </c>
      <c r="F226" s="301">
        <v>0</v>
      </c>
      <c r="G226" s="301">
        <v>-3.4988712999999998E-2</v>
      </c>
      <c r="H226" s="301">
        <v>0</v>
      </c>
      <c r="I226" s="301">
        <v>0</v>
      </c>
      <c r="J226" s="301">
        <v>0.24</v>
      </c>
      <c r="K226" s="301">
        <v>0</v>
      </c>
      <c r="L226" s="301">
        <v>0</v>
      </c>
      <c r="M226" s="301">
        <v>0</v>
      </c>
      <c r="N226" s="301">
        <v>0</v>
      </c>
      <c r="O226" s="301">
        <v>0</v>
      </c>
      <c r="P226" s="298">
        <v>0</v>
      </c>
      <c r="Q226" s="298">
        <v>0</v>
      </c>
      <c r="R226" s="298">
        <v>-1.9E-2</v>
      </c>
      <c r="S226" s="298">
        <v>0</v>
      </c>
      <c r="T226" s="298">
        <v>0</v>
      </c>
      <c r="U226" s="298">
        <v>0.72499999999999998</v>
      </c>
      <c r="V226" s="298">
        <v>0</v>
      </c>
      <c r="W226" s="298">
        <v>-0.19</v>
      </c>
      <c r="X226" s="298">
        <v>0</v>
      </c>
      <c r="Y226" s="313">
        <v>0.1</v>
      </c>
      <c r="Z226" s="313">
        <v>0</v>
      </c>
      <c r="AA226" s="445">
        <v>0.15</v>
      </c>
      <c r="AB226" s="445">
        <v>0.16500000000000001</v>
      </c>
      <c r="AC226" s="445">
        <v>0.15</v>
      </c>
      <c r="AD226" s="445">
        <v>0.15</v>
      </c>
      <c r="AE226" s="445">
        <v>0.15</v>
      </c>
      <c r="AF226" s="445">
        <v>0.15</v>
      </c>
      <c r="AG226" s="445">
        <v>0.15</v>
      </c>
      <c r="AH226" s="445">
        <v>0.15</v>
      </c>
      <c r="AI226" s="446">
        <v>0.15</v>
      </c>
      <c r="AJ226" s="446">
        <v>0.15</v>
      </c>
      <c r="AK226" s="446">
        <v>0.15</v>
      </c>
      <c r="AL226" s="445">
        <v>0.15</v>
      </c>
      <c r="AM226" s="298">
        <v>7.2223579275106004E-2</v>
      </c>
      <c r="AO226" s="313">
        <f t="shared" si="29"/>
        <v>0.16500000000000001</v>
      </c>
      <c r="AP226" s="313">
        <f t="shared" si="30"/>
        <v>0.16500000000000001</v>
      </c>
      <c r="AQ226" s="316">
        <f t="shared" si="31"/>
        <v>0.16500000000000001</v>
      </c>
      <c r="AR226" s="315">
        <f t="shared" si="32"/>
        <v>43040</v>
      </c>
      <c r="AS226" s="313">
        <f t="shared" si="26"/>
        <v>0.28801036761420612</v>
      </c>
      <c r="AT226" s="313">
        <f t="shared" si="27"/>
        <v>0.28806631927804111</v>
      </c>
      <c r="AV226" s="315">
        <f t="shared" si="33"/>
        <v>43040</v>
      </c>
      <c r="AW226" s="298">
        <v>214</v>
      </c>
    </row>
    <row r="227" spans="2:49" x14ac:dyDescent="0.25">
      <c r="B227" s="303">
        <f t="shared" si="28"/>
        <v>43070</v>
      </c>
      <c r="C227" s="301">
        <v>3.7475000000000001</v>
      </c>
      <c r="D227" s="301">
        <v>0.15</v>
      </c>
      <c r="E227" s="301">
        <v>7.2832768605627998E-2</v>
      </c>
      <c r="F227" s="301">
        <v>0</v>
      </c>
      <c r="G227" s="301">
        <v>-4.9951938000000001E-2</v>
      </c>
      <c r="H227" s="301">
        <v>0</v>
      </c>
      <c r="I227" s="301">
        <v>0</v>
      </c>
      <c r="J227" s="301">
        <v>0.29499999999999998</v>
      </c>
      <c r="K227" s="301">
        <v>0</v>
      </c>
      <c r="L227" s="301">
        <v>0</v>
      </c>
      <c r="M227" s="301">
        <v>0</v>
      </c>
      <c r="N227" s="301">
        <v>0</v>
      </c>
      <c r="O227" s="301">
        <v>0</v>
      </c>
      <c r="P227" s="298">
        <v>0</v>
      </c>
      <c r="Q227" s="298">
        <v>0</v>
      </c>
      <c r="R227" s="298">
        <v>-1.9E-2</v>
      </c>
      <c r="S227" s="298">
        <v>0</v>
      </c>
      <c r="T227" s="298">
        <v>0</v>
      </c>
      <c r="U227" s="298">
        <v>1.0449999999999999</v>
      </c>
      <c r="V227" s="298">
        <v>0</v>
      </c>
      <c r="W227" s="298">
        <v>-0.19</v>
      </c>
      <c r="X227" s="298">
        <v>0</v>
      </c>
      <c r="Y227" s="313">
        <v>0.1</v>
      </c>
      <c r="Z227" s="313">
        <v>0</v>
      </c>
      <c r="AA227" s="445">
        <v>0.15</v>
      </c>
      <c r="AB227" s="445">
        <v>0.16500000000000001</v>
      </c>
      <c r="AC227" s="445">
        <v>0.15</v>
      </c>
      <c r="AD227" s="445">
        <v>0.15</v>
      </c>
      <c r="AE227" s="445">
        <v>0.15</v>
      </c>
      <c r="AF227" s="445">
        <v>0.15</v>
      </c>
      <c r="AG227" s="445">
        <v>0.15</v>
      </c>
      <c r="AH227" s="445">
        <v>0.15</v>
      </c>
      <c r="AI227" s="446">
        <v>0.15</v>
      </c>
      <c r="AJ227" s="446">
        <v>0.15</v>
      </c>
      <c r="AK227" s="446">
        <v>0.15</v>
      </c>
      <c r="AL227" s="445">
        <v>0.15</v>
      </c>
      <c r="AM227" s="298">
        <v>7.2225202059862006E-2</v>
      </c>
      <c r="AO227" s="313">
        <f t="shared" si="29"/>
        <v>0.16500000000000001</v>
      </c>
      <c r="AP227" s="313">
        <f t="shared" si="30"/>
        <v>0.16500000000000001</v>
      </c>
      <c r="AQ227" s="316">
        <f t="shared" si="31"/>
        <v>0.16500000000000001</v>
      </c>
      <c r="AR227" s="315">
        <f t="shared" si="32"/>
        <v>43070</v>
      </c>
      <c r="AS227" s="313">
        <f t="shared" si="26"/>
        <v>0.28632895694272914</v>
      </c>
      <c r="AT227" s="313">
        <f t="shared" si="27"/>
        <v>0.28638458318759968</v>
      </c>
      <c r="AV227" s="315">
        <f t="shared" si="33"/>
        <v>43070</v>
      </c>
      <c r="AW227" s="298">
        <v>215</v>
      </c>
    </row>
    <row r="228" spans="2:49" x14ac:dyDescent="0.25">
      <c r="B228" s="303">
        <f t="shared" si="28"/>
        <v>43101</v>
      </c>
      <c r="C228" s="301">
        <v>3.7839999999999998</v>
      </c>
      <c r="E228" s="301">
        <v>7.2836765683807994E-2</v>
      </c>
      <c r="F228" s="301">
        <v>0</v>
      </c>
      <c r="G228" s="301">
        <v>-4.4955184000000002E-2</v>
      </c>
      <c r="H228" s="301">
        <v>0</v>
      </c>
      <c r="I228" s="301">
        <v>0</v>
      </c>
      <c r="J228" s="301">
        <v>0.34250000000000003</v>
      </c>
      <c r="K228" s="301">
        <v>0</v>
      </c>
      <c r="L228" s="301">
        <v>0</v>
      </c>
      <c r="M228" s="301">
        <v>0</v>
      </c>
      <c r="N228" s="301">
        <v>0</v>
      </c>
      <c r="O228" s="301">
        <v>0</v>
      </c>
      <c r="P228" s="298">
        <v>0</v>
      </c>
      <c r="Q228" s="298">
        <v>0</v>
      </c>
      <c r="R228" s="298">
        <v>-1.4E-2</v>
      </c>
      <c r="S228" s="298">
        <v>0</v>
      </c>
      <c r="T228" s="298">
        <v>0</v>
      </c>
      <c r="U228" s="298">
        <v>1.52</v>
      </c>
      <c r="V228" s="298">
        <v>0</v>
      </c>
      <c r="W228" s="298">
        <v>-0.19</v>
      </c>
      <c r="X228" s="298">
        <v>0</v>
      </c>
      <c r="Y228" s="313">
        <v>0.1</v>
      </c>
      <c r="Z228" s="313">
        <v>0</v>
      </c>
      <c r="AC228" s="312"/>
      <c r="AD228" s="312"/>
      <c r="AF228" s="312"/>
      <c r="AI228" s="313"/>
      <c r="AJ228" s="313"/>
      <c r="AK228" s="313"/>
      <c r="AM228" s="298">
        <v>7.2226878937444006E-2</v>
      </c>
      <c r="AO228" s="313">
        <f t="shared" si="29"/>
        <v>0</v>
      </c>
      <c r="AP228" s="313">
        <f t="shared" si="30"/>
        <v>0</v>
      </c>
      <c r="AQ228" s="316">
        <f t="shared" si="31"/>
        <v>0</v>
      </c>
      <c r="AR228" s="315">
        <f t="shared" si="32"/>
        <v>43101</v>
      </c>
      <c r="AS228" s="313">
        <f t="shared" si="26"/>
        <v>0.28460173403006939</v>
      </c>
      <c r="AT228" s="313">
        <f t="shared" si="27"/>
        <v>0.28465702598192</v>
      </c>
      <c r="AV228" s="315">
        <f t="shared" si="33"/>
        <v>43101</v>
      </c>
      <c r="AW228" s="298">
        <v>216</v>
      </c>
    </row>
    <row r="229" spans="2:49" x14ac:dyDescent="0.25">
      <c r="B229" s="303">
        <f t="shared" si="28"/>
        <v>43132</v>
      </c>
      <c r="C229" s="301">
        <v>3.7309999999999999</v>
      </c>
      <c r="E229" s="301">
        <v>7.2840762761999994E-2</v>
      </c>
      <c r="F229" s="301">
        <v>0</v>
      </c>
      <c r="G229" s="301">
        <v>-1.9957422999999998E-2</v>
      </c>
      <c r="H229" s="301">
        <v>0</v>
      </c>
      <c r="I229" s="301">
        <v>0</v>
      </c>
      <c r="J229" s="301">
        <v>0.33750000000000002</v>
      </c>
      <c r="K229" s="301">
        <v>0</v>
      </c>
      <c r="L229" s="301">
        <v>0</v>
      </c>
      <c r="M229" s="301">
        <v>0</v>
      </c>
      <c r="N229" s="301">
        <v>0</v>
      </c>
      <c r="O229" s="301">
        <v>0</v>
      </c>
      <c r="P229" s="298">
        <v>0</v>
      </c>
      <c r="Q229" s="298">
        <v>0</v>
      </c>
      <c r="R229" s="298">
        <v>-1.4E-2</v>
      </c>
      <c r="S229" s="298">
        <v>0</v>
      </c>
      <c r="T229" s="298">
        <v>0</v>
      </c>
      <c r="U229" s="298">
        <v>1.4</v>
      </c>
      <c r="V229" s="298">
        <v>0</v>
      </c>
      <c r="W229" s="298">
        <v>-0.19</v>
      </c>
      <c r="X229" s="298">
        <v>0</v>
      </c>
      <c r="Y229" s="313">
        <v>0.1</v>
      </c>
      <c r="Z229" s="313">
        <v>0</v>
      </c>
      <c r="AC229" s="312"/>
      <c r="AD229" s="312"/>
      <c r="AF229" s="312"/>
      <c r="AI229" s="313"/>
      <c r="AJ229" s="313"/>
      <c r="AK229" s="313"/>
      <c r="AM229" s="298">
        <v>7.2228555815028003E-2</v>
      </c>
      <c r="AO229" s="313">
        <f t="shared" si="29"/>
        <v>0</v>
      </c>
      <c r="AP229" s="313">
        <f t="shared" si="30"/>
        <v>0</v>
      </c>
      <c r="AQ229" s="316">
        <f t="shared" si="31"/>
        <v>0</v>
      </c>
      <c r="AR229" s="315">
        <f t="shared" si="32"/>
        <v>43132</v>
      </c>
      <c r="AS229" s="313">
        <f t="shared" si="26"/>
        <v>0.28288485254015783</v>
      </c>
      <c r="AT229" s="313">
        <f t="shared" si="27"/>
        <v>0.28293981219283798</v>
      </c>
      <c r="AV229" s="315">
        <f t="shared" si="33"/>
        <v>43132</v>
      </c>
      <c r="AW229" s="298">
        <v>217</v>
      </c>
    </row>
    <row r="230" spans="2:49" x14ac:dyDescent="0.25">
      <c r="B230" s="303">
        <f t="shared" si="28"/>
        <v>43160</v>
      </c>
      <c r="C230" s="301">
        <v>3.661</v>
      </c>
      <c r="E230" s="301">
        <v>7.2844373026166004E-2</v>
      </c>
      <c r="F230" s="301">
        <v>0</v>
      </c>
      <c r="G230" s="301">
        <v>-9.957423E-3</v>
      </c>
      <c r="H230" s="301">
        <v>0</v>
      </c>
      <c r="I230" s="301">
        <v>0</v>
      </c>
      <c r="J230" s="301">
        <v>0.26</v>
      </c>
      <c r="K230" s="301">
        <v>0</v>
      </c>
      <c r="L230" s="301">
        <v>0</v>
      </c>
      <c r="M230" s="301">
        <v>0</v>
      </c>
      <c r="N230" s="301">
        <v>0</v>
      </c>
      <c r="O230" s="301">
        <v>0</v>
      </c>
      <c r="P230" s="298">
        <v>0</v>
      </c>
      <c r="Q230" s="298">
        <v>0</v>
      </c>
      <c r="R230" s="298">
        <v>4.3E-3</v>
      </c>
      <c r="S230" s="298">
        <v>0</v>
      </c>
      <c r="T230" s="298">
        <v>0</v>
      </c>
      <c r="U230" s="298">
        <v>0.88</v>
      </c>
      <c r="V230" s="298">
        <v>0</v>
      </c>
      <c r="W230" s="298">
        <v>-0.19</v>
      </c>
      <c r="X230" s="298">
        <v>0</v>
      </c>
      <c r="Y230" s="313">
        <v>0.1</v>
      </c>
      <c r="Z230" s="313">
        <v>0</v>
      </c>
      <c r="AC230" s="312"/>
      <c r="AD230" s="312"/>
      <c r="AF230" s="312"/>
      <c r="AI230" s="313"/>
      <c r="AJ230" s="313"/>
      <c r="AK230" s="313"/>
      <c r="AM230" s="298">
        <v>7.2230070414135997E-2</v>
      </c>
      <c r="AO230" s="313">
        <f t="shared" si="29"/>
        <v>0</v>
      </c>
      <c r="AP230" s="313">
        <f t="shared" si="30"/>
        <v>0</v>
      </c>
      <c r="AQ230" s="316">
        <f t="shared" si="31"/>
        <v>0</v>
      </c>
      <c r="AR230" s="315">
        <f t="shared" si="32"/>
        <v>43160</v>
      </c>
      <c r="AS230" s="313">
        <f t="shared" si="26"/>
        <v>0.28134295842846008</v>
      </c>
      <c r="AT230" s="313">
        <f t="shared" si="27"/>
        <v>0.28139761964389326</v>
      </c>
      <c r="AV230" s="315">
        <f t="shared" si="33"/>
        <v>43160</v>
      </c>
      <c r="AW230" s="298">
        <v>218</v>
      </c>
    </row>
    <row r="231" spans="2:49" x14ac:dyDescent="0.25">
      <c r="B231" s="303">
        <f t="shared" si="28"/>
        <v>43191</v>
      </c>
      <c r="C231" s="301">
        <v>3.6059999999999999</v>
      </c>
      <c r="E231" s="301">
        <v>7.2848370104361002E-2</v>
      </c>
      <c r="F231" s="301">
        <v>0</v>
      </c>
      <c r="G231" s="301">
        <v>4.9976639000000003E-2</v>
      </c>
      <c r="H231" s="301">
        <v>0</v>
      </c>
      <c r="I231" s="301">
        <v>0</v>
      </c>
      <c r="J231" s="301">
        <v>0.17</v>
      </c>
      <c r="K231" s="301">
        <v>0</v>
      </c>
      <c r="L231" s="301">
        <v>0</v>
      </c>
      <c r="M231" s="301">
        <v>0</v>
      </c>
      <c r="N231" s="301">
        <v>0</v>
      </c>
      <c r="O231" s="301">
        <v>0</v>
      </c>
      <c r="P231" s="298">
        <v>0</v>
      </c>
      <c r="Q231" s="298">
        <v>0</v>
      </c>
      <c r="R231" s="298">
        <v>4.3E-3</v>
      </c>
      <c r="S231" s="298">
        <v>0</v>
      </c>
      <c r="T231" s="298">
        <v>0</v>
      </c>
      <c r="U231" s="298">
        <v>0.37</v>
      </c>
      <c r="V231" s="298">
        <v>0</v>
      </c>
      <c r="W231" s="298">
        <v>-0.19</v>
      </c>
      <c r="X231" s="298">
        <v>0</v>
      </c>
      <c r="Y231" s="313">
        <v>0.1875</v>
      </c>
      <c r="Z231" s="313">
        <v>0</v>
      </c>
      <c r="AC231" s="312"/>
      <c r="AD231" s="312"/>
      <c r="AF231" s="312"/>
      <c r="AI231" s="313"/>
      <c r="AJ231" s="313"/>
      <c r="AK231" s="313"/>
      <c r="AM231" s="298">
        <v>7.2231747291720994E-2</v>
      </c>
      <c r="AO231" s="313">
        <f t="shared" si="29"/>
        <v>0</v>
      </c>
      <c r="AP231" s="313">
        <f t="shared" si="30"/>
        <v>0</v>
      </c>
      <c r="AQ231" s="316">
        <f t="shared" si="31"/>
        <v>0</v>
      </c>
      <c r="AR231" s="315">
        <f t="shared" si="32"/>
        <v>43191</v>
      </c>
      <c r="AS231" s="313">
        <f t="shared" si="26"/>
        <v>0.27964558954581248</v>
      </c>
      <c r="AT231" s="313">
        <f t="shared" si="27"/>
        <v>0.2796999222242772</v>
      </c>
      <c r="AV231" s="315">
        <f t="shared" si="33"/>
        <v>43191</v>
      </c>
      <c r="AW231" s="298">
        <v>219</v>
      </c>
    </row>
    <row r="232" spans="2:49" x14ac:dyDescent="0.25">
      <c r="B232" s="303">
        <f t="shared" si="28"/>
        <v>43221</v>
      </c>
      <c r="C232" s="301">
        <v>3.6520000000000001</v>
      </c>
      <c r="E232" s="301">
        <v>7.2852238244555001E-2</v>
      </c>
      <c r="F232" s="301">
        <v>0</v>
      </c>
      <c r="G232" s="301">
        <v>4.9968124000000003E-2</v>
      </c>
      <c r="H232" s="301">
        <v>0</v>
      </c>
      <c r="I232" s="301">
        <v>0</v>
      </c>
      <c r="J232" s="301">
        <v>0.155</v>
      </c>
      <c r="K232" s="301">
        <v>0</v>
      </c>
      <c r="L232" s="301">
        <v>0</v>
      </c>
      <c r="M232" s="301">
        <v>0</v>
      </c>
      <c r="N232" s="301">
        <v>0</v>
      </c>
      <c r="O232" s="301">
        <v>0</v>
      </c>
      <c r="P232" s="298">
        <v>0</v>
      </c>
      <c r="Q232" s="298">
        <v>0</v>
      </c>
      <c r="R232" s="298">
        <v>4.0499999999999998E-3</v>
      </c>
      <c r="S232" s="298">
        <v>0</v>
      </c>
      <c r="T232" s="298">
        <v>0</v>
      </c>
      <c r="U232" s="298">
        <v>0.2525</v>
      </c>
      <c r="V232" s="298">
        <v>0</v>
      </c>
      <c r="W232" s="298">
        <v>-0.19</v>
      </c>
      <c r="X232" s="298">
        <v>0</v>
      </c>
      <c r="Y232" s="313">
        <v>0.1875</v>
      </c>
      <c r="Z232" s="313">
        <v>0</v>
      </c>
      <c r="AC232" s="312"/>
      <c r="AD232" s="312"/>
      <c r="AF232" s="312"/>
      <c r="AI232" s="313"/>
      <c r="AJ232" s="313"/>
      <c r="AK232" s="313"/>
      <c r="AM232" s="298">
        <v>7.2233370076482006E-2</v>
      </c>
      <c r="AO232" s="313">
        <f t="shared" si="29"/>
        <v>0</v>
      </c>
      <c r="AP232" s="313">
        <f t="shared" si="30"/>
        <v>0</v>
      </c>
      <c r="AQ232" s="316">
        <f t="shared" si="31"/>
        <v>0</v>
      </c>
      <c r="AR232" s="315">
        <f t="shared" si="32"/>
        <v>43221</v>
      </c>
      <c r="AS232" s="313">
        <f t="shared" si="26"/>
        <v>0.27801265263088548</v>
      </c>
      <c r="AT232" s="313">
        <f t="shared" si="27"/>
        <v>0.27806666923644008</v>
      </c>
      <c r="AV232" s="315">
        <f t="shared" si="33"/>
        <v>43221</v>
      </c>
      <c r="AW232" s="298">
        <v>220</v>
      </c>
    </row>
    <row r="233" spans="2:49" x14ac:dyDescent="0.25">
      <c r="B233" s="303">
        <f t="shared" si="28"/>
        <v>43252</v>
      </c>
      <c r="C233" s="301">
        <v>3.669</v>
      </c>
      <c r="E233" s="301">
        <v>7.2856235322762003E-2</v>
      </c>
      <c r="F233" s="301">
        <v>0</v>
      </c>
      <c r="G233" s="301">
        <v>4.9968124000000003E-2</v>
      </c>
      <c r="H233" s="301">
        <v>0</v>
      </c>
      <c r="I233" s="301">
        <v>0</v>
      </c>
      <c r="J233" s="301">
        <v>0.155</v>
      </c>
      <c r="K233" s="301">
        <v>0</v>
      </c>
      <c r="L233" s="301">
        <v>0</v>
      </c>
      <c r="M233" s="301">
        <v>0</v>
      </c>
      <c r="N233" s="301">
        <v>0</v>
      </c>
      <c r="O233" s="301">
        <v>0</v>
      </c>
      <c r="P233" s="298">
        <v>0</v>
      </c>
      <c r="Q233" s="298">
        <v>0</v>
      </c>
      <c r="R233" s="298">
        <v>4.0499999999999998E-3</v>
      </c>
      <c r="S233" s="298">
        <v>0</v>
      </c>
      <c r="T233" s="298">
        <v>0</v>
      </c>
      <c r="U233" s="298">
        <v>0.2525</v>
      </c>
      <c r="V233" s="298">
        <v>0</v>
      </c>
      <c r="W233" s="298">
        <v>-0.19</v>
      </c>
      <c r="X233" s="298">
        <v>0</v>
      </c>
      <c r="Y233" s="313">
        <v>0.1875</v>
      </c>
      <c r="Z233" s="313">
        <v>0</v>
      </c>
      <c r="AC233" s="312"/>
      <c r="AD233" s="312"/>
      <c r="AF233" s="312"/>
      <c r="AI233" s="313"/>
      <c r="AJ233" s="313"/>
      <c r="AK233" s="313"/>
      <c r="AM233" s="298">
        <v>7.2235046954069002E-2</v>
      </c>
      <c r="AO233" s="313">
        <f t="shared" si="29"/>
        <v>0</v>
      </c>
      <c r="AP233" s="313">
        <f t="shared" si="30"/>
        <v>0</v>
      </c>
      <c r="AQ233" s="316">
        <f t="shared" si="31"/>
        <v>0</v>
      </c>
      <c r="AR233" s="315">
        <f t="shared" si="32"/>
        <v>43252</v>
      </c>
      <c r="AS233" s="313">
        <f t="shared" si="26"/>
        <v>0.27633522643113362</v>
      </c>
      <c r="AT233" s="313">
        <f t="shared" si="27"/>
        <v>0.27638891834501778</v>
      </c>
      <c r="AV233" s="315">
        <f t="shared" si="33"/>
        <v>43252</v>
      </c>
      <c r="AW233" s="298">
        <v>221</v>
      </c>
    </row>
    <row r="234" spans="2:49" x14ac:dyDescent="0.25">
      <c r="B234" s="303">
        <f t="shared" si="28"/>
        <v>43282</v>
      </c>
      <c r="C234" s="301">
        <v>3.669</v>
      </c>
      <c r="E234" s="301">
        <v>7.2860103462965994E-2</v>
      </c>
      <c r="F234" s="301">
        <v>0</v>
      </c>
      <c r="G234" s="301">
        <v>4.9968124000000003E-2</v>
      </c>
      <c r="H234" s="301">
        <v>0</v>
      </c>
      <c r="I234" s="301">
        <v>0</v>
      </c>
      <c r="J234" s="301">
        <v>0.155</v>
      </c>
      <c r="K234" s="301">
        <v>0</v>
      </c>
      <c r="L234" s="301">
        <v>0</v>
      </c>
      <c r="M234" s="301">
        <v>0</v>
      </c>
      <c r="N234" s="301">
        <v>0</v>
      </c>
      <c r="O234" s="301">
        <v>0</v>
      </c>
      <c r="P234" s="298">
        <v>0</v>
      </c>
      <c r="Q234" s="298">
        <v>0</v>
      </c>
      <c r="R234" s="298">
        <v>4.0499999999999998E-3</v>
      </c>
      <c r="S234" s="298">
        <v>0</v>
      </c>
      <c r="T234" s="298">
        <v>0</v>
      </c>
      <c r="U234" s="298">
        <v>0.25750000000000001</v>
      </c>
      <c r="V234" s="298">
        <v>0</v>
      </c>
      <c r="W234" s="298">
        <v>-0.19</v>
      </c>
      <c r="X234" s="298">
        <v>0</v>
      </c>
      <c r="Y234" s="313">
        <v>0.1875</v>
      </c>
      <c r="Z234" s="313">
        <v>0</v>
      </c>
      <c r="AC234" s="312"/>
      <c r="AD234" s="312"/>
      <c r="AF234" s="312"/>
      <c r="AI234" s="313"/>
      <c r="AJ234" s="313"/>
      <c r="AK234" s="313"/>
      <c r="AM234" s="298">
        <v>7.2236669738831E-2</v>
      </c>
      <c r="AO234" s="313">
        <f t="shared" si="29"/>
        <v>0</v>
      </c>
      <c r="AP234" s="313">
        <f t="shared" si="30"/>
        <v>0</v>
      </c>
      <c r="AQ234" s="316">
        <f t="shared" si="31"/>
        <v>0</v>
      </c>
      <c r="AR234" s="315">
        <f t="shared" si="32"/>
        <v>43282</v>
      </c>
      <c r="AS234" s="313">
        <f t="shared" si="26"/>
        <v>0.27472147604154856</v>
      </c>
      <c r="AT234" s="313">
        <f t="shared" si="27"/>
        <v>0.27477485558210513</v>
      </c>
      <c r="AV234" s="315">
        <f t="shared" si="33"/>
        <v>43282</v>
      </c>
      <c r="AW234" s="298">
        <v>222</v>
      </c>
    </row>
    <row r="235" spans="2:49" x14ac:dyDescent="0.25">
      <c r="B235" s="303">
        <f t="shared" si="28"/>
        <v>43313</v>
      </c>
      <c r="C235" s="301">
        <v>3.6720000000000002</v>
      </c>
      <c r="E235" s="301">
        <v>7.2864100541182003E-2</v>
      </c>
      <c r="F235" s="301">
        <v>0</v>
      </c>
      <c r="G235" s="301">
        <v>4.9968124000000003E-2</v>
      </c>
      <c r="H235" s="301">
        <v>0</v>
      </c>
      <c r="I235" s="301">
        <v>0</v>
      </c>
      <c r="J235" s="301">
        <v>0.155</v>
      </c>
      <c r="K235" s="301">
        <v>0</v>
      </c>
      <c r="L235" s="301">
        <v>0</v>
      </c>
      <c r="M235" s="301">
        <v>0</v>
      </c>
      <c r="N235" s="301">
        <v>0</v>
      </c>
      <c r="O235" s="301">
        <v>0</v>
      </c>
      <c r="P235" s="298">
        <v>0</v>
      </c>
      <c r="Q235" s="298">
        <v>0</v>
      </c>
      <c r="R235" s="298">
        <v>6.7499999999999999E-3</v>
      </c>
      <c r="S235" s="298">
        <v>0</v>
      </c>
      <c r="T235" s="298">
        <v>0</v>
      </c>
      <c r="U235" s="298">
        <v>0.25750000000000001</v>
      </c>
      <c r="V235" s="298">
        <v>0</v>
      </c>
      <c r="W235" s="298">
        <v>-0.19</v>
      </c>
      <c r="X235" s="298">
        <v>0</v>
      </c>
      <c r="Y235" s="313">
        <v>0.1875</v>
      </c>
      <c r="Z235" s="313">
        <v>0</v>
      </c>
      <c r="AC235" s="312"/>
      <c r="AD235" s="312"/>
      <c r="AF235" s="312"/>
      <c r="AI235" s="313"/>
      <c r="AJ235" s="313"/>
      <c r="AK235" s="313"/>
      <c r="AM235" s="298">
        <v>7.2238346616418994E-2</v>
      </c>
      <c r="AO235" s="313">
        <f t="shared" si="29"/>
        <v>0</v>
      </c>
      <c r="AP235" s="313">
        <f t="shared" si="30"/>
        <v>0</v>
      </c>
      <c r="AQ235" s="316">
        <f t="shared" si="31"/>
        <v>0</v>
      </c>
      <c r="AR235" s="315">
        <f t="shared" si="32"/>
        <v>43313</v>
      </c>
      <c r="AV235" s="315">
        <f t="shared" si="33"/>
        <v>43313</v>
      </c>
      <c r="AW235" s="298">
        <v>223</v>
      </c>
    </row>
    <row r="236" spans="2:49" x14ac:dyDescent="0.25">
      <c r="B236" s="303">
        <f t="shared" si="28"/>
        <v>43344</v>
      </c>
      <c r="C236" s="301">
        <v>3.661</v>
      </c>
      <c r="E236" s="301">
        <v>7.2868097619402994E-2</v>
      </c>
      <c r="F236" s="301">
        <v>0</v>
      </c>
      <c r="G236" s="301">
        <v>4.9968124000000003E-2</v>
      </c>
      <c r="H236" s="301">
        <v>0</v>
      </c>
      <c r="I236" s="301">
        <v>0</v>
      </c>
      <c r="J236" s="301">
        <v>0.155</v>
      </c>
      <c r="K236" s="301">
        <v>0</v>
      </c>
      <c r="L236" s="301">
        <v>0</v>
      </c>
      <c r="M236" s="301">
        <v>0</v>
      </c>
      <c r="N236" s="301">
        <v>0</v>
      </c>
      <c r="O236" s="301">
        <v>0</v>
      </c>
      <c r="P236" s="298">
        <v>0</v>
      </c>
      <c r="Q236" s="298">
        <v>0</v>
      </c>
      <c r="R236" s="298">
        <v>6.7499999999999999E-3</v>
      </c>
      <c r="S236" s="298">
        <v>0</v>
      </c>
      <c r="T236" s="298">
        <v>0</v>
      </c>
      <c r="U236" s="298">
        <v>0.2525</v>
      </c>
      <c r="V236" s="298">
        <v>0</v>
      </c>
      <c r="W236" s="298">
        <v>-0.19</v>
      </c>
      <c r="X236" s="298">
        <v>0</v>
      </c>
      <c r="Y236" s="313">
        <v>0.1875</v>
      </c>
      <c r="Z236" s="313">
        <v>0</v>
      </c>
      <c r="AI236" s="313"/>
      <c r="AJ236" s="313"/>
      <c r="AK236" s="313"/>
      <c r="AM236" s="298">
        <v>7.2240023494009001E-2</v>
      </c>
      <c r="AQ236" s="314"/>
      <c r="AR236" s="315">
        <f t="shared" si="32"/>
        <v>43344</v>
      </c>
      <c r="AV236" s="315">
        <f t="shared" ref="AV236:AV272" si="34">B236</f>
        <v>43344</v>
      </c>
      <c r="AW236" s="298">
        <v>223</v>
      </c>
    </row>
    <row r="237" spans="2:49" x14ac:dyDescent="0.25">
      <c r="B237" s="303">
        <f t="shared" si="28"/>
        <v>43374</v>
      </c>
      <c r="C237" s="301">
        <v>3.673</v>
      </c>
      <c r="E237" s="301">
        <v>7.2871965759622001E-2</v>
      </c>
      <c r="F237" s="301">
        <v>0</v>
      </c>
      <c r="G237" s="301">
        <v>4.9968124000000003E-2</v>
      </c>
      <c r="H237" s="301">
        <v>0</v>
      </c>
      <c r="I237" s="301">
        <v>0</v>
      </c>
      <c r="J237" s="301">
        <v>0.1575</v>
      </c>
      <c r="K237" s="301">
        <v>0</v>
      </c>
      <c r="L237" s="301">
        <v>0</v>
      </c>
      <c r="M237" s="301">
        <v>0</v>
      </c>
      <c r="N237" s="301">
        <v>0</v>
      </c>
      <c r="O237" s="301">
        <v>0</v>
      </c>
      <c r="P237" s="298">
        <v>0</v>
      </c>
      <c r="Q237" s="298">
        <v>0</v>
      </c>
      <c r="R237" s="298">
        <v>-1.4E-2</v>
      </c>
      <c r="S237" s="298">
        <v>0</v>
      </c>
      <c r="T237" s="298">
        <v>0</v>
      </c>
      <c r="U237" s="298">
        <v>0.255</v>
      </c>
      <c r="V237" s="298">
        <v>0</v>
      </c>
      <c r="W237" s="298">
        <v>-0.19</v>
      </c>
      <c r="X237" s="298">
        <v>0</v>
      </c>
      <c r="Y237" s="298">
        <v>0.1875</v>
      </c>
      <c r="Z237" s="298">
        <v>0</v>
      </c>
      <c r="AI237" s="313"/>
      <c r="AJ237" s="313"/>
      <c r="AK237" s="313"/>
      <c r="AM237" s="298">
        <v>7.2241646278773997E-2</v>
      </c>
      <c r="AQ237" s="314"/>
      <c r="AR237" s="315">
        <f t="shared" si="32"/>
        <v>43374</v>
      </c>
      <c r="AV237" s="315">
        <f t="shared" si="34"/>
        <v>43374</v>
      </c>
      <c r="AW237" s="298">
        <v>223</v>
      </c>
    </row>
    <row r="238" spans="2:49" x14ac:dyDescent="0.25">
      <c r="B238" s="303">
        <f t="shared" si="28"/>
        <v>43405</v>
      </c>
      <c r="C238" s="301">
        <v>3.7309999999999999</v>
      </c>
      <c r="E238" s="301">
        <v>7.2875962837853997E-2</v>
      </c>
      <c r="F238" s="301">
        <v>0</v>
      </c>
      <c r="G238" s="301">
        <v>-2.9988713E-2</v>
      </c>
      <c r="H238" s="301">
        <v>0</v>
      </c>
      <c r="I238" s="301">
        <v>0</v>
      </c>
      <c r="J238" s="301">
        <v>0.24</v>
      </c>
      <c r="K238" s="301">
        <v>0</v>
      </c>
      <c r="L238" s="301">
        <v>0</v>
      </c>
      <c r="M238" s="301">
        <v>0</v>
      </c>
      <c r="N238" s="301">
        <v>0</v>
      </c>
      <c r="O238" s="301">
        <v>0</v>
      </c>
      <c r="P238" s="298">
        <v>0</v>
      </c>
      <c r="Q238" s="298">
        <v>0</v>
      </c>
      <c r="R238" s="298">
        <v>-1.2999999999999999E-2</v>
      </c>
      <c r="S238" s="298">
        <v>0</v>
      </c>
      <c r="T238" s="298">
        <v>0</v>
      </c>
      <c r="U238" s="298">
        <v>0.72499999999999998</v>
      </c>
      <c r="V238" s="298">
        <v>0</v>
      </c>
      <c r="W238" s="298">
        <v>-0.19</v>
      </c>
      <c r="X238" s="298">
        <v>0</v>
      </c>
      <c r="Y238" s="298">
        <v>0.1</v>
      </c>
      <c r="Z238" s="298">
        <v>0</v>
      </c>
      <c r="AI238" s="313"/>
      <c r="AJ238" s="313"/>
      <c r="AK238" s="313"/>
      <c r="AM238" s="298">
        <v>7.2243323156366002E-2</v>
      </c>
      <c r="AR238" s="315">
        <f t="shared" si="32"/>
        <v>43405</v>
      </c>
      <c r="AV238" s="315">
        <f t="shared" si="34"/>
        <v>43405</v>
      </c>
      <c r="AW238" s="298">
        <v>223</v>
      </c>
    </row>
    <row r="239" spans="2:49" x14ac:dyDescent="0.25">
      <c r="B239" s="303">
        <f t="shared" si="28"/>
        <v>43435</v>
      </c>
      <c r="C239" s="301">
        <v>3.8090000000000002</v>
      </c>
      <c r="E239" s="301">
        <v>7.2879830978083995E-2</v>
      </c>
      <c r="F239" s="301">
        <v>0</v>
      </c>
      <c r="G239" s="301">
        <v>-4.4951937999999997E-2</v>
      </c>
      <c r="H239" s="301">
        <v>0</v>
      </c>
      <c r="I239" s="301">
        <v>0</v>
      </c>
      <c r="J239" s="301">
        <v>0.29499999999999998</v>
      </c>
      <c r="K239" s="301">
        <v>0</v>
      </c>
      <c r="L239" s="301">
        <v>0</v>
      </c>
      <c r="M239" s="301">
        <v>0</v>
      </c>
      <c r="N239" s="301">
        <v>0</v>
      </c>
      <c r="O239" s="301">
        <v>0</v>
      </c>
      <c r="P239" s="298">
        <v>0</v>
      </c>
      <c r="Q239" s="298">
        <v>0</v>
      </c>
      <c r="R239" s="298">
        <v>-1.2999999999999999E-2</v>
      </c>
      <c r="S239" s="298">
        <v>0</v>
      </c>
      <c r="T239" s="298">
        <v>0</v>
      </c>
      <c r="U239" s="298">
        <v>1.0449999999999999</v>
      </c>
      <c r="V239" s="298">
        <v>0</v>
      </c>
      <c r="W239" s="298">
        <v>-0.19</v>
      </c>
      <c r="X239" s="298">
        <v>0</v>
      </c>
      <c r="Y239" s="298">
        <v>0.1</v>
      </c>
      <c r="Z239" s="298">
        <v>0</v>
      </c>
      <c r="AI239" s="313"/>
      <c r="AJ239" s="313"/>
      <c r="AK239" s="313"/>
      <c r="AM239" s="298">
        <v>7.2244945941131997E-2</v>
      </c>
      <c r="AR239" s="315">
        <f t="shared" si="32"/>
        <v>43435</v>
      </c>
      <c r="AV239" s="315">
        <f t="shared" si="34"/>
        <v>43435</v>
      </c>
      <c r="AW239" s="298">
        <v>223</v>
      </c>
    </row>
    <row r="240" spans="2:49" x14ac:dyDescent="0.25">
      <c r="B240" s="303">
        <f t="shared" si="28"/>
        <v>43466</v>
      </c>
      <c r="C240" s="301">
        <v>3.8435000000000001</v>
      </c>
      <c r="E240" s="301">
        <v>7.2883828056325997E-2</v>
      </c>
      <c r="F240" s="301">
        <v>0</v>
      </c>
      <c r="G240" s="301">
        <v>-3.9955183999999998E-2</v>
      </c>
      <c r="H240" s="301">
        <v>0</v>
      </c>
      <c r="I240" s="301">
        <v>0</v>
      </c>
      <c r="J240" s="301">
        <v>0.34250000000000003</v>
      </c>
      <c r="K240" s="301">
        <v>0</v>
      </c>
      <c r="L240" s="301">
        <v>0</v>
      </c>
      <c r="M240" s="301">
        <v>0</v>
      </c>
      <c r="N240" s="301">
        <v>0</v>
      </c>
      <c r="O240" s="301">
        <v>0</v>
      </c>
      <c r="P240" s="298">
        <v>0</v>
      </c>
      <c r="Q240" s="298">
        <v>0</v>
      </c>
      <c r="R240" s="298">
        <v>-1.2999999999999999E-2</v>
      </c>
      <c r="S240" s="298">
        <v>0</v>
      </c>
      <c r="T240" s="298">
        <v>0</v>
      </c>
      <c r="U240" s="298">
        <v>1.52</v>
      </c>
      <c r="V240" s="298">
        <v>0</v>
      </c>
      <c r="W240" s="298">
        <v>-0.19</v>
      </c>
      <c r="X240" s="298">
        <v>0</v>
      </c>
      <c r="Y240" s="298">
        <v>0.1</v>
      </c>
      <c r="Z240" s="298">
        <v>0</v>
      </c>
      <c r="AI240" s="313"/>
      <c r="AJ240" s="313"/>
      <c r="AK240" s="313"/>
      <c r="AM240" s="298">
        <v>7.2246622818726E-2</v>
      </c>
      <c r="AR240" s="315">
        <f t="shared" si="32"/>
        <v>43466</v>
      </c>
      <c r="AV240" s="315">
        <f t="shared" si="34"/>
        <v>43466</v>
      </c>
      <c r="AW240" s="298">
        <v>223</v>
      </c>
    </row>
    <row r="241" spans="2:49" x14ac:dyDescent="0.25">
      <c r="B241" s="303">
        <f t="shared" si="28"/>
        <v>43497</v>
      </c>
      <c r="C241" s="301">
        <v>3.7945000000000002</v>
      </c>
      <c r="E241" s="301">
        <v>7.2887825134573994E-2</v>
      </c>
      <c r="F241" s="301">
        <v>0</v>
      </c>
      <c r="G241" s="301">
        <v>-1.4957422999999999E-2</v>
      </c>
      <c r="H241" s="301">
        <v>0</v>
      </c>
      <c r="I241" s="301">
        <v>0</v>
      </c>
      <c r="J241" s="301">
        <v>0.33750000000000002</v>
      </c>
      <c r="K241" s="301">
        <v>0</v>
      </c>
      <c r="L241" s="301">
        <v>0</v>
      </c>
      <c r="M241" s="301">
        <v>0</v>
      </c>
      <c r="N241" s="301">
        <v>0</v>
      </c>
      <c r="O241" s="301">
        <v>0</v>
      </c>
      <c r="P241" s="298">
        <v>0</v>
      </c>
      <c r="Q241" s="298">
        <v>0</v>
      </c>
      <c r="R241" s="298">
        <v>-1.2999999999999999E-2</v>
      </c>
      <c r="S241" s="298">
        <v>0</v>
      </c>
      <c r="T241" s="298">
        <v>0</v>
      </c>
      <c r="U241" s="298">
        <v>1.4</v>
      </c>
      <c r="V241" s="298">
        <v>0</v>
      </c>
      <c r="W241" s="298">
        <v>0</v>
      </c>
      <c r="X241" s="298">
        <v>0</v>
      </c>
      <c r="Y241" s="298">
        <v>0.28999999999999998</v>
      </c>
      <c r="Z241" s="298">
        <v>0</v>
      </c>
      <c r="AI241" s="313"/>
      <c r="AJ241" s="313"/>
      <c r="AK241" s="313"/>
      <c r="AM241" s="298">
        <v>7.2248299696320004E-2</v>
      </c>
      <c r="AR241" s="315">
        <f t="shared" si="32"/>
        <v>43497</v>
      </c>
      <c r="AV241" s="315">
        <f t="shared" si="34"/>
        <v>43497</v>
      </c>
      <c r="AW241" s="298">
        <v>223</v>
      </c>
    </row>
    <row r="242" spans="2:49" x14ac:dyDescent="0.25">
      <c r="B242" s="303">
        <f t="shared" si="28"/>
        <v>43525</v>
      </c>
      <c r="C242" s="301">
        <v>3.7275</v>
      </c>
      <c r="E242" s="301">
        <v>7.2891435398801996E-2</v>
      </c>
      <c r="F242" s="301">
        <v>0</v>
      </c>
      <c r="G242" s="301">
        <v>-4.9574229999999999E-3</v>
      </c>
      <c r="H242" s="301">
        <v>0</v>
      </c>
      <c r="I242" s="301">
        <v>0</v>
      </c>
      <c r="J242" s="301">
        <v>0.26</v>
      </c>
      <c r="K242" s="301">
        <v>0</v>
      </c>
      <c r="L242" s="301">
        <v>0</v>
      </c>
      <c r="M242" s="301">
        <v>0</v>
      </c>
      <c r="N242" s="301">
        <v>0</v>
      </c>
      <c r="O242" s="301">
        <v>0</v>
      </c>
      <c r="P242" s="298">
        <v>0</v>
      </c>
      <c r="Q242" s="298">
        <v>0</v>
      </c>
      <c r="R242" s="298">
        <v>5.3E-3</v>
      </c>
      <c r="S242" s="298">
        <v>0</v>
      </c>
      <c r="T242" s="298">
        <v>0</v>
      </c>
      <c r="U242" s="298">
        <v>0.88</v>
      </c>
      <c r="V242" s="298">
        <v>0</v>
      </c>
      <c r="W242" s="298">
        <v>0</v>
      </c>
      <c r="X242" s="298">
        <v>0</v>
      </c>
      <c r="Y242" s="298">
        <v>0.28999999999999998</v>
      </c>
      <c r="Z242" s="298">
        <v>0</v>
      </c>
      <c r="AI242" s="313"/>
      <c r="AJ242" s="313"/>
      <c r="AK242" s="313"/>
      <c r="AM242" s="298">
        <v>7.2249814295438003E-2</v>
      </c>
      <c r="AR242" s="315">
        <f t="shared" si="32"/>
        <v>43525</v>
      </c>
      <c r="AV242" s="315">
        <f t="shared" si="34"/>
        <v>43525</v>
      </c>
      <c r="AW242" s="298">
        <v>223</v>
      </c>
    </row>
    <row r="243" spans="2:49" x14ac:dyDescent="0.25">
      <c r="B243" s="303">
        <f t="shared" si="28"/>
        <v>43556</v>
      </c>
      <c r="C243" s="301">
        <v>3.6755</v>
      </c>
      <c r="E243" s="301">
        <v>7.2895432477059E-2</v>
      </c>
      <c r="F243" s="301">
        <v>0</v>
      </c>
      <c r="G243" s="301">
        <v>5.4976639000000001E-2</v>
      </c>
      <c r="H243" s="301">
        <v>0</v>
      </c>
      <c r="I243" s="301">
        <v>0</v>
      </c>
      <c r="J243" s="301">
        <v>0.17</v>
      </c>
      <c r="K243" s="301">
        <v>0</v>
      </c>
      <c r="L243" s="301">
        <v>0</v>
      </c>
      <c r="M243" s="301">
        <v>0</v>
      </c>
      <c r="N243" s="301">
        <v>0</v>
      </c>
      <c r="O243" s="301">
        <v>0</v>
      </c>
      <c r="P243" s="298">
        <v>0</v>
      </c>
      <c r="Q243" s="298">
        <v>0</v>
      </c>
      <c r="R243" s="298">
        <v>5.3E-3</v>
      </c>
      <c r="S243" s="298">
        <v>0</v>
      </c>
      <c r="T243" s="298">
        <v>0</v>
      </c>
      <c r="U243" s="298">
        <v>0.37</v>
      </c>
      <c r="V243" s="298">
        <v>0</v>
      </c>
      <c r="W243" s="298">
        <v>0</v>
      </c>
      <c r="X243" s="298">
        <v>0</v>
      </c>
      <c r="Y243" s="298">
        <v>0.3775</v>
      </c>
      <c r="Z243" s="298">
        <v>0</v>
      </c>
      <c r="AI243" s="313"/>
      <c r="AJ243" s="313"/>
      <c r="AK243" s="313"/>
      <c r="AM243" s="298">
        <v>7.2251491173034005E-2</v>
      </c>
      <c r="AR243" s="315">
        <f t="shared" si="32"/>
        <v>43556</v>
      </c>
      <c r="AV243" s="315">
        <f t="shared" si="34"/>
        <v>43556</v>
      </c>
      <c r="AW243" s="298">
        <v>223</v>
      </c>
    </row>
    <row r="244" spans="2:49" x14ac:dyDescent="0.25">
      <c r="B244" s="303">
        <f t="shared" si="28"/>
        <v>43586</v>
      </c>
      <c r="C244" s="301">
        <v>3.7225000000000001</v>
      </c>
      <c r="E244" s="301">
        <v>7.2899300617314006E-2</v>
      </c>
      <c r="F244" s="301">
        <v>0</v>
      </c>
      <c r="G244" s="301">
        <v>5.4968124E-2</v>
      </c>
      <c r="H244" s="301">
        <v>0</v>
      </c>
      <c r="I244" s="301">
        <v>0</v>
      </c>
      <c r="J244" s="301">
        <v>0.155</v>
      </c>
      <c r="K244" s="301">
        <v>0</v>
      </c>
      <c r="L244" s="301">
        <v>0</v>
      </c>
      <c r="M244" s="301">
        <v>0</v>
      </c>
      <c r="N244" s="301">
        <v>0</v>
      </c>
      <c r="O244" s="301">
        <v>0</v>
      </c>
      <c r="P244" s="298">
        <v>0</v>
      </c>
      <c r="Q244" s="298">
        <v>0</v>
      </c>
      <c r="R244" s="298">
        <v>5.0499999999999998E-3</v>
      </c>
      <c r="S244" s="298">
        <v>0</v>
      </c>
      <c r="T244" s="298">
        <v>0</v>
      </c>
      <c r="U244" s="298">
        <v>0.2525</v>
      </c>
      <c r="V244" s="298">
        <v>0</v>
      </c>
      <c r="W244" s="298">
        <v>0</v>
      </c>
      <c r="X244" s="298">
        <v>0</v>
      </c>
      <c r="Y244" s="298">
        <v>0.3775</v>
      </c>
      <c r="Z244" s="298">
        <v>0</v>
      </c>
      <c r="AI244" s="313"/>
      <c r="AJ244" s="313"/>
      <c r="AK244" s="313"/>
      <c r="AM244" s="298">
        <v>7.2253113957804996E-2</v>
      </c>
      <c r="AR244" s="315">
        <f t="shared" si="32"/>
        <v>43586</v>
      </c>
      <c r="AV244" s="315">
        <f t="shared" si="34"/>
        <v>43586</v>
      </c>
      <c r="AW244" s="298">
        <v>223</v>
      </c>
    </row>
    <row r="245" spans="2:49" x14ac:dyDescent="0.25">
      <c r="B245" s="303">
        <f t="shared" si="28"/>
        <v>43617</v>
      </c>
      <c r="C245" s="301">
        <v>3.7404999999999999</v>
      </c>
      <c r="E245" s="301">
        <v>7.2903297695581001E-2</v>
      </c>
      <c r="F245" s="301">
        <v>0</v>
      </c>
      <c r="G245" s="301">
        <v>5.4968124E-2</v>
      </c>
      <c r="H245" s="301">
        <v>0</v>
      </c>
      <c r="I245" s="301">
        <v>0</v>
      </c>
      <c r="J245" s="301">
        <v>0.155</v>
      </c>
      <c r="K245" s="301">
        <v>0</v>
      </c>
      <c r="L245" s="301">
        <v>0</v>
      </c>
      <c r="M245" s="301">
        <v>0</v>
      </c>
      <c r="N245" s="301">
        <v>0</v>
      </c>
      <c r="O245" s="301">
        <v>0</v>
      </c>
      <c r="P245" s="298">
        <v>0</v>
      </c>
      <c r="Q245" s="298">
        <v>0</v>
      </c>
      <c r="R245" s="298">
        <v>5.0499999999999998E-3</v>
      </c>
      <c r="S245" s="298">
        <v>0</v>
      </c>
      <c r="T245" s="298">
        <v>0</v>
      </c>
      <c r="U245" s="298">
        <v>0.2525</v>
      </c>
      <c r="V245" s="298">
        <v>0</v>
      </c>
      <c r="W245" s="298">
        <v>0</v>
      </c>
      <c r="X245" s="298">
        <v>0</v>
      </c>
      <c r="Y245" s="298">
        <v>0.3775</v>
      </c>
      <c r="Z245" s="298">
        <v>0</v>
      </c>
      <c r="AI245" s="313"/>
      <c r="AJ245" s="313"/>
      <c r="AK245" s="313"/>
      <c r="AM245" s="298">
        <v>7.2254790835402996E-2</v>
      </c>
      <c r="AR245" s="315">
        <f t="shared" si="32"/>
        <v>43617</v>
      </c>
      <c r="AV245" s="315">
        <f t="shared" si="34"/>
        <v>43617</v>
      </c>
      <c r="AW245" s="298">
        <v>223</v>
      </c>
    </row>
    <row r="246" spans="2:49" x14ac:dyDescent="0.25">
      <c r="B246" s="303">
        <f t="shared" si="28"/>
        <v>43647</v>
      </c>
      <c r="C246" s="301">
        <v>3.7404999999999999</v>
      </c>
      <c r="E246" s="301">
        <v>7.2907165835846E-2</v>
      </c>
      <c r="F246" s="301">
        <v>0</v>
      </c>
      <c r="G246" s="301">
        <v>5.4968124E-2</v>
      </c>
      <c r="H246" s="301">
        <v>0</v>
      </c>
      <c r="I246" s="301">
        <v>0</v>
      </c>
      <c r="J246" s="301">
        <v>0.155</v>
      </c>
      <c r="K246" s="301">
        <v>0</v>
      </c>
      <c r="L246" s="301">
        <v>0</v>
      </c>
      <c r="M246" s="301">
        <v>0</v>
      </c>
      <c r="N246" s="301">
        <v>0</v>
      </c>
      <c r="O246" s="301">
        <v>0</v>
      </c>
      <c r="P246" s="298">
        <v>0</v>
      </c>
      <c r="Q246" s="298">
        <v>0</v>
      </c>
      <c r="R246" s="298">
        <v>5.0499999999999998E-3</v>
      </c>
      <c r="S246" s="298">
        <v>0</v>
      </c>
      <c r="T246" s="298">
        <v>0</v>
      </c>
      <c r="U246" s="298">
        <v>0.25750000000000001</v>
      </c>
      <c r="V246" s="298">
        <v>0</v>
      </c>
      <c r="W246" s="298">
        <v>0</v>
      </c>
      <c r="X246" s="298">
        <v>0</v>
      </c>
      <c r="Y246" s="298">
        <v>0.3775</v>
      </c>
      <c r="Z246" s="298">
        <v>0</v>
      </c>
      <c r="AI246" s="313"/>
      <c r="AJ246" s="313"/>
      <c r="AK246" s="313"/>
      <c r="AM246" s="298">
        <v>7.2256413620175999E-2</v>
      </c>
      <c r="AR246" s="315">
        <f t="shared" si="32"/>
        <v>43647</v>
      </c>
      <c r="AV246" s="315">
        <f t="shared" si="34"/>
        <v>43647</v>
      </c>
      <c r="AW246" s="298">
        <v>223</v>
      </c>
    </row>
    <row r="247" spans="2:49" x14ac:dyDescent="0.25">
      <c r="B247" s="303">
        <f t="shared" si="28"/>
        <v>43678</v>
      </c>
      <c r="C247" s="301">
        <v>3.7435</v>
      </c>
      <c r="E247" s="301">
        <v>7.2911162914124E-2</v>
      </c>
      <c r="F247" s="301">
        <v>0</v>
      </c>
      <c r="G247" s="301">
        <v>5.4968124E-2</v>
      </c>
      <c r="H247" s="301">
        <v>0</v>
      </c>
      <c r="I247" s="301">
        <v>0</v>
      </c>
      <c r="J247" s="301">
        <v>0.155</v>
      </c>
      <c r="K247" s="301">
        <v>0</v>
      </c>
      <c r="L247" s="301">
        <v>0</v>
      </c>
      <c r="M247" s="301">
        <v>0</v>
      </c>
      <c r="N247" s="301">
        <v>0</v>
      </c>
      <c r="O247" s="301">
        <v>0</v>
      </c>
      <c r="P247" s="298">
        <v>0</v>
      </c>
      <c r="Q247" s="298">
        <v>0</v>
      </c>
      <c r="R247" s="298">
        <v>7.7499999999999999E-3</v>
      </c>
      <c r="S247" s="298">
        <v>0</v>
      </c>
      <c r="T247" s="298">
        <v>0</v>
      </c>
      <c r="U247" s="298">
        <v>0.25750000000000001</v>
      </c>
      <c r="V247" s="298">
        <v>0</v>
      </c>
      <c r="W247" s="298">
        <v>0</v>
      </c>
      <c r="X247" s="298">
        <v>0</v>
      </c>
      <c r="Y247" s="298">
        <v>0.3775</v>
      </c>
      <c r="Z247" s="298">
        <v>0</v>
      </c>
      <c r="AI247" s="313"/>
      <c r="AJ247" s="313"/>
      <c r="AK247" s="313"/>
      <c r="AM247" s="298">
        <v>7.2258090497775998E-2</v>
      </c>
      <c r="AR247" s="315">
        <f t="shared" si="32"/>
        <v>43678</v>
      </c>
      <c r="AV247" s="315">
        <f t="shared" si="34"/>
        <v>43678</v>
      </c>
      <c r="AW247" s="298">
        <v>223</v>
      </c>
    </row>
    <row r="248" spans="2:49" x14ac:dyDescent="0.25">
      <c r="B248" s="303">
        <f t="shared" si="28"/>
        <v>43709</v>
      </c>
      <c r="C248" s="301">
        <v>3.7315</v>
      </c>
      <c r="E248" s="301">
        <v>7.2915159992407996E-2</v>
      </c>
      <c r="F248" s="301">
        <v>0</v>
      </c>
      <c r="G248" s="301">
        <v>5.4968124E-2</v>
      </c>
      <c r="H248" s="301">
        <v>0</v>
      </c>
      <c r="I248" s="301">
        <v>0</v>
      </c>
      <c r="J248" s="301">
        <v>0.155</v>
      </c>
      <c r="K248" s="301">
        <v>0</v>
      </c>
      <c r="L248" s="301">
        <v>0</v>
      </c>
      <c r="M248" s="301">
        <v>0</v>
      </c>
      <c r="N248" s="301">
        <v>0</v>
      </c>
      <c r="O248" s="301">
        <v>0</v>
      </c>
      <c r="P248" s="298">
        <v>0</v>
      </c>
      <c r="Q248" s="298">
        <v>0</v>
      </c>
      <c r="R248" s="298">
        <v>7.7499999999999999E-3</v>
      </c>
      <c r="S248" s="298">
        <v>0</v>
      </c>
      <c r="T248" s="298">
        <v>0</v>
      </c>
      <c r="U248" s="298">
        <v>0.2525</v>
      </c>
      <c r="V248" s="298">
        <v>0</v>
      </c>
      <c r="W248" s="298">
        <v>0</v>
      </c>
      <c r="X248" s="298">
        <v>0</v>
      </c>
      <c r="Y248" s="298">
        <v>0.3775</v>
      </c>
      <c r="Z248" s="298">
        <v>0</v>
      </c>
      <c r="AI248" s="313"/>
      <c r="AJ248" s="313"/>
      <c r="AK248" s="313"/>
      <c r="AM248" s="298">
        <v>7.2259767375375997E-2</v>
      </c>
      <c r="AR248" s="315">
        <f t="shared" si="32"/>
        <v>43709</v>
      </c>
      <c r="AV248" s="315">
        <f t="shared" si="34"/>
        <v>43709</v>
      </c>
      <c r="AW248" s="298">
        <v>223</v>
      </c>
    </row>
    <row r="249" spans="2:49" x14ac:dyDescent="0.25">
      <c r="B249" s="303">
        <f t="shared" si="28"/>
        <v>43739</v>
      </c>
      <c r="C249" s="301">
        <v>3.7425000000000002</v>
      </c>
      <c r="E249" s="301">
        <v>7.2919028132686997E-2</v>
      </c>
      <c r="F249" s="301">
        <v>0</v>
      </c>
      <c r="G249" s="301">
        <v>5.4968124E-2</v>
      </c>
      <c r="H249" s="301">
        <v>0</v>
      </c>
      <c r="I249" s="301">
        <v>0</v>
      </c>
      <c r="J249" s="301">
        <v>0.1575</v>
      </c>
      <c r="K249" s="301">
        <v>0</v>
      </c>
      <c r="L249" s="301">
        <v>0</v>
      </c>
      <c r="M249" s="301">
        <v>0</v>
      </c>
      <c r="N249" s="301">
        <v>0</v>
      </c>
      <c r="O249" s="301">
        <v>0</v>
      </c>
      <c r="P249" s="298">
        <v>0</v>
      </c>
      <c r="Q249" s="298">
        <v>0</v>
      </c>
      <c r="R249" s="298">
        <v>-1.2999999999999999E-2</v>
      </c>
      <c r="S249" s="298">
        <v>0</v>
      </c>
      <c r="T249" s="298">
        <v>0</v>
      </c>
      <c r="U249" s="298">
        <v>0.255</v>
      </c>
      <c r="V249" s="298">
        <v>0</v>
      </c>
      <c r="W249" s="298">
        <v>0</v>
      </c>
      <c r="X249" s="298">
        <v>0</v>
      </c>
      <c r="Y249" s="298">
        <v>0.3775</v>
      </c>
      <c r="Z249" s="298">
        <v>0</v>
      </c>
      <c r="AI249" s="313"/>
      <c r="AJ249" s="313"/>
      <c r="AK249" s="313"/>
      <c r="AM249" s="298">
        <v>7.2261390160151998E-2</v>
      </c>
      <c r="AR249" s="315">
        <f t="shared" si="32"/>
        <v>43739</v>
      </c>
      <c r="AV249" s="315">
        <f t="shared" si="34"/>
        <v>43739</v>
      </c>
      <c r="AW249" s="298">
        <v>223</v>
      </c>
    </row>
    <row r="250" spans="2:49" x14ac:dyDescent="0.25">
      <c r="B250" s="303">
        <f t="shared" si="28"/>
        <v>43770</v>
      </c>
      <c r="C250" s="301">
        <v>3.7955000000000001</v>
      </c>
      <c r="E250" s="301">
        <v>7.2923025210980999E-2</v>
      </c>
      <c r="F250" s="301">
        <v>0</v>
      </c>
      <c r="G250" s="301">
        <v>-2.4988712999999999E-2</v>
      </c>
      <c r="H250" s="301">
        <v>0</v>
      </c>
      <c r="I250" s="301">
        <v>0</v>
      </c>
      <c r="J250" s="301">
        <v>0.24</v>
      </c>
      <c r="K250" s="301">
        <v>0</v>
      </c>
      <c r="L250" s="301">
        <v>0</v>
      </c>
      <c r="M250" s="301">
        <v>0</v>
      </c>
      <c r="N250" s="301">
        <v>0</v>
      </c>
      <c r="O250" s="301">
        <v>0</v>
      </c>
      <c r="P250" s="298">
        <v>0</v>
      </c>
      <c r="Q250" s="298">
        <v>0</v>
      </c>
      <c r="R250" s="298">
        <v>-1.2E-2</v>
      </c>
      <c r="S250" s="298">
        <v>0</v>
      </c>
      <c r="T250" s="298">
        <v>0</v>
      </c>
      <c r="U250" s="298">
        <v>0.72499999999999998</v>
      </c>
      <c r="V250" s="298">
        <v>0</v>
      </c>
      <c r="W250" s="298">
        <v>0</v>
      </c>
      <c r="X250" s="298">
        <v>0</v>
      </c>
      <c r="Y250" s="298">
        <v>0.28999999999999998</v>
      </c>
      <c r="Z250" s="298">
        <v>0</v>
      </c>
      <c r="AI250" s="313"/>
      <c r="AJ250" s="313"/>
      <c r="AK250" s="313"/>
      <c r="AM250" s="298">
        <v>7.2263067037753995E-2</v>
      </c>
      <c r="AR250" s="315">
        <f t="shared" si="32"/>
        <v>43770</v>
      </c>
      <c r="AV250" s="315">
        <f t="shared" si="34"/>
        <v>43770</v>
      </c>
      <c r="AW250" s="298">
        <v>223</v>
      </c>
    </row>
    <row r="251" spans="2:49" x14ac:dyDescent="0.25">
      <c r="B251" s="303">
        <f t="shared" si="28"/>
        <v>43800</v>
      </c>
      <c r="C251" s="301">
        <v>3.8704999999999998</v>
      </c>
      <c r="E251" s="301">
        <v>7.2926893351271005E-2</v>
      </c>
      <c r="F251" s="301">
        <v>0</v>
      </c>
      <c r="G251" s="301">
        <v>-3.9951937999999999E-2</v>
      </c>
      <c r="H251" s="301">
        <v>0</v>
      </c>
      <c r="I251" s="301">
        <v>0</v>
      </c>
      <c r="J251" s="301">
        <v>0.29499999999999998</v>
      </c>
      <c r="K251" s="301">
        <v>0</v>
      </c>
      <c r="L251" s="301">
        <v>0</v>
      </c>
      <c r="M251" s="301">
        <v>0</v>
      </c>
      <c r="N251" s="301">
        <v>0</v>
      </c>
      <c r="O251" s="301">
        <v>0</v>
      </c>
      <c r="P251" s="298">
        <v>0</v>
      </c>
      <c r="Q251" s="298">
        <v>0</v>
      </c>
      <c r="R251" s="298">
        <v>-1.2E-2</v>
      </c>
      <c r="S251" s="298">
        <v>0</v>
      </c>
      <c r="T251" s="298">
        <v>0</v>
      </c>
      <c r="U251" s="298">
        <v>1.0449999999999999</v>
      </c>
      <c r="V251" s="298">
        <v>0</v>
      </c>
      <c r="W251" s="298">
        <v>0</v>
      </c>
      <c r="X251" s="298">
        <v>0</v>
      </c>
      <c r="Y251" s="298">
        <v>0.28999999999999998</v>
      </c>
      <c r="Z251" s="298">
        <v>0</v>
      </c>
      <c r="AI251" s="313"/>
      <c r="AJ251" s="313"/>
      <c r="AK251" s="313"/>
      <c r="AM251" s="298">
        <v>7.2264689822531994E-2</v>
      </c>
      <c r="AR251" s="315">
        <f t="shared" si="32"/>
        <v>43800</v>
      </c>
      <c r="AV251" s="315">
        <f t="shared" si="34"/>
        <v>43800</v>
      </c>
      <c r="AW251" s="298">
        <v>223</v>
      </c>
    </row>
    <row r="252" spans="2:49" x14ac:dyDescent="0.25">
      <c r="B252" s="303">
        <f t="shared" si="28"/>
        <v>43831</v>
      </c>
      <c r="C252" s="301">
        <v>3.903</v>
      </c>
      <c r="E252" s="301">
        <v>7.2930890429574999E-2</v>
      </c>
      <c r="F252" s="301">
        <v>0</v>
      </c>
      <c r="G252" s="301">
        <v>-3.4955184E-2</v>
      </c>
      <c r="H252" s="301">
        <v>0</v>
      </c>
      <c r="I252" s="301">
        <v>0</v>
      </c>
      <c r="J252" s="301">
        <v>0.34250000000000003</v>
      </c>
      <c r="K252" s="301">
        <v>0</v>
      </c>
      <c r="L252" s="301">
        <v>0</v>
      </c>
      <c r="M252" s="301">
        <v>0</v>
      </c>
      <c r="N252" s="301">
        <v>0</v>
      </c>
      <c r="O252" s="301">
        <v>0</v>
      </c>
      <c r="P252" s="298">
        <v>0</v>
      </c>
      <c r="Q252" s="298">
        <v>0</v>
      </c>
      <c r="R252" s="298">
        <v>-1.2E-2</v>
      </c>
      <c r="S252" s="298">
        <v>0</v>
      </c>
      <c r="T252" s="298">
        <v>0</v>
      </c>
      <c r="U252" s="298">
        <v>1.52</v>
      </c>
      <c r="V252" s="298">
        <v>0</v>
      </c>
      <c r="W252" s="298">
        <v>0</v>
      </c>
      <c r="X252" s="298">
        <v>0</v>
      </c>
      <c r="Y252" s="298">
        <v>0.28999999999999998</v>
      </c>
      <c r="Z252" s="298">
        <v>0</v>
      </c>
      <c r="AI252" s="313"/>
      <c r="AJ252" s="313"/>
      <c r="AK252" s="313"/>
      <c r="AM252" s="298">
        <v>7.2266366700136003E-2</v>
      </c>
      <c r="AR252" s="315">
        <f t="shared" si="32"/>
        <v>43831</v>
      </c>
      <c r="AV252" s="315">
        <f t="shared" si="34"/>
        <v>43831</v>
      </c>
      <c r="AW252" s="298">
        <v>223</v>
      </c>
    </row>
    <row r="253" spans="2:49" x14ac:dyDescent="0.25">
      <c r="B253" s="303">
        <f t="shared" si="28"/>
        <v>43862</v>
      </c>
      <c r="C253" s="301">
        <v>3.8580000000000001</v>
      </c>
      <c r="E253" s="301">
        <v>7.2934887507884003E-2</v>
      </c>
      <c r="F253" s="301">
        <v>0</v>
      </c>
      <c r="G253" s="301">
        <v>-9.957423E-3</v>
      </c>
      <c r="H253" s="301">
        <v>0</v>
      </c>
      <c r="I253" s="301">
        <v>0</v>
      </c>
      <c r="J253" s="301">
        <v>0.33750000000000002</v>
      </c>
      <c r="K253" s="301">
        <v>0</v>
      </c>
      <c r="L253" s="301">
        <v>0</v>
      </c>
      <c r="M253" s="301">
        <v>0</v>
      </c>
      <c r="N253" s="301">
        <v>0</v>
      </c>
      <c r="O253" s="301">
        <v>0</v>
      </c>
      <c r="P253" s="298">
        <v>0</v>
      </c>
      <c r="Q253" s="298">
        <v>0</v>
      </c>
      <c r="R253" s="298">
        <v>-1.2E-2</v>
      </c>
      <c r="S253" s="298">
        <v>0</v>
      </c>
      <c r="T253" s="298">
        <v>0</v>
      </c>
      <c r="U253" s="298">
        <v>1.4</v>
      </c>
      <c r="V253" s="298">
        <v>0</v>
      </c>
      <c r="W253" s="298">
        <v>0</v>
      </c>
      <c r="X253" s="298">
        <v>0</v>
      </c>
      <c r="Y253" s="298">
        <v>0.28999999999999998</v>
      </c>
      <c r="Z253" s="298">
        <v>0</v>
      </c>
      <c r="AI253" s="313"/>
      <c r="AJ253" s="313"/>
      <c r="AK253" s="313"/>
      <c r="AM253" s="298">
        <v>7.2268043577740998E-2</v>
      </c>
      <c r="AR253" s="315">
        <f t="shared" si="32"/>
        <v>43862</v>
      </c>
      <c r="AV253" s="315">
        <f t="shared" si="34"/>
        <v>43862</v>
      </c>
      <c r="AW253" s="298">
        <v>223</v>
      </c>
    </row>
    <row r="254" spans="2:49" x14ac:dyDescent="0.25">
      <c r="B254" s="303">
        <f t="shared" si="28"/>
        <v>43891</v>
      </c>
      <c r="C254" s="301">
        <v>3.794</v>
      </c>
      <c r="E254" s="301">
        <v>7.2938626710179005E-2</v>
      </c>
      <c r="F254" s="301">
        <v>0</v>
      </c>
      <c r="G254" s="301">
        <v>4.2577000000000002E-5</v>
      </c>
      <c r="H254" s="301">
        <v>0</v>
      </c>
      <c r="I254" s="301">
        <v>0</v>
      </c>
      <c r="J254" s="301">
        <v>0.26</v>
      </c>
      <c r="K254" s="301">
        <v>0</v>
      </c>
      <c r="L254" s="301">
        <v>0</v>
      </c>
      <c r="M254" s="301">
        <v>0</v>
      </c>
      <c r="N254" s="301">
        <v>0</v>
      </c>
      <c r="O254" s="301">
        <v>0</v>
      </c>
      <c r="P254" s="298">
        <v>0</v>
      </c>
      <c r="Q254" s="298">
        <v>0</v>
      </c>
      <c r="R254" s="298">
        <v>6.3E-3</v>
      </c>
      <c r="S254" s="298">
        <v>0</v>
      </c>
      <c r="T254" s="298">
        <v>0</v>
      </c>
      <c r="U254" s="298">
        <v>0.88</v>
      </c>
      <c r="V254" s="298">
        <v>0</v>
      </c>
      <c r="W254" s="298">
        <v>0</v>
      </c>
      <c r="X254" s="298">
        <v>0</v>
      </c>
      <c r="Y254" s="298">
        <v>0.28999999999999998</v>
      </c>
      <c r="Z254" s="298">
        <v>0</v>
      </c>
      <c r="AI254" s="313"/>
      <c r="AJ254" s="313"/>
      <c r="AK254" s="313"/>
      <c r="AM254" s="298">
        <v>7.2269612269694999E-2</v>
      </c>
      <c r="AR254" s="315">
        <f t="shared" si="32"/>
        <v>43891</v>
      </c>
      <c r="AV254" s="315">
        <f t="shared" si="34"/>
        <v>43891</v>
      </c>
      <c r="AW254" s="298">
        <v>223</v>
      </c>
    </row>
    <row r="255" spans="2:49" x14ac:dyDescent="0.25">
      <c r="B255" s="303">
        <f t="shared" si="28"/>
        <v>43922</v>
      </c>
      <c r="C255" s="301">
        <v>3.7450000000000001</v>
      </c>
      <c r="E255" s="301">
        <v>7.2942623788498001E-2</v>
      </c>
      <c r="F255" s="301">
        <v>0</v>
      </c>
      <c r="G255" s="301">
        <v>5.9976638999999998E-2</v>
      </c>
      <c r="H255" s="301">
        <v>0</v>
      </c>
      <c r="I255" s="301">
        <v>0</v>
      </c>
      <c r="J255" s="301">
        <v>0.17</v>
      </c>
      <c r="K255" s="301">
        <v>0</v>
      </c>
      <c r="L255" s="301">
        <v>0</v>
      </c>
      <c r="M255" s="301">
        <v>0</v>
      </c>
      <c r="N255" s="301">
        <v>0</v>
      </c>
      <c r="O255" s="301">
        <v>0</v>
      </c>
      <c r="P255" s="298">
        <v>0</v>
      </c>
      <c r="Q255" s="298">
        <v>0</v>
      </c>
      <c r="R255" s="298">
        <v>6.3E-3</v>
      </c>
      <c r="S255" s="298">
        <v>0</v>
      </c>
      <c r="T255" s="298">
        <v>0</v>
      </c>
      <c r="U255" s="298">
        <v>0.37</v>
      </c>
      <c r="V255" s="298">
        <v>0</v>
      </c>
      <c r="W255" s="298">
        <v>0</v>
      </c>
      <c r="X255" s="298">
        <v>0</v>
      </c>
      <c r="Y255" s="298">
        <v>0.3775</v>
      </c>
      <c r="Z255" s="298">
        <v>0</v>
      </c>
      <c r="AI255" s="313"/>
      <c r="AJ255" s="313"/>
      <c r="AK255" s="313"/>
      <c r="AM255" s="298">
        <v>7.2271289147302006E-2</v>
      </c>
      <c r="AR255" s="315">
        <f t="shared" si="32"/>
        <v>43922</v>
      </c>
      <c r="AV255" s="315">
        <f t="shared" si="34"/>
        <v>43922</v>
      </c>
      <c r="AW255" s="298">
        <v>223</v>
      </c>
    </row>
    <row r="256" spans="2:49" x14ac:dyDescent="0.25">
      <c r="B256" s="303">
        <f t="shared" si="28"/>
        <v>43952</v>
      </c>
      <c r="C256" s="301">
        <v>3.7930000000000001</v>
      </c>
      <c r="E256" s="301">
        <v>7.2945659224805004E-2</v>
      </c>
      <c r="F256" s="301">
        <v>0</v>
      </c>
      <c r="G256" s="301">
        <v>5.9968123999999998E-2</v>
      </c>
      <c r="H256" s="301">
        <v>0</v>
      </c>
      <c r="I256" s="301">
        <v>0</v>
      </c>
      <c r="J256" s="301">
        <v>0.155</v>
      </c>
      <c r="K256" s="301">
        <v>0</v>
      </c>
      <c r="L256" s="301">
        <v>0</v>
      </c>
      <c r="M256" s="301">
        <v>0</v>
      </c>
      <c r="N256" s="301">
        <v>0</v>
      </c>
      <c r="O256" s="301">
        <v>0</v>
      </c>
      <c r="P256" s="298">
        <v>0</v>
      </c>
      <c r="Q256" s="298">
        <v>0</v>
      </c>
      <c r="R256" s="298">
        <v>6.0499999999999998E-3</v>
      </c>
      <c r="S256" s="298">
        <v>0</v>
      </c>
      <c r="T256" s="298">
        <v>0</v>
      </c>
      <c r="U256" s="298">
        <v>0.2525</v>
      </c>
      <c r="V256" s="298">
        <v>0</v>
      </c>
      <c r="W256" s="298">
        <v>0</v>
      </c>
      <c r="X256" s="298">
        <v>0</v>
      </c>
      <c r="Y256" s="298">
        <v>0.3775</v>
      </c>
      <c r="Z256" s="298">
        <v>0</v>
      </c>
      <c r="AI256" s="313"/>
      <c r="AJ256" s="313"/>
      <c r="AK256" s="313"/>
      <c r="AM256" s="298">
        <v>7.2272847325E-2</v>
      </c>
      <c r="AR256" s="315">
        <f t="shared" si="32"/>
        <v>43952</v>
      </c>
      <c r="AV256" s="315">
        <f t="shared" si="34"/>
        <v>43952</v>
      </c>
      <c r="AW256" s="298">
        <v>223</v>
      </c>
    </row>
    <row r="257" spans="2:49" x14ac:dyDescent="0.25">
      <c r="B257" s="303">
        <f t="shared" si="28"/>
        <v>43983</v>
      </c>
      <c r="C257" s="301">
        <v>3.8119999999999998</v>
      </c>
      <c r="E257" s="301">
        <v>7.2947309591835E-2</v>
      </c>
      <c r="F257" s="301">
        <v>0</v>
      </c>
      <c r="G257" s="301">
        <v>5.9968123999999998E-2</v>
      </c>
      <c r="H257" s="301">
        <v>0</v>
      </c>
      <c r="I257" s="301">
        <v>0</v>
      </c>
      <c r="J257" s="301">
        <v>0.155</v>
      </c>
      <c r="K257" s="301">
        <v>0</v>
      </c>
      <c r="L257" s="301">
        <v>0</v>
      </c>
      <c r="M257" s="301">
        <v>0</v>
      </c>
      <c r="N257" s="301">
        <v>0</v>
      </c>
      <c r="O257" s="301">
        <v>0</v>
      </c>
      <c r="P257" s="298">
        <v>0</v>
      </c>
      <c r="Q257" s="298">
        <v>0</v>
      </c>
      <c r="R257" s="298">
        <v>6.0499999999999998E-3</v>
      </c>
      <c r="S257" s="298">
        <v>0</v>
      </c>
      <c r="T257" s="298">
        <v>0</v>
      </c>
      <c r="U257" s="298">
        <v>0.2525</v>
      </c>
      <c r="V257" s="298">
        <v>0</v>
      </c>
      <c r="W257" s="298">
        <v>0</v>
      </c>
      <c r="X257" s="298">
        <v>0</v>
      </c>
      <c r="Y257" s="298">
        <v>0.3775</v>
      </c>
      <c r="Z257" s="298">
        <v>0</v>
      </c>
      <c r="AI257" s="313"/>
      <c r="AJ257" s="313"/>
      <c r="AK257" s="313"/>
      <c r="AM257" s="298">
        <v>7.2274342128065994E-2</v>
      </c>
      <c r="AR257" s="315">
        <f t="shared" si="32"/>
        <v>43983</v>
      </c>
      <c r="AV257" s="315">
        <f t="shared" si="34"/>
        <v>43983</v>
      </c>
      <c r="AW257" s="298">
        <v>223</v>
      </c>
    </row>
    <row r="258" spans="2:49" x14ac:dyDescent="0.25">
      <c r="B258" s="303">
        <f t="shared" si="28"/>
        <v>44013</v>
      </c>
      <c r="C258" s="301">
        <v>3.8119999999999998</v>
      </c>
      <c r="E258" s="301">
        <v>7.2948906721220994E-2</v>
      </c>
      <c r="F258" s="301">
        <v>0</v>
      </c>
      <c r="G258" s="301">
        <v>5.9968123999999998E-2</v>
      </c>
      <c r="H258" s="301">
        <v>0</v>
      </c>
      <c r="I258" s="301">
        <v>0</v>
      </c>
      <c r="J258" s="301">
        <v>0.155</v>
      </c>
      <c r="K258" s="301">
        <v>0</v>
      </c>
      <c r="L258" s="301">
        <v>0</v>
      </c>
      <c r="M258" s="301">
        <v>0</v>
      </c>
      <c r="N258" s="301">
        <v>0</v>
      </c>
      <c r="O258" s="301">
        <v>0</v>
      </c>
      <c r="P258" s="298">
        <v>0</v>
      </c>
      <c r="Q258" s="298">
        <v>0</v>
      </c>
      <c r="R258" s="298">
        <v>6.0499999999999998E-3</v>
      </c>
      <c r="S258" s="298">
        <v>0</v>
      </c>
      <c r="T258" s="298">
        <v>0</v>
      </c>
      <c r="U258" s="298">
        <v>0.25750000000000001</v>
      </c>
      <c r="V258" s="298">
        <v>0</v>
      </c>
      <c r="W258" s="298">
        <v>0</v>
      </c>
      <c r="X258" s="298">
        <v>0</v>
      </c>
      <c r="Y258" s="298">
        <v>0.3775</v>
      </c>
      <c r="Z258" s="298">
        <v>0</v>
      </c>
      <c r="AI258" s="313"/>
      <c r="AJ258" s="313"/>
      <c r="AK258" s="313"/>
      <c r="AM258" s="298">
        <v>7.2275788711687994E-2</v>
      </c>
      <c r="AR258" s="315">
        <f t="shared" si="32"/>
        <v>44013</v>
      </c>
      <c r="AV258" s="315">
        <f t="shared" si="34"/>
        <v>44013</v>
      </c>
      <c r="AW258" s="298">
        <v>223</v>
      </c>
    </row>
    <row r="259" spans="2:49" x14ac:dyDescent="0.25">
      <c r="B259" s="303">
        <f t="shared" si="28"/>
        <v>44044</v>
      </c>
      <c r="C259" s="301">
        <v>3.8149999999999999</v>
      </c>
      <c r="E259" s="301">
        <v>7.2950557088253001E-2</v>
      </c>
      <c r="F259" s="301">
        <v>0</v>
      </c>
      <c r="G259" s="301">
        <v>5.9968123999999998E-2</v>
      </c>
      <c r="H259" s="301">
        <v>0</v>
      </c>
      <c r="I259" s="301">
        <v>0</v>
      </c>
      <c r="J259" s="301">
        <v>0.155</v>
      </c>
      <c r="K259" s="301">
        <v>0</v>
      </c>
      <c r="L259" s="301">
        <v>0</v>
      </c>
      <c r="M259" s="301">
        <v>0</v>
      </c>
      <c r="N259" s="301">
        <v>0</v>
      </c>
      <c r="O259" s="301">
        <v>0</v>
      </c>
      <c r="P259" s="298">
        <v>0</v>
      </c>
      <c r="Q259" s="298">
        <v>0</v>
      </c>
      <c r="R259" s="298">
        <v>8.7500000000000008E-3</v>
      </c>
      <c r="S259" s="298">
        <v>0</v>
      </c>
      <c r="T259" s="298">
        <v>0</v>
      </c>
      <c r="U259" s="298">
        <v>0.25750000000000001</v>
      </c>
      <c r="V259" s="298">
        <v>0</v>
      </c>
      <c r="W259" s="298">
        <v>0</v>
      </c>
      <c r="X259" s="298">
        <v>0</v>
      </c>
      <c r="Y259" s="298">
        <v>0.3775</v>
      </c>
      <c r="Z259" s="298">
        <v>0</v>
      </c>
      <c r="AI259" s="313"/>
      <c r="AJ259" s="313"/>
      <c r="AK259" s="313"/>
      <c r="AM259" s="298">
        <v>7.2277283514764007E-2</v>
      </c>
      <c r="AR259" s="315">
        <f t="shared" si="32"/>
        <v>44044</v>
      </c>
      <c r="AV259" s="315">
        <f t="shared" si="34"/>
        <v>44044</v>
      </c>
      <c r="AW259" s="298">
        <v>223</v>
      </c>
    </row>
    <row r="260" spans="2:49" x14ac:dyDescent="0.25">
      <c r="B260" s="303">
        <f t="shared" si="28"/>
        <v>44075</v>
      </c>
      <c r="C260" s="301">
        <v>3.802</v>
      </c>
      <c r="E260" s="301">
        <v>7.2952207455286994E-2</v>
      </c>
      <c r="F260" s="301">
        <v>0</v>
      </c>
      <c r="G260" s="301">
        <v>5.9968123999999998E-2</v>
      </c>
      <c r="H260" s="301">
        <v>0</v>
      </c>
      <c r="I260" s="301">
        <v>0</v>
      </c>
      <c r="J260" s="301">
        <v>0.155</v>
      </c>
      <c r="K260" s="301">
        <v>0</v>
      </c>
      <c r="L260" s="301">
        <v>0</v>
      </c>
      <c r="M260" s="301">
        <v>0</v>
      </c>
      <c r="N260" s="301">
        <v>0</v>
      </c>
      <c r="O260" s="301">
        <v>0</v>
      </c>
      <c r="P260" s="298">
        <v>0</v>
      </c>
      <c r="Q260" s="298">
        <v>0</v>
      </c>
      <c r="R260" s="298">
        <v>8.7500000000000008E-3</v>
      </c>
      <c r="S260" s="298">
        <v>0</v>
      </c>
      <c r="T260" s="298">
        <v>0</v>
      </c>
      <c r="U260" s="298">
        <v>0.2525</v>
      </c>
      <c r="V260" s="298">
        <v>0</v>
      </c>
      <c r="W260" s="298">
        <v>0</v>
      </c>
      <c r="X260" s="298">
        <v>0</v>
      </c>
      <c r="Y260" s="298">
        <v>0.3775</v>
      </c>
      <c r="Z260" s="298">
        <v>0</v>
      </c>
      <c r="AI260" s="313"/>
      <c r="AJ260" s="313"/>
      <c r="AK260" s="313"/>
      <c r="AM260" s="298">
        <v>7.2278778317841005E-2</v>
      </c>
      <c r="AR260" s="315">
        <f t="shared" si="32"/>
        <v>44075</v>
      </c>
      <c r="AV260" s="315">
        <f t="shared" si="34"/>
        <v>44075</v>
      </c>
      <c r="AW260" s="298">
        <v>223</v>
      </c>
    </row>
    <row r="261" spans="2:49" x14ac:dyDescent="0.25">
      <c r="B261" s="303">
        <f t="shared" si="28"/>
        <v>44105</v>
      </c>
      <c r="C261" s="301">
        <v>3.8119999999999998</v>
      </c>
      <c r="E261" s="301">
        <v>7.2953804584675E-2</v>
      </c>
      <c r="F261" s="301">
        <v>0</v>
      </c>
      <c r="G261" s="301">
        <v>5.9968123999999998E-2</v>
      </c>
      <c r="H261" s="301">
        <v>0</v>
      </c>
      <c r="I261" s="301">
        <v>0</v>
      </c>
      <c r="J261" s="301">
        <v>0.1575</v>
      </c>
      <c r="K261" s="301">
        <v>0</v>
      </c>
      <c r="L261" s="301">
        <v>0</v>
      </c>
      <c r="M261" s="301">
        <v>0</v>
      </c>
      <c r="N261" s="301">
        <v>0</v>
      </c>
      <c r="O261" s="301">
        <v>0</v>
      </c>
      <c r="P261" s="298">
        <v>0</v>
      </c>
      <c r="Q261" s="298">
        <v>0</v>
      </c>
      <c r="R261" s="298">
        <v>-1.2E-2</v>
      </c>
      <c r="S261" s="298">
        <v>0</v>
      </c>
      <c r="T261" s="298">
        <v>0</v>
      </c>
      <c r="U261" s="298">
        <v>0.255</v>
      </c>
      <c r="V261" s="298">
        <v>0</v>
      </c>
      <c r="W261" s="298">
        <v>0</v>
      </c>
      <c r="X261" s="298">
        <v>0</v>
      </c>
      <c r="Y261" s="298">
        <v>0.3775</v>
      </c>
      <c r="Z261" s="298">
        <v>0</v>
      </c>
      <c r="AI261" s="313"/>
      <c r="AJ261" s="313"/>
      <c r="AK261" s="313"/>
      <c r="AM261" s="298">
        <v>7.2280224901465004E-2</v>
      </c>
      <c r="AR261" s="315">
        <f t="shared" si="32"/>
        <v>44105</v>
      </c>
      <c r="AV261" s="315">
        <f t="shared" si="34"/>
        <v>44105</v>
      </c>
      <c r="AW261" s="298">
        <v>223</v>
      </c>
    </row>
    <row r="262" spans="2:49" x14ac:dyDescent="0.25">
      <c r="B262" s="303">
        <f t="shared" si="28"/>
        <v>44136</v>
      </c>
      <c r="C262" s="301">
        <v>3.86</v>
      </c>
      <c r="E262" s="301">
        <v>7.2955454951710005E-2</v>
      </c>
      <c r="F262" s="301">
        <v>0</v>
      </c>
      <c r="G262" s="301">
        <v>-1.9988713000000002E-2</v>
      </c>
      <c r="H262" s="301">
        <v>0</v>
      </c>
      <c r="I262" s="301">
        <v>0</v>
      </c>
      <c r="J262" s="301">
        <v>0.24</v>
      </c>
      <c r="K262" s="301">
        <v>0</v>
      </c>
      <c r="L262" s="301">
        <v>0</v>
      </c>
      <c r="M262" s="301">
        <v>0</v>
      </c>
      <c r="N262" s="301">
        <v>0</v>
      </c>
      <c r="O262" s="301">
        <v>0</v>
      </c>
      <c r="P262" s="298">
        <v>0</v>
      </c>
      <c r="Q262" s="298">
        <v>0</v>
      </c>
      <c r="R262" s="298">
        <v>-1.0999999999999999E-2</v>
      </c>
      <c r="S262" s="298">
        <v>0</v>
      </c>
      <c r="T262" s="298">
        <v>0</v>
      </c>
      <c r="U262" s="298">
        <v>0.72499999999999998</v>
      </c>
      <c r="V262" s="298">
        <v>0</v>
      </c>
      <c r="W262" s="298">
        <v>0</v>
      </c>
      <c r="X262" s="298">
        <v>0</v>
      </c>
      <c r="Y262" s="298">
        <v>0.33</v>
      </c>
      <c r="Z262" s="298">
        <v>0</v>
      </c>
      <c r="AI262" s="313"/>
      <c r="AJ262" s="313"/>
      <c r="AK262" s="313"/>
      <c r="AM262" s="298">
        <v>7.2281719704543002E-2</v>
      </c>
      <c r="AR262" s="315">
        <f t="shared" si="32"/>
        <v>44136</v>
      </c>
      <c r="AV262" s="315">
        <f t="shared" si="34"/>
        <v>44136</v>
      </c>
      <c r="AW262" s="298">
        <v>223</v>
      </c>
    </row>
    <row r="263" spans="2:49" x14ac:dyDescent="0.25">
      <c r="B263" s="303">
        <f t="shared" si="28"/>
        <v>44166</v>
      </c>
      <c r="C263" s="301">
        <v>3.9319999999999999</v>
      </c>
      <c r="E263" s="301">
        <v>7.2957052081098997E-2</v>
      </c>
      <c r="F263" s="301">
        <v>0</v>
      </c>
      <c r="G263" s="301">
        <v>-3.4951938000000002E-2</v>
      </c>
      <c r="H263" s="301">
        <v>0</v>
      </c>
      <c r="I263" s="301">
        <v>0</v>
      </c>
      <c r="J263" s="301">
        <v>0.29499999999999998</v>
      </c>
      <c r="K263" s="301">
        <v>0</v>
      </c>
      <c r="L263" s="301">
        <v>0</v>
      </c>
      <c r="M263" s="301">
        <v>0</v>
      </c>
      <c r="N263" s="301">
        <v>0</v>
      </c>
      <c r="O263" s="301">
        <v>0</v>
      </c>
      <c r="P263" s="298">
        <v>0</v>
      </c>
      <c r="Q263" s="298">
        <v>0</v>
      </c>
      <c r="R263" s="298">
        <v>-1.0999999999999999E-2</v>
      </c>
      <c r="S263" s="298">
        <v>0</v>
      </c>
      <c r="T263" s="298">
        <v>0</v>
      </c>
      <c r="U263" s="298">
        <v>1.0449999999999999</v>
      </c>
      <c r="V263" s="298">
        <v>0</v>
      </c>
      <c r="W263" s="298">
        <v>0</v>
      </c>
      <c r="X263" s="298">
        <v>0</v>
      </c>
      <c r="Y263" s="298">
        <v>0.33</v>
      </c>
      <c r="Z263" s="298">
        <v>0</v>
      </c>
      <c r="AI263" s="313"/>
      <c r="AJ263" s="313"/>
      <c r="AK263" s="313"/>
      <c r="AM263" s="298">
        <v>7.2283166288168998E-2</v>
      </c>
      <c r="AR263" s="315">
        <f t="shared" si="32"/>
        <v>44166</v>
      </c>
      <c r="AV263" s="315">
        <f t="shared" si="34"/>
        <v>44166</v>
      </c>
      <c r="AW263" s="298">
        <v>223</v>
      </c>
    </row>
    <row r="264" spans="2:49" x14ac:dyDescent="0.25">
      <c r="B264" s="303">
        <f t="shared" si="28"/>
        <v>44197</v>
      </c>
      <c r="C264" s="301">
        <v>3.9624999999999999</v>
      </c>
      <c r="E264" s="301">
        <v>7.2958702448137E-2</v>
      </c>
      <c r="F264" s="301">
        <v>0</v>
      </c>
      <c r="G264" s="301">
        <v>-2.9955183999999999E-2</v>
      </c>
      <c r="H264" s="301">
        <v>0</v>
      </c>
      <c r="I264" s="301">
        <v>0</v>
      </c>
      <c r="J264" s="301">
        <v>0.34250000000000003</v>
      </c>
      <c r="K264" s="301">
        <v>0</v>
      </c>
      <c r="L264" s="301">
        <v>0</v>
      </c>
      <c r="M264" s="301">
        <v>0</v>
      </c>
      <c r="N264" s="301">
        <v>0</v>
      </c>
      <c r="O264" s="301">
        <v>0</v>
      </c>
      <c r="P264" s="298">
        <v>0</v>
      </c>
      <c r="Q264" s="298">
        <v>0</v>
      </c>
      <c r="R264" s="298">
        <v>-1.0999999999999999E-2</v>
      </c>
      <c r="S264" s="298">
        <v>0</v>
      </c>
      <c r="T264" s="298">
        <v>0</v>
      </c>
      <c r="U264" s="298">
        <v>1.52</v>
      </c>
      <c r="V264" s="298">
        <v>0</v>
      </c>
      <c r="W264" s="298">
        <v>0</v>
      </c>
      <c r="X264" s="298">
        <v>0</v>
      </c>
      <c r="Y264" s="298">
        <v>0.33</v>
      </c>
      <c r="Z264" s="298">
        <v>0</v>
      </c>
      <c r="AI264" s="313"/>
      <c r="AJ264" s="313"/>
      <c r="AK264" s="313"/>
      <c r="AM264" s="298">
        <v>7.2284661091248995E-2</v>
      </c>
      <c r="AR264" s="315">
        <f t="shared" si="32"/>
        <v>44197</v>
      </c>
      <c r="AV264" s="315">
        <f t="shared" si="34"/>
        <v>44197</v>
      </c>
      <c r="AW264" s="298">
        <v>223</v>
      </c>
    </row>
    <row r="265" spans="2:49" x14ac:dyDescent="0.25">
      <c r="B265" s="303">
        <f t="shared" si="28"/>
        <v>44228</v>
      </c>
      <c r="C265" s="301">
        <v>3.9215</v>
      </c>
      <c r="E265" s="301">
        <v>7.2960352815174004E-2</v>
      </c>
      <c r="F265" s="301">
        <v>0</v>
      </c>
      <c r="G265" s="301">
        <v>-4.9574229999999999E-3</v>
      </c>
      <c r="H265" s="301">
        <v>0</v>
      </c>
      <c r="I265" s="301">
        <v>0</v>
      </c>
      <c r="J265" s="301">
        <v>0.33750000000000002</v>
      </c>
      <c r="K265" s="301">
        <v>0</v>
      </c>
      <c r="L265" s="301">
        <v>0</v>
      </c>
      <c r="M265" s="301">
        <v>0</v>
      </c>
      <c r="N265" s="301">
        <v>0</v>
      </c>
      <c r="O265" s="301">
        <v>0</v>
      </c>
      <c r="P265" s="298">
        <v>0</v>
      </c>
      <c r="Q265" s="298">
        <v>0</v>
      </c>
      <c r="R265" s="298">
        <v>-1.0999999999999999E-2</v>
      </c>
      <c r="S265" s="298">
        <v>0</v>
      </c>
      <c r="T265" s="298">
        <v>0</v>
      </c>
      <c r="U265" s="298">
        <v>1.4</v>
      </c>
      <c r="V265" s="298">
        <v>0</v>
      </c>
      <c r="W265" s="298">
        <v>0</v>
      </c>
      <c r="X265" s="298">
        <v>0</v>
      </c>
      <c r="Y265" s="298">
        <v>0.33</v>
      </c>
      <c r="Z265" s="298">
        <v>0</v>
      </c>
      <c r="AI265" s="313"/>
      <c r="AJ265" s="313"/>
      <c r="AK265" s="313"/>
      <c r="AM265" s="298">
        <v>7.2286155894329004E-2</v>
      </c>
      <c r="AR265" s="315">
        <f t="shared" si="32"/>
        <v>44228</v>
      </c>
      <c r="AV265" s="315">
        <f t="shared" si="34"/>
        <v>44228</v>
      </c>
      <c r="AW265" s="298">
        <v>223</v>
      </c>
    </row>
    <row r="266" spans="2:49" x14ac:dyDescent="0.25">
      <c r="B266" s="303">
        <f t="shared" si="28"/>
        <v>44256</v>
      </c>
      <c r="C266" s="301">
        <v>3.8605</v>
      </c>
      <c r="E266" s="301">
        <v>7.2961843469272994E-2</v>
      </c>
      <c r="F266" s="301">
        <v>0</v>
      </c>
      <c r="G266" s="301">
        <v>5.0425770000000003E-3</v>
      </c>
      <c r="H266" s="301">
        <v>0</v>
      </c>
      <c r="I266" s="301">
        <v>0</v>
      </c>
      <c r="J266" s="301">
        <v>0.26</v>
      </c>
      <c r="K266" s="301">
        <v>0</v>
      </c>
      <c r="L266" s="301">
        <v>0</v>
      </c>
      <c r="M266" s="301">
        <v>0</v>
      </c>
      <c r="N266" s="301">
        <v>0</v>
      </c>
      <c r="O266" s="301">
        <v>0</v>
      </c>
      <c r="P266" s="298">
        <v>0</v>
      </c>
      <c r="Q266" s="298">
        <v>0</v>
      </c>
      <c r="R266" s="298">
        <v>7.3000000000000001E-3</v>
      </c>
      <c r="S266" s="298">
        <v>0</v>
      </c>
      <c r="T266" s="298">
        <v>0</v>
      </c>
      <c r="U266" s="298">
        <v>0.88</v>
      </c>
      <c r="V266" s="298">
        <v>0</v>
      </c>
      <c r="W266" s="298">
        <v>0</v>
      </c>
      <c r="X266" s="298">
        <v>0</v>
      </c>
      <c r="Y266" s="298">
        <v>0.33</v>
      </c>
      <c r="Z266" s="298">
        <v>0</v>
      </c>
      <c r="AI266" s="313"/>
      <c r="AJ266" s="313"/>
      <c r="AK266" s="313"/>
      <c r="AM266" s="298">
        <v>7.2287506039048002E-2</v>
      </c>
      <c r="AR266" s="315">
        <f t="shared" si="32"/>
        <v>44256</v>
      </c>
      <c r="AV266" s="315">
        <f t="shared" si="34"/>
        <v>44256</v>
      </c>
      <c r="AW266" s="298">
        <v>223</v>
      </c>
    </row>
    <row r="267" spans="2:49" x14ac:dyDescent="0.25">
      <c r="B267" s="303">
        <f t="shared" si="28"/>
        <v>44287</v>
      </c>
      <c r="C267" s="301">
        <v>3.8144999999999998</v>
      </c>
      <c r="E267" s="301">
        <v>7.2963493836312995E-2</v>
      </c>
      <c r="F267" s="301">
        <v>0</v>
      </c>
      <c r="G267" s="301">
        <v>6.4976639000000003E-2</v>
      </c>
      <c r="H267" s="301">
        <v>0</v>
      </c>
      <c r="I267" s="301">
        <v>0</v>
      </c>
      <c r="J267" s="301">
        <v>0.17</v>
      </c>
      <c r="K267" s="301">
        <v>0</v>
      </c>
      <c r="L267" s="301">
        <v>0</v>
      </c>
      <c r="M267" s="301">
        <v>0</v>
      </c>
      <c r="N267" s="301">
        <v>0</v>
      </c>
      <c r="O267" s="301">
        <v>0</v>
      </c>
      <c r="P267" s="298">
        <v>0</v>
      </c>
      <c r="Q267" s="298">
        <v>0</v>
      </c>
      <c r="R267" s="298">
        <v>7.3000000000000001E-3</v>
      </c>
      <c r="S267" s="298">
        <v>0</v>
      </c>
      <c r="T267" s="298">
        <v>0</v>
      </c>
      <c r="U267" s="298">
        <v>0.37</v>
      </c>
      <c r="V267" s="298">
        <v>0</v>
      </c>
      <c r="W267" s="298">
        <v>0</v>
      </c>
      <c r="X267" s="298">
        <v>0</v>
      </c>
      <c r="Y267" s="298">
        <v>0.33</v>
      </c>
      <c r="Z267" s="298">
        <v>0</v>
      </c>
      <c r="AI267" s="313"/>
      <c r="AJ267" s="313"/>
      <c r="AK267" s="313"/>
      <c r="AM267" s="298">
        <v>7.2289000842129997E-2</v>
      </c>
      <c r="AR267" s="315">
        <f t="shared" si="32"/>
        <v>44287</v>
      </c>
      <c r="AV267" s="315">
        <f t="shared" si="34"/>
        <v>44287</v>
      </c>
      <c r="AW267" s="298">
        <v>223</v>
      </c>
    </row>
    <row r="268" spans="2:49" x14ac:dyDescent="0.25">
      <c r="B268" s="303">
        <f t="shared" si="28"/>
        <v>44317</v>
      </c>
      <c r="C268" s="301">
        <v>3.8635000000000002</v>
      </c>
      <c r="E268" s="301">
        <v>7.2965090965706997E-2</v>
      </c>
      <c r="F268" s="301">
        <v>0</v>
      </c>
      <c r="G268" s="301">
        <v>6.4968124000000002E-2</v>
      </c>
      <c r="H268" s="301">
        <v>0</v>
      </c>
      <c r="I268" s="301">
        <v>0</v>
      </c>
      <c r="J268" s="301">
        <v>0.155</v>
      </c>
      <c r="K268" s="301">
        <v>0</v>
      </c>
      <c r="L268" s="301">
        <v>0</v>
      </c>
      <c r="M268" s="301">
        <v>0</v>
      </c>
      <c r="N268" s="301">
        <v>0</v>
      </c>
      <c r="O268" s="301">
        <v>0</v>
      </c>
      <c r="P268" s="298">
        <v>0</v>
      </c>
      <c r="Q268" s="298">
        <v>0</v>
      </c>
      <c r="R268" s="298">
        <v>7.0499999999999998E-3</v>
      </c>
      <c r="S268" s="298">
        <v>0</v>
      </c>
      <c r="T268" s="298">
        <v>0</v>
      </c>
      <c r="U268" s="298">
        <v>0.2525</v>
      </c>
      <c r="V268" s="298">
        <v>0</v>
      </c>
      <c r="W268" s="298">
        <v>0</v>
      </c>
      <c r="X268" s="298">
        <v>0</v>
      </c>
      <c r="Y268" s="298">
        <v>0.33</v>
      </c>
      <c r="Z268" s="298">
        <v>0</v>
      </c>
      <c r="AI268" s="313"/>
      <c r="AJ268" s="313"/>
      <c r="AK268" s="313"/>
      <c r="AM268" s="298">
        <v>7.2290447425758006E-2</v>
      </c>
      <c r="AR268" s="315">
        <f t="shared" si="32"/>
        <v>44317</v>
      </c>
      <c r="AV268" s="315">
        <f t="shared" si="34"/>
        <v>44317</v>
      </c>
      <c r="AW268" s="298">
        <v>223</v>
      </c>
    </row>
    <row r="269" spans="2:49" x14ac:dyDescent="0.25">
      <c r="B269" s="303">
        <f t="shared" si="28"/>
        <v>44348</v>
      </c>
      <c r="C269" s="301">
        <v>3.8835000000000002</v>
      </c>
      <c r="E269" s="301">
        <v>7.2966741332747997E-2</v>
      </c>
      <c r="F269" s="301">
        <v>0</v>
      </c>
      <c r="G269" s="301">
        <v>6.4968124000000002E-2</v>
      </c>
      <c r="H269" s="301">
        <v>0</v>
      </c>
      <c r="I269" s="301">
        <v>0</v>
      </c>
      <c r="J269" s="301">
        <v>0.155</v>
      </c>
      <c r="K269" s="301">
        <v>0</v>
      </c>
      <c r="L269" s="301">
        <v>0</v>
      </c>
      <c r="M269" s="301">
        <v>0</v>
      </c>
      <c r="N269" s="301">
        <v>0</v>
      </c>
      <c r="O269" s="301">
        <v>0</v>
      </c>
      <c r="P269" s="298">
        <v>0</v>
      </c>
      <c r="Q269" s="298">
        <v>0</v>
      </c>
      <c r="R269" s="298">
        <v>7.0499999999999998E-3</v>
      </c>
      <c r="S269" s="298">
        <v>0</v>
      </c>
      <c r="T269" s="298">
        <v>0</v>
      </c>
      <c r="U269" s="298">
        <v>0.2525</v>
      </c>
      <c r="V269" s="298">
        <v>0</v>
      </c>
      <c r="W269" s="298">
        <v>0</v>
      </c>
      <c r="X269" s="298">
        <v>0</v>
      </c>
      <c r="Y269" s="298">
        <v>0.33</v>
      </c>
      <c r="Z269" s="298">
        <v>0</v>
      </c>
      <c r="AI269" s="313"/>
      <c r="AJ269" s="313"/>
      <c r="AK269" s="313"/>
      <c r="AM269" s="298">
        <v>7.2291942228841999E-2</v>
      </c>
      <c r="AR269" s="315">
        <f t="shared" si="32"/>
        <v>44348</v>
      </c>
      <c r="AV269" s="315">
        <f t="shared" si="34"/>
        <v>44348</v>
      </c>
      <c r="AW269" s="298">
        <v>223</v>
      </c>
    </row>
    <row r="270" spans="2:49" x14ac:dyDescent="0.25">
      <c r="B270" s="303">
        <f t="shared" si="28"/>
        <v>44378</v>
      </c>
      <c r="C270" s="301">
        <v>3.8835000000000002</v>
      </c>
      <c r="E270" s="301">
        <v>7.2968338462143997E-2</v>
      </c>
      <c r="F270" s="301">
        <v>0</v>
      </c>
      <c r="G270" s="301">
        <v>6.4968124000000002E-2</v>
      </c>
      <c r="H270" s="301">
        <v>0</v>
      </c>
      <c r="I270" s="301">
        <v>0</v>
      </c>
      <c r="J270" s="301">
        <v>0.155</v>
      </c>
      <c r="K270" s="301">
        <v>0</v>
      </c>
      <c r="L270" s="301">
        <v>0</v>
      </c>
      <c r="M270" s="301">
        <v>0</v>
      </c>
      <c r="N270" s="301">
        <v>0</v>
      </c>
      <c r="O270" s="301">
        <v>0</v>
      </c>
      <c r="P270" s="298">
        <v>0</v>
      </c>
      <c r="Q270" s="298">
        <v>0</v>
      </c>
      <c r="R270" s="298">
        <v>7.0499999999999998E-3</v>
      </c>
      <c r="S270" s="298">
        <v>0</v>
      </c>
      <c r="T270" s="298">
        <v>0</v>
      </c>
      <c r="U270" s="298">
        <v>0.25750000000000001</v>
      </c>
      <c r="V270" s="298">
        <v>0</v>
      </c>
      <c r="W270" s="298">
        <v>0</v>
      </c>
      <c r="X270" s="298">
        <v>0</v>
      </c>
      <c r="Y270" s="298">
        <v>0.33</v>
      </c>
      <c r="Z270" s="298">
        <v>0</v>
      </c>
      <c r="AI270" s="313"/>
      <c r="AJ270" s="313"/>
      <c r="AK270" s="313"/>
      <c r="AM270" s="298">
        <v>7.2293388812472006E-2</v>
      </c>
      <c r="AR270" s="315">
        <f t="shared" si="32"/>
        <v>44378</v>
      </c>
      <c r="AV270" s="315">
        <f t="shared" si="34"/>
        <v>44378</v>
      </c>
      <c r="AW270" s="298">
        <v>223</v>
      </c>
    </row>
    <row r="271" spans="2:49" x14ac:dyDescent="0.25">
      <c r="B271" s="303">
        <f t="shared" si="28"/>
        <v>44409</v>
      </c>
      <c r="C271" s="301">
        <v>3.8864999999999998</v>
      </c>
      <c r="E271" s="301">
        <v>7.2969988829186996E-2</v>
      </c>
      <c r="F271" s="301">
        <v>0</v>
      </c>
      <c r="G271" s="301">
        <v>6.4968124000000002E-2</v>
      </c>
      <c r="H271" s="301">
        <v>0</v>
      </c>
      <c r="I271" s="301">
        <v>0</v>
      </c>
      <c r="J271" s="301">
        <v>0.155</v>
      </c>
      <c r="K271" s="301">
        <v>0</v>
      </c>
      <c r="L271" s="301">
        <v>0</v>
      </c>
      <c r="M271" s="301">
        <v>0</v>
      </c>
      <c r="N271" s="301">
        <v>0</v>
      </c>
      <c r="O271" s="301">
        <v>0</v>
      </c>
      <c r="P271" s="298">
        <v>0</v>
      </c>
      <c r="Q271" s="298">
        <v>0</v>
      </c>
      <c r="R271" s="298">
        <v>9.75E-3</v>
      </c>
      <c r="S271" s="298">
        <v>0</v>
      </c>
      <c r="T271" s="298">
        <v>0</v>
      </c>
      <c r="U271" s="298">
        <v>0.25750000000000001</v>
      </c>
      <c r="V271" s="298">
        <v>0</v>
      </c>
      <c r="W271" s="298">
        <v>0</v>
      </c>
      <c r="X271" s="298">
        <v>0</v>
      </c>
      <c r="Y271" s="298">
        <v>0.33</v>
      </c>
      <c r="Z271" s="298">
        <v>0</v>
      </c>
      <c r="AI271" s="313"/>
      <c r="AJ271" s="313"/>
      <c r="AK271" s="313"/>
      <c r="AM271" s="298">
        <v>7.2294883615556998E-2</v>
      </c>
      <c r="AR271" s="315">
        <f t="shared" si="32"/>
        <v>44409</v>
      </c>
      <c r="AV271" s="315">
        <f t="shared" si="34"/>
        <v>44409</v>
      </c>
      <c r="AW271" s="298">
        <v>223</v>
      </c>
    </row>
    <row r="272" spans="2:49" x14ac:dyDescent="0.25">
      <c r="B272" s="303">
        <f t="shared" si="28"/>
        <v>44440</v>
      </c>
      <c r="C272" s="301">
        <v>3.8725000000000001</v>
      </c>
      <c r="E272" s="301">
        <v>7.2971639196229995E-2</v>
      </c>
      <c r="F272" s="301">
        <v>0</v>
      </c>
      <c r="G272" s="301">
        <v>6.4968124000000002E-2</v>
      </c>
      <c r="H272" s="301">
        <v>0</v>
      </c>
      <c r="I272" s="301">
        <v>0</v>
      </c>
      <c r="J272" s="301">
        <v>0.155</v>
      </c>
      <c r="K272" s="301">
        <v>0</v>
      </c>
      <c r="L272" s="301">
        <v>0</v>
      </c>
      <c r="M272" s="301">
        <v>0</v>
      </c>
      <c r="N272" s="301">
        <v>0</v>
      </c>
      <c r="O272" s="301">
        <v>0</v>
      </c>
      <c r="P272" s="298">
        <v>0</v>
      </c>
      <c r="Q272" s="298">
        <v>0</v>
      </c>
      <c r="R272" s="298">
        <v>9.75E-3</v>
      </c>
      <c r="S272" s="298">
        <v>0</v>
      </c>
      <c r="T272" s="298">
        <v>0</v>
      </c>
      <c r="U272" s="298">
        <v>0.2525</v>
      </c>
      <c r="V272" s="298">
        <v>0</v>
      </c>
      <c r="W272" s="298">
        <v>0</v>
      </c>
      <c r="X272" s="298">
        <v>0</v>
      </c>
      <c r="Y272" s="298">
        <v>0.33</v>
      </c>
      <c r="Z272" s="298">
        <v>0</v>
      </c>
      <c r="AI272" s="313"/>
      <c r="AJ272" s="313"/>
      <c r="AK272" s="313"/>
      <c r="AM272" s="298">
        <v>7.2296378418643004E-2</v>
      </c>
      <c r="AR272" s="315">
        <f t="shared" si="32"/>
        <v>44440</v>
      </c>
      <c r="AV272" s="315">
        <f t="shared" si="34"/>
        <v>44440</v>
      </c>
      <c r="AW272" s="298">
        <v>223</v>
      </c>
    </row>
    <row r="273" spans="2:39" x14ac:dyDescent="0.25">
      <c r="B273" s="303">
        <f t="shared" ref="B273:B311" si="35">EOMONTH(B272,0)+1</f>
        <v>44470</v>
      </c>
      <c r="C273" s="301">
        <v>3.8815</v>
      </c>
      <c r="E273" s="301">
        <v>7.2973236325629007E-2</v>
      </c>
      <c r="F273" s="301">
        <v>0</v>
      </c>
      <c r="G273" s="301">
        <v>6.4968124000000002E-2</v>
      </c>
      <c r="H273" s="301">
        <v>0</v>
      </c>
      <c r="I273" s="301">
        <v>0</v>
      </c>
      <c r="J273" s="301">
        <v>0.1575</v>
      </c>
      <c r="K273" s="301">
        <v>0</v>
      </c>
      <c r="L273" s="301">
        <v>0</v>
      </c>
      <c r="M273" s="301">
        <v>0</v>
      </c>
      <c r="N273" s="301">
        <v>0</v>
      </c>
      <c r="O273" s="301">
        <v>0</v>
      </c>
      <c r="P273" s="298">
        <v>0</v>
      </c>
      <c r="Q273" s="298">
        <v>0</v>
      </c>
      <c r="R273" s="298">
        <v>-1.0999999999999999E-2</v>
      </c>
      <c r="S273" s="298">
        <v>0</v>
      </c>
      <c r="T273" s="298">
        <v>0</v>
      </c>
      <c r="U273" s="298">
        <v>0.255</v>
      </c>
      <c r="V273" s="298">
        <v>0</v>
      </c>
      <c r="W273" s="298">
        <v>0</v>
      </c>
      <c r="X273" s="298">
        <v>0</v>
      </c>
      <c r="Y273" s="298">
        <v>0.33</v>
      </c>
      <c r="Z273" s="298">
        <v>0</v>
      </c>
      <c r="AI273" s="313"/>
      <c r="AJ273" s="313"/>
      <c r="AK273" s="313"/>
      <c r="AM273" s="298">
        <v>7.2297825002274996E-2</v>
      </c>
    </row>
    <row r="274" spans="2:39" x14ac:dyDescent="0.25">
      <c r="B274" s="303">
        <f t="shared" si="35"/>
        <v>44501</v>
      </c>
      <c r="C274" s="301">
        <v>3.9245000000000001</v>
      </c>
      <c r="E274" s="301">
        <v>7.2974886692675003E-2</v>
      </c>
      <c r="F274" s="301">
        <v>0</v>
      </c>
      <c r="G274" s="301">
        <v>-1.4988713000000001E-2</v>
      </c>
      <c r="H274" s="301">
        <v>0</v>
      </c>
      <c r="I274" s="301">
        <v>0</v>
      </c>
      <c r="J274" s="301">
        <v>0.24</v>
      </c>
      <c r="K274" s="301">
        <v>0</v>
      </c>
      <c r="L274" s="301">
        <v>0</v>
      </c>
      <c r="M274" s="301">
        <v>0</v>
      </c>
      <c r="N274" s="301">
        <v>0</v>
      </c>
      <c r="O274" s="301">
        <v>0</v>
      </c>
      <c r="P274" s="298">
        <v>0</v>
      </c>
      <c r="Q274" s="298">
        <v>0</v>
      </c>
      <c r="R274" s="298">
        <v>-0.01</v>
      </c>
      <c r="S274" s="298">
        <v>0</v>
      </c>
      <c r="T274" s="298">
        <v>0</v>
      </c>
      <c r="U274" s="298">
        <v>0.72499999999999998</v>
      </c>
      <c r="V274" s="298">
        <v>0</v>
      </c>
      <c r="W274" s="298">
        <v>0</v>
      </c>
      <c r="X274" s="298">
        <v>0</v>
      </c>
      <c r="Y274" s="298">
        <v>0</v>
      </c>
      <c r="Z274" s="298">
        <v>0</v>
      </c>
      <c r="AI274" s="313"/>
      <c r="AJ274" s="313"/>
      <c r="AK274" s="313"/>
      <c r="AM274" s="298">
        <v>7.2299319805362E-2</v>
      </c>
    </row>
    <row r="275" spans="2:39" x14ac:dyDescent="0.25">
      <c r="B275" s="303">
        <f t="shared" si="35"/>
        <v>44531</v>
      </c>
      <c r="C275" s="301">
        <v>3.9935</v>
      </c>
      <c r="E275" s="301">
        <v>7.2976483822075E-2</v>
      </c>
      <c r="F275" s="301">
        <v>0</v>
      </c>
      <c r="G275" s="301">
        <v>-2.9951938000000001E-2</v>
      </c>
      <c r="H275" s="301">
        <v>0</v>
      </c>
      <c r="I275" s="301">
        <v>0</v>
      </c>
      <c r="J275" s="301">
        <v>0.29499999999999998</v>
      </c>
      <c r="K275" s="301">
        <v>0</v>
      </c>
      <c r="L275" s="301">
        <v>0</v>
      </c>
      <c r="M275" s="301">
        <v>0</v>
      </c>
      <c r="N275" s="301">
        <v>0</v>
      </c>
      <c r="O275" s="301">
        <v>0</v>
      </c>
      <c r="P275" s="298">
        <v>0</v>
      </c>
      <c r="Q275" s="298">
        <v>0</v>
      </c>
      <c r="R275" s="298">
        <v>-0.01</v>
      </c>
      <c r="S275" s="298">
        <v>0</v>
      </c>
      <c r="T275" s="298">
        <v>0</v>
      </c>
      <c r="U275" s="298">
        <v>1.0449999999999999</v>
      </c>
      <c r="V275" s="298">
        <v>0</v>
      </c>
      <c r="W275" s="298">
        <v>0</v>
      </c>
      <c r="X275" s="298">
        <v>0</v>
      </c>
      <c r="Y275" s="298">
        <v>0</v>
      </c>
      <c r="Z275" s="298">
        <v>0</v>
      </c>
      <c r="AI275" s="313"/>
      <c r="AJ275" s="313"/>
      <c r="AK275" s="313"/>
      <c r="AM275" s="298">
        <v>7.2300766389000001E-2</v>
      </c>
    </row>
    <row r="276" spans="2:39" x14ac:dyDescent="0.25">
      <c r="B276" s="303">
        <f t="shared" si="35"/>
        <v>44562</v>
      </c>
      <c r="C276" s="301">
        <v>4.0220000000000002</v>
      </c>
      <c r="E276" s="301">
        <v>7.2978134189121996E-2</v>
      </c>
      <c r="F276" s="301">
        <v>0</v>
      </c>
      <c r="G276" s="301">
        <v>-2.4955183999999998E-2</v>
      </c>
      <c r="H276" s="301">
        <v>0</v>
      </c>
      <c r="I276" s="301">
        <v>0</v>
      </c>
      <c r="J276" s="301">
        <v>0.34250000000000003</v>
      </c>
      <c r="K276" s="301">
        <v>0</v>
      </c>
      <c r="L276" s="301">
        <v>0</v>
      </c>
      <c r="M276" s="301">
        <v>0</v>
      </c>
      <c r="N276" s="301">
        <v>0</v>
      </c>
      <c r="O276" s="301">
        <v>0</v>
      </c>
      <c r="P276" s="298">
        <v>0</v>
      </c>
      <c r="Q276" s="298">
        <v>0</v>
      </c>
      <c r="R276" s="298">
        <v>0</v>
      </c>
      <c r="S276" s="298">
        <v>0</v>
      </c>
      <c r="T276" s="298">
        <v>0</v>
      </c>
      <c r="U276" s="298">
        <v>1.52</v>
      </c>
      <c r="V276" s="298">
        <v>0</v>
      </c>
      <c r="W276" s="298">
        <v>0</v>
      </c>
      <c r="X276" s="298">
        <v>0</v>
      </c>
      <c r="Y276" s="298">
        <v>0</v>
      </c>
      <c r="Z276" s="298">
        <v>0</v>
      </c>
      <c r="AI276" s="313"/>
      <c r="AJ276" s="313"/>
      <c r="AK276" s="313"/>
      <c r="AM276" s="298">
        <v>7.2302261192083994E-2</v>
      </c>
    </row>
    <row r="277" spans="2:39" x14ac:dyDescent="0.25">
      <c r="B277" s="303">
        <f t="shared" si="35"/>
        <v>44593</v>
      </c>
      <c r="C277" s="301">
        <v>3.9849999999999999</v>
      </c>
      <c r="E277" s="301">
        <v>7.2979784556170005E-2</v>
      </c>
      <c r="F277" s="301">
        <v>0</v>
      </c>
      <c r="G277" s="301">
        <v>4.2577000000000002E-5</v>
      </c>
      <c r="H277" s="301">
        <v>0</v>
      </c>
      <c r="I277" s="301">
        <v>0</v>
      </c>
      <c r="J277" s="301">
        <v>0.33750000000000002</v>
      </c>
      <c r="K277" s="301">
        <v>0</v>
      </c>
      <c r="L277" s="301">
        <v>0</v>
      </c>
      <c r="M277" s="301">
        <v>0</v>
      </c>
      <c r="N277" s="301">
        <v>0</v>
      </c>
      <c r="O277" s="301">
        <v>0</v>
      </c>
      <c r="P277" s="298">
        <v>0</v>
      </c>
      <c r="Q277" s="298">
        <v>0</v>
      </c>
      <c r="R277" s="298">
        <v>0</v>
      </c>
      <c r="S277" s="298">
        <v>0</v>
      </c>
      <c r="T277" s="298">
        <v>0</v>
      </c>
      <c r="U277" s="298">
        <v>1.4</v>
      </c>
      <c r="V277" s="298">
        <v>0</v>
      </c>
      <c r="W277" s="298">
        <v>0</v>
      </c>
      <c r="X277" s="298">
        <v>0</v>
      </c>
      <c r="Y277" s="298">
        <v>0</v>
      </c>
      <c r="Z277" s="298">
        <v>0</v>
      </c>
      <c r="AI277" s="313"/>
      <c r="AJ277" s="313"/>
      <c r="AK277" s="313"/>
      <c r="AM277" s="298">
        <v>7.2303755995173996E-2</v>
      </c>
    </row>
    <row r="278" spans="2:39" x14ac:dyDescent="0.25">
      <c r="B278" s="303">
        <f t="shared" si="35"/>
        <v>44621</v>
      </c>
      <c r="C278" s="301">
        <v>3.927</v>
      </c>
      <c r="E278" s="301">
        <v>7.2981275210279001E-2</v>
      </c>
      <c r="F278" s="301">
        <v>0</v>
      </c>
      <c r="G278" s="301">
        <v>1.0042577E-2</v>
      </c>
      <c r="H278" s="301">
        <v>0</v>
      </c>
      <c r="I278" s="301">
        <v>0</v>
      </c>
      <c r="J278" s="301">
        <v>0.26</v>
      </c>
      <c r="K278" s="301">
        <v>0</v>
      </c>
      <c r="L278" s="301">
        <v>0</v>
      </c>
      <c r="M278" s="301">
        <v>0</v>
      </c>
      <c r="N278" s="301">
        <v>0</v>
      </c>
      <c r="O278" s="301">
        <v>0</v>
      </c>
      <c r="P278" s="298">
        <v>0</v>
      </c>
      <c r="Q278" s="298">
        <v>0</v>
      </c>
      <c r="R278" s="298">
        <v>0</v>
      </c>
      <c r="S278" s="298">
        <v>0</v>
      </c>
      <c r="T278" s="298">
        <v>0</v>
      </c>
      <c r="U278" s="298">
        <v>0.88</v>
      </c>
      <c r="V278" s="298">
        <v>0</v>
      </c>
      <c r="W278" s="298">
        <v>0</v>
      </c>
      <c r="X278" s="298">
        <v>0</v>
      </c>
      <c r="Y278" s="298">
        <v>0</v>
      </c>
      <c r="Z278" s="298">
        <v>0</v>
      </c>
      <c r="AI278" s="313"/>
      <c r="AJ278" s="313"/>
      <c r="AK278" s="313"/>
      <c r="AM278" s="298">
        <v>7.2305106139901001E-2</v>
      </c>
    </row>
    <row r="279" spans="2:39" x14ac:dyDescent="0.25">
      <c r="B279" s="303">
        <f t="shared" si="35"/>
        <v>44652</v>
      </c>
      <c r="C279" s="301">
        <v>3.8839999999999999</v>
      </c>
      <c r="E279" s="301">
        <v>7.2982925577328994E-2</v>
      </c>
      <c r="F279" s="301">
        <v>0</v>
      </c>
      <c r="G279" s="301">
        <v>6.9976638999999993E-2</v>
      </c>
      <c r="H279" s="301">
        <v>0</v>
      </c>
      <c r="I279" s="301">
        <v>0</v>
      </c>
      <c r="J279" s="301">
        <v>0.17</v>
      </c>
      <c r="K279" s="301">
        <v>0</v>
      </c>
      <c r="L279" s="301">
        <v>0</v>
      </c>
      <c r="M279" s="301">
        <v>0</v>
      </c>
      <c r="N279" s="301">
        <v>0</v>
      </c>
      <c r="O279" s="301">
        <v>0</v>
      </c>
      <c r="P279" s="298">
        <v>0</v>
      </c>
      <c r="Q279" s="298">
        <v>0</v>
      </c>
      <c r="R279" s="298">
        <v>0</v>
      </c>
      <c r="S279" s="298">
        <v>0</v>
      </c>
      <c r="T279" s="298">
        <v>0</v>
      </c>
      <c r="U279" s="298">
        <v>0.37</v>
      </c>
      <c r="V279" s="298">
        <v>0</v>
      </c>
      <c r="W279" s="298">
        <v>0</v>
      </c>
      <c r="X279" s="298">
        <v>0</v>
      </c>
      <c r="Y279" s="298">
        <v>0</v>
      </c>
      <c r="Z279" s="298">
        <v>0</v>
      </c>
      <c r="AI279" s="313"/>
      <c r="AJ279" s="313"/>
      <c r="AK279" s="313"/>
      <c r="AM279" s="298">
        <v>7.2306600942999996E-2</v>
      </c>
    </row>
    <row r="280" spans="2:39" x14ac:dyDescent="0.25">
      <c r="B280" s="303">
        <f t="shared" si="35"/>
        <v>44682</v>
      </c>
      <c r="C280" s="301">
        <v>3.9340000000000002</v>
      </c>
      <c r="E280" s="301">
        <v>7.2984522706734001E-2</v>
      </c>
      <c r="F280" s="301">
        <v>0</v>
      </c>
      <c r="G280" s="301">
        <v>6.9968124000000007E-2</v>
      </c>
      <c r="H280" s="301">
        <v>0</v>
      </c>
      <c r="I280" s="301">
        <v>0</v>
      </c>
      <c r="J280" s="301">
        <v>0.155</v>
      </c>
      <c r="K280" s="301">
        <v>0</v>
      </c>
      <c r="L280" s="301">
        <v>0</v>
      </c>
      <c r="M280" s="301">
        <v>0</v>
      </c>
      <c r="N280" s="301">
        <v>0</v>
      </c>
      <c r="O280" s="301">
        <v>0</v>
      </c>
      <c r="P280" s="298">
        <v>0</v>
      </c>
      <c r="Q280" s="298">
        <v>0</v>
      </c>
      <c r="R280" s="298">
        <v>0</v>
      </c>
      <c r="S280" s="298">
        <v>0</v>
      </c>
      <c r="T280" s="298">
        <v>0</v>
      </c>
      <c r="U280" s="298">
        <v>0.2525</v>
      </c>
      <c r="V280" s="298">
        <v>0</v>
      </c>
      <c r="W280" s="298">
        <v>0</v>
      </c>
      <c r="X280" s="298">
        <v>0</v>
      </c>
      <c r="Y280" s="298">
        <v>0</v>
      </c>
      <c r="Z280" s="298">
        <v>0</v>
      </c>
      <c r="AI280" s="313"/>
      <c r="AJ280" s="313"/>
      <c r="AK280" s="313"/>
      <c r="AM280" s="298">
        <v>7.2308047526629005E-2</v>
      </c>
    </row>
    <row r="281" spans="2:39" x14ac:dyDescent="0.25">
      <c r="B281" s="303">
        <f t="shared" si="35"/>
        <v>44713</v>
      </c>
      <c r="C281" s="301">
        <v>3.9550000000000001</v>
      </c>
      <c r="E281" s="301">
        <v>7.2986173073786006E-2</v>
      </c>
      <c r="F281" s="301">
        <v>0</v>
      </c>
      <c r="G281" s="301">
        <v>6.9968124000000007E-2</v>
      </c>
      <c r="H281" s="301">
        <v>0</v>
      </c>
      <c r="I281" s="301">
        <v>0</v>
      </c>
      <c r="J281" s="301">
        <v>0.155</v>
      </c>
      <c r="K281" s="301">
        <v>0</v>
      </c>
      <c r="L281" s="301">
        <v>0</v>
      </c>
      <c r="M281" s="301">
        <v>0</v>
      </c>
      <c r="N281" s="301">
        <v>0</v>
      </c>
      <c r="O281" s="301">
        <v>0</v>
      </c>
      <c r="P281" s="298">
        <v>0</v>
      </c>
      <c r="Q281" s="298">
        <v>0</v>
      </c>
      <c r="R281" s="298">
        <v>0</v>
      </c>
      <c r="S281" s="298">
        <v>0</v>
      </c>
      <c r="T281" s="298">
        <v>0</v>
      </c>
      <c r="U281" s="298">
        <v>0.2525</v>
      </c>
      <c r="V281" s="298">
        <v>0</v>
      </c>
      <c r="W281" s="298">
        <v>0</v>
      </c>
      <c r="X281" s="298">
        <v>0</v>
      </c>
      <c r="Y281" s="298">
        <v>0</v>
      </c>
      <c r="Z281" s="298">
        <v>0</v>
      </c>
      <c r="AI281" s="313"/>
      <c r="AJ281" s="313"/>
      <c r="AK281" s="313"/>
      <c r="AM281" s="298">
        <v>7.2309542329721005E-2</v>
      </c>
    </row>
    <row r="282" spans="2:39" x14ac:dyDescent="0.25">
      <c r="B282" s="303">
        <f t="shared" si="35"/>
        <v>44743</v>
      </c>
      <c r="C282" s="301">
        <v>3.9550000000000001</v>
      </c>
      <c r="E282" s="301">
        <v>7.2987770203190999E-2</v>
      </c>
      <c r="F282" s="301">
        <v>0</v>
      </c>
      <c r="G282" s="301">
        <v>6.9968124000000007E-2</v>
      </c>
      <c r="H282" s="301">
        <v>0</v>
      </c>
      <c r="I282" s="301">
        <v>0</v>
      </c>
      <c r="J282" s="301">
        <v>0.155</v>
      </c>
      <c r="K282" s="301">
        <v>0</v>
      </c>
      <c r="L282" s="301">
        <v>0</v>
      </c>
      <c r="M282" s="301">
        <v>0</v>
      </c>
      <c r="N282" s="301">
        <v>0</v>
      </c>
      <c r="O282" s="301">
        <v>0</v>
      </c>
      <c r="P282" s="298">
        <v>0</v>
      </c>
      <c r="Q282" s="298">
        <v>0</v>
      </c>
      <c r="R282" s="298">
        <v>0</v>
      </c>
      <c r="S282" s="298">
        <v>0</v>
      </c>
      <c r="T282" s="298">
        <v>0</v>
      </c>
      <c r="U282" s="298">
        <v>0.25750000000000001</v>
      </c>
      <c r="V282" s="298">
        <v>0</v>
      </c>
      <c r="W282" s="298">
        <v>0</v>
      </c>
      <c r="X282" s="298">
        <v>0</v>
      </c>
      <c r="Y282" s="298">
        <v>0</v>
      </c>
      <c r="Z282" s="298">
        <v>0</v>
      </c>
      <c r="AI282" s="313"/>
      <c r="AJ282" s="313"/>
      <c r="AK282" s="313"/>
      <c r="AM282" s="298">
        <v>7.2310988913360005E-2</v>
      </c>
    </row>
    <row r="283" spans="2:39" x14ac:dyDescent="0.25">
      <c r="B283" s="303">
        <f t="shared" si="35"/>
        <v>44774</v>
      </c>
      <c r="C283" s="301">
        <v>3.9580000000000002</v>
      </c>
      <c r="E283" s="301">
        <v>7.2989420570245003E-2</v>
      </c>
      <c r="F283" s="301">
        <v>0</v>
      </c>
      <c r="G283" s="301">
        <v>6.9968124000000007E-2</v>
      </c>
      <c r="H283" s="301">
        <v>0</v>
      </c>
      <c r="I283" s="301">
        <v>0</v>
      </c>
      <c r="J283" s="301">
        <v>0.155</v>
      </c>
      <c r="K283" s="301">
        <v>0</v>
      </c>
      <c r="L283" s="301">
        <v>0</v>
      </c>
      <c r="M283" s="301">
        <v>0</v>
      </c>
      <c r="N283" s="301">
        <v>0</v>
      </c>
      <c r="O283" s="301">
        <v>0</v>
      </c>
      <c r="P283" s="298">
        <v>0</v>
      </c>
      <c r="Q283" s="298">
        <v>0</v>
      </c>
      <c r="R283" s="298">
        <v>0</v>
      </c>
      <c r="S283" s="298">
        <v>0</v>
      </c>
      <c r="T283" s="298">
        <v>0</v>
      </c>
      <c r="U283" s="298">
        <v>0.25750000000000001</v>
      </c>
      <c r="V283" s="298">
        <v>0</v>
      </c>
      <c r="W283" s="298">
        <v>0</v>
      </c>
      <c r="X283" s="298">
        <v>0</v>
      </c>
      <c r="Y283" s="298">
        <v>0</v>
      </c>
      <c r="Z283" s="298">
        <v>0</v>
      </c>
      <c r="AI283" s="313"/>
      <c r="AJ283" s="313"/>
      <c r="AK283" s="313"/>
      <c r="AM283" s="298">
        <v>7.2312483716453005E-2</v>
      </c>
    </row>
    <row r="284" spans="2:39" x14ac:dyDescent="0.25">
      <c r="B284" s="303">
        <f t="shared" si="35"/>
        <v>44805</v>
      </c>
      <c r="C284" s="301">
        <v>3.9430000000000001</v>
      </c>
      <c r="E284" s="301">
        <v>7.2991070937300007E-2</v>
      </c>
      <c r="F284" s="301">
        <v>0</v>
      </c>
      <c r="G284" s="301">
        <v>6.9968124000000007E-2</v>
      </c>
      <c r="H284" s="301">
        <v>0</v>
      </c>
      <c r="I284" s="301">
        <v>0</v>
      </c>
      <c r="J284" s="301">
        <v>0.155</v>
      </c>
      <c r="K284" s="301">
        <v>0</v>
      </c>
      <c r="L284" s="301">
        <v>0</v>
      </c>
      <c r="M284" s="301">
        <v>0</v>
      </c>
      <c r="N284" s="301">
        <v>0</v>
      </c>
      <c r="O284" s="301">
        <v>0</v>
      </c>
      <c r="P284" s="298">
        <v>0</v>
      </c>
      <c r="Q284" s="298">
        <v>0</v>
      </c>
      <c r="R284" s="298">
        <v>0</v>
      </c>
      <c r="S284" s="298">
        <v>0</v>
      </c>
      <c r="T284" s="298">
        <v>0</v>
      </c>
      <c r="U284" s="298">
        <v>0.2525</v>
      </c>
      <c r="V284" s="298">
        <v>0</v>
      </c>
      <c r="W284" s="298">
        <v>0</v>
      </c>
      <c r="X284" s="298">
        <v>0</v>
      </c>
      <c r="Y284" s="298">
        <v>0</v>
      </c>
      <c r="Z284" s="298">
        <v>0</v>
      </c>
      <c r="AI284" s="313"/>
      <c r="AJ284" s="313"/>
      <c r="AK284" s="313"/>
      <c r="AM284" s="298">
        <v>7.2313978519547004E-2</v>
      </c>
    </row>
    <row r="285" spans="2:39" x14ac:dyDescent="0.25">
      <c r="B285" s="303">
        <f t="shared" si="35"/>
        <v>44835</v>
      </c>
      <c r="C285" s="301">
        <v>3.9510000000000001</v>
      </c>
      <c r="E285" s="301">
        <v>7.2992668066707997E-2</v>
      </c>
      <c r="F285" s="301">
        <v>0</v>
      </c>
      <c r="G285" s="301">
        <v>6.9968124000000007E-2</v>
      </c>
      <c r="H285" s="301">
        <v>0</v>
      </c>
      <c r="I285" s="301">
        <v>0</v>
      </c>
      <c r="J285" s="301">
        <v>0.1575</v>
      </c>
      <c r="K285" s="301">
        <v>0</v>
      </c>
      <c r="L285" s="301">
        <v>0</v>
      </c>
      <c r="M285" s="301">
        <v>0</v>
      </c>
      <c r="N285" s="301">
        <v>0</v>
      </c>
      <c r="O285" s="301">
        <v>0</v>
      </c>
      <c r="P285" s="298">
        <v>0</v>
      </c>
      <c r="Q285" s="298">
        <v>0</v>
      </c>
      <c r="R285" s="298">
        <v>0</v>
      </c>
      <c r="S285" s="298">
        <v>0</v>
      </c>
      <c r="T285" s="298">
        <v>0</v>
      </c>
      <c r="U285" s="298">
        <v>0.255</v>
      </c>
      <c r="V285" s="298">
        <v>0</v>
      </c>
      <c r="W285" s="298">
        <v>0</v>
      </c>
      <c r="X285" s="298">
        <v>0</v>
      </c>
      <c r="Y285" s="298">
        <v>0</v>
      </c>
      <c r="Z285" s="298">
        <v>0</v>
      </c>
      <c r="AI285" s="313"/>
      <c r="AJ285" s="313"/>
      <c r="AK285" s="313"/>
      <c r="AM285" s="298">
        <v>7.2315425103188002E-2</v>
      </c>
    </row>
    <row r="286" spans="2:39" x14ac:dyDescent="0.25">
      <c r="B286" s="303">
        <f t="shared" si="35"/>
        <v>44866</v>
      </c>
      <c r="C286" s="301">
        <v>3.9889999999999999</v>
      </c>
      <c r="E286" s="301">
        <v>7.2994318433763999E-2</v>
      </c>
      <c r="F286" s="301">
        <v>0</v>
      </c>
      <c r="G286" s="301">
        <v>-9.9887129999999998E-3</v>
      </c>
      <c r="H286" s="301">
        <v>0</v>
      </c>
      <c r="I286" s="301">
        <v>0</v>
      </c>
      <c r="J286" s="301">
        <v>0.24</v>
      </c>
      <c r="K286" s="301">
        <v>0</v>
      </c>
      <c r="L286" s="301">
        <v>0</v>
      </c>
      <c r="M286" s="301">
        <v>0</v>
      </c>
      <c r="N286" s="301">
        <v>0</v>
      </c>
      <c r="O286" s="301">
        <v>0</v>
      </c>
      <c r="P286" s="298">
        <v>0</v>
      </c>
      <c r="Q286" s="298">
        <v>0</v>
      </c>
      <c r="R286" s="298">
        <v>0</v>
      </c>
      <c r="S286" s="298">
        <v>0</v>
      </c>
      <c r="T286" s="298">
        <v>0</v>
      </c>
      <c r="U286" s="298">
        <v>0.72499999999999998</v>
      </c>
      <c r="V286" s="298">
        <v>0</v>
      </c>
      <c r="W286" s="298">
        <v>0</v>
      </c>
      <c r="X286" s="298">
        <v>0</v>
      </c>
      <c r="Y286" s="298">
        <v>0</v>
      </c>
      <c r="Z286" s="298">
        <v>0</v>
      </c>
      <c r="AI286" s="313"/>
      <c r="AJ286" s="313"/>
      <c r="AK286" s="313"/>
      <c r="AM286" s="298">
        <v>7.2316919906284E-2</v>
      </c>
    </row>
    <row r="287" spans="2:39" x14ac:dyDescent="0.25">
      <c r="B287" s="303">
        <f t="shared" si="35"/>
        <v>44896</v>
      </c>
      <c r="C287" s="301">
        <v>4.0549999999999997</v>
      </c>
      <c r="E287" s="301">
        <v>7.2995915563174002E-2</v>
      </c>
      <c r="F287" s="301">
        <v>0</v>
      </c>
      <c r="G287" s="301">
        <v>-2.4951938E-2</v>
      </c>
      <c r="H287" s="301">
        <v>0</v>
      </c>
      <c r="I287" s="301">
        <v>0</v>
      </c>
      <c r="J287" s="301">
        <v>0.29499999999999998</v>
      </c>
      <c r="K287" s="301">
        <v>0</v>
      </c>
      <c r="L287" s="301">
        <v>0</v>
      </c>
      <c r="M287" s="301">
        <v>0</v>
      </c>
      <c r="N287" s="301">
        <v>0</v>
      </c>
      <c r="O287" s="301">
        <v>0</v>
      </c>
      <c r="P287" s="298">
        <v>0</v>
      </c>
      <c r="Q287" s="298">
        <v>0</v>
      </c>
      <c r="R287" s="298">
        <v>0</v>
      </c>
      <c r="S287" s="298">
        <v>0</v>
      </c>
      <c r="T287" s="298">
        <v>0</v>
      </c>
      <c r="U287" s="298">
        <v>1.0449999999999999</v>
      </c>
      <c r="V287" s="298">
        <v>0</v>
      </c>
      <c r="W287" s="298">
        <v>0</v>
      </c>
      <c r="X287" s="298">
        <v>0</v>
      </c>
      <c r="Y287" s="298">
        <v>0</v>
      </c>
      <c r="Z287" s="298">
        <v>0</v>
      </c>
      <c r="AI287" s="313"/>
      <c r="AJ287" s="313"/>
      <c r="AK287" s="313"/>
      <c r="AM287" s="298">
        <v>7.2318366489925998E-2</v>
      </c>
    </row>
    <row r="288" spans="2:39" x14ac:dyDescent="0.25">
      <c r="B288" s="303">
        <f t="shared" si="35"/>
        <v>44927</v>
      </c>
      <c r="C288" s="301">
        <v>4.0815000000000001</v>
      </c>
      <c r="E288" s="301">
        <v>7.2997565930232003E-2</v>
      </c>
      <c r="F288" s="301">
        <v>0</v>
      </c>
      <c r="G288" s="301">
        <v>-1.9955184000000001E-2</v>
      </c>
      <c r="H288" s="301">
        <v>0</v>
      </c>
      <c r="I288" s="301">
        <v>0</v>
      </c>
      <c r="J288" s="301">
        <v>0.34250000000000003</v>
      </c>
      <c r="K288" s="301">
        <v>0</v>
      </c>
      <c r="L288" s="301">
        <v>0</v>
      </c>
      <c r="M288" s="301">
        <v>0</v>
      </c>
      <c r="N288" s="301">
        <v>0</v>
      </c>
      <c r="O288" s="301">
        <v>0</v>
      </c>
      <c r="P288" s="298">
        <v>0</v>
      </c>
      <c r="Q288" s="298">
        <v>0</v>
      </c>
      <c r="R288" s="298">
        <v>0</v>
      </c>
      <c r="S288" s="298">
        <v>0</v>
      </c>
      <c r="T288" s="298">
        <v>0</v>
      </c>
      <c r="U288" s="298">
        <v>1.52</v>
      </c>
      <c r="V288" s="298">
        <v>0</v>
      </c>
      <c r="W288" s="298">
        <v>0</v>
      </c>
      <c r="X288" s="298">
        <v>0</v>
      </c>
      <c r="Y288" s="298">
        <v>0</v>
      </c>
      <c r="Z288" s="298">
        <v>0</v>
      </c>
      <c r="AI288" s="313"/>
      <c r="AJ288" s="313"/>
      <c r="AK288" s="313"/>
      <c r="AM288" s="298">
        <v>7.2319861293022994E-2</v>
      </c>
    </row>
    <row r="289" spans="2:39" x14ac:dyDescent="0.25">
      <c r="B289" s="303">
        <f t="shared" si="35"/>
        <v>44958</v>
      </c>
      <c r="C289" s="301">
        <v>4.0484999999999998</v>
      </c>
      <c r="E289" s="301">
        <v>7.2999216297291003E-2</v>
      </c>
      <c r="F289" s="301">
        <v>0</v>
      </c>
      <c r="G289" s="301">
        <v>5.0425770000000003E-3</v>
      </c>
      <c r="H289" s="301">
        <v>0</v>
      </c>
      <c r="I289" s="301">
        <v>0</v>
      </c>
      <c r="J289" s="301">
        <v>0.33750000000000002</v>
      </c>
      <c r="K289" s="301">
        <v>0</v>
      </c>
      <c r="L289" s="301">
        <v>0</v>
      </c>
      <c r="M289" s="301">
        <v>0</v>
      </c>
      <c r="N289" s="301">
        <v>0</v>
      </c>
      <c r="O289" s="301">
        <v>0</v>
      </c>
      <c r="P289" s="298">
        <v>0</v>
      </c>
      <c r="Q289" s="298">
        <v>0</v>
      </c>
      <c r="R289" s="298">
        <v>0</v>
      </c>
      <c r="S289" s="298">
        <v>0</v>
      </c>
      <c r="T289" s="298">
        <v>0</v>
      </c>
      <c r="U289" s="298">
        <v>1.4</v>
      </c>
      <c r="V289" s="298">
        <v>0</v>
      </c>
      <c r="W289" s="298">
        <v>0</v>
      </c>
      <c r="X289" s="298">
        <v>0</v>
      </c>
      <c r="Y289" s="298">
        <v>0</v>
      </c>
      <c r="Z289" s="298">
        <v>0</v>
      </c>
      <c r="AI289" s="313"/>
      <c r="AJ289" s="313"/>
      <c r="AK289" s="313"/>
      <c r="AM289" s="298">
        <v>7.2321356096121003E-2</v>
      </c>
    </row>
    <row r="290" spans="2:39" x14ac:dyDescent="0.25">
      <c r="B290" s="303">
        <f t="shared" si="35"/>
        <v>44986</v>
      </c>
      <c r="C290" s="301">
        <v>3.9935</v>
      </c>
      <c r="E290" s="301">
        <v>7.3000706951410005E-2</v>
      </c>
      <c r="F290" s="301">
        <v>0</v>
      </c>
      <c r="G290" s="301">
        <v>1.5042577E-2</v>
      </c>
      <c r="H290" s="301">
        <v>0</v>
      </c>
      <c r="I290" s="301">
        <v>0</v>
      </c>
      <c r="J290" s="301">
        <v>0.26</v>
      </c>
      <c r="K290" s="301">
        <v>0</v>
      </c>
      <c r="L290" s="301">
        <v>0</v>
      </c>
      <c r="M290" s="301">
        <v>0</v>
      </c>
      <c r="N290" s="301">
        <v>0</v>
      </c>
      <c r="O290" s="301">
        <v>0</v>
      </c>
      <c r="P290" s="298">
        <v>0</v>
      </c>
      <c r="Q290" s="298">
        <v>0</v>
      </c>
      <c r="R290" s="298">
        <v>0</v>
      </c>
      <c r="S290" s="298">
        <v>0</v>
      </c>
      <c r="T290" s="298">
        <v>0</v>
      </c>
      <c r="U290" s="298">
        <v>0.88</v>
      </c>
      <c r="V290" s="298">
        <v>0</v>
      </c>
      <c r="W290" s="298">
        <v>0</v>
      </c>
      <c r="X290" s="298">
        <v>0</v>
      </c>
      <c r="Y290" s="298">
        <v>0</v>
      </c>
      <c r="Z290" s="298">
        <v>0</v>
      </c>
      <c r="AI290" s="313"/>
      <c r="AJ290" s="313"/>
      <c r="AK290" s="313"/>
      <c r="AM290" s="298">
        <v>7.2322706240856002E-2</v>
      </c>
    </row>
    <row r="291" spans="2:39" x14ac:dyDescent="0.25">
      <c r="B291" s="303">
        <f t="shared" si="35"/>
        <v>45017</v>
      </c>
      <c r="C291" s="301">
        <v>3.9535</v>
      </c>
      <c r="E291" s="301">
        <v>7.3002357318471003E-2</v>
      </c>
      <c r="F291" s="301">
        <v>0</v>
      </c>
      <c r="G291" s="301">
        <v>7.4976638999999998E-2</v>
      </c>
      <c r="H291" s="301">
        <v>0</v>
      </c>
      <c r="I291" s="301">
        <v>0</v>
      </c>
      <c r="J291" s="301">
        <v>0.17</v>
      </c>
      <c r="K291" s="301">
        <v>0</v>
      </c>
      <c r="L291" s="301">
        <v>0</v>
      </c>
      <c r="M291" s="301">
        <v>0</v>
      </c>
      <c r="N291" s="301">
        <v>0</v>
      </c>
      <c r="O291" s="301">
        <v>0</v>
      </c>
      <c r="P291" s="298">
        <v>0</v>
      </c>
      <c r="Q291" s="298">
        <v>0</v>
      </c>
      <c r="R291" s="298">
        <v>0</v>
      </c>
      <c r="S291" s="298">
        <v>0</v>
      </c>
      <c r="T291" s="298">
        <v>0</v>
      </c>
      <c r="U291" s="298">
        <v>0.37</v>
      </c>
      <c r="V291" s="298">
        <v>0</v>
      </c>
      <c r="W291" s="298">
        <v>0</v>
      </c>
      <c r="X291" s="298">
        <v>0</v>
      </c>
      <c r="Y291" s="298">
        <v>0</v>
      </c>
      <c r="Z291" s="298">
        <v>0</v>
      </c>
      <c r="AI291" s="313"/>
      <c r="AJ291" s="313"/>
      <c r="AK291" s="313"/>
      <c r="AM291" s="298">
        <v>7.2324201043954997E-2</v>
      </c>
    </row>
    <row r="292" spans="2:39" x14ac:dyDescent="0.25">
      <c r="B292" s="303">
        <f t="shared" si="35"/>
        <v>45047</v>
      </c>
      <c r="C292" s="301">
        <v>4.0045000000000002</v>
      </c>
      <c r="E292" s="301">
        <v>7.3003954447885003E-2</v>
      </c>
      <c r="F292" s="301">
        <v>0</v>
      </c>
      <c r="G292" s="301">
        <v>7.4968123999999997E-2</v>
      </c>
      <c r="H292" s="301">
        <v>0</v>
      </c>
      <c r="I292" s="301">
        <v>0</v>
      </c>
      <c r="J292" s="301">
        <v>0.155</v>
      </c>
      <c r="K292" s="301">
        <v>0</v>
      </c>
      <c r="L292" s="301">
        <v>0</v>
      </c>
      <c r="M292" s="301">
        <v>0</v>
      </c>
      <c r="N292" s="301">
        <v>0</v>
      </c>
      <c r="O292" s="301">
        <v>0</v>
      </c>
      <c r="P292" s="298">
        <v>0</v>
      </c>
      <c r="Q292" s="298">
        <v>0</v>
      </c>
      <c r="R292" s="298">
        <v>0</v>
      </c>
      <c r="S292" s="298">
        <v>0</v>
      </c>
      <c r="T292" s="298">
        <v>0</v>
      </c>
      <c r="U292" s="298">
        <v>0.2525</v>
      </c>
      <c r="V292" s="298">
        <v>0</v>
      </c>
      <c r="W292" s="298">
        <v>0</v>
      </c>
      <c r="X292" s="298">
        <v>0</v>
      </c>
      <c r="Y292" s="298">
        <v>0</v>
      </c>
      <c r="Z292" s="298">
        <v>0</v>
      </c>
      <c r="AI292" s="313"/>
      <c r="AJ292" s="313"/>
      <c r="AK292" s="313"/>
      <c r="AM292" s="298">
        <v>7.2325647627601006E-2</v>
      </c>
    </row>
    <row r="293" spans="2:39" x14ac:dyDescent="0.25">
      <c r="B293" s="303">
        <f t="shared" si="35"/>
        <v>45078</v>
      </c>
      <c r="C293" s="301">
        <v>4.0265000000000004</v>
      </c>
      <c r="E293" s="301">
        <v>7.3005604814947E-2</v>
      </c>
      <c r="F293" s="301">
        <v>0</v>
      </c>
      <c r="G293" s="301">
        <v>7.4968123999999997E-2</v>
      </c>
      <c r="H293" s="301">
        <v>0</v>
      </c>
      <c r="I293" s="301">
        <v>0</v>
      </c>
      <c r="J293" s="301">
        <v>0.155</v>
      </c>
      <c r="K293" s="301">
        <v>0</v>
      </c>
      <c r="L293" s="301">
        <v>0</v>
      </c>
      <c r="M293" s="301">
        <v>0</v>
      </c>
      <c r="N293" s="301">
        <v>0</v>
      </c>
      <c r="O293" s="301">
        <v>0</v>
      </c>
      <c r="P293" s="298">
        <v>0</v>
      </c>
      <c r="Q293" s="298">
        <v>0</v>
      </c>
      <c r="R293" s="298">
        <v>0</v>
      </c>
      <c r="S293" s="298">
        <v>0</v>
      </c>
      <c r="T293" s="298">
        <v>0</v>
      </c>
      <c r="U293" s="298">
        <v>0.2525</v>
      </c>
      <c r="V293" s="298">
        <v>0</v>
      </c>
      <c r="W293" s="298">
        <v>0</v>
      </c>
      <c r="X293" s="298">
        <v>0</v>
      </c>
      <c r="Y293" s="298">
        <v>0</v>
      </c>
      <c r="Z293" s="298">
        <v>0</v>
      </c>
      <c r="AI293" s="313"/>
      <c r="AJ293" s="313"/>
      <c r="AK293" s="313"/>
      <c r="AM293" s="298">
        <v>7.2327142430701999E-2</v>
      </c>
    </row>
    <row r="294" spans="2:39" x14ac:dyDescent="0.25">
      <c r="B294" s="303">
        <f t="shared" si="35"/>
        <v>45108</v>
      </c>
      <c r="C294" s="301">
        <v>4.0265000000000004</v>
      </c>
      <c r="E294" s="301">
        <v>7.3007201944362998E-2</v>
      </c>
      <c r="F294" s="301">
        <v>0</v>
      </c>
      <c r="G294" s="301">
        <v>7.4968123999999997E-2</v>
      </c>
      <c r="H294" s="301">
        <v>0</v>
      </c>
      <c r="I294" s="301">
        <v>0</v>
      </c>
      <c r="J294" s="301">
        <v>0.155</v>
      </c>
      <c r="K294" s="301">
        <v>0</v>
      </c>
      <c r="L294" s="301">
        <v>0</v>
      </c>
      <c r="M294" s="301">
        <v>0</v>
      </c>
      <c r="N294" s="301">
        <v>0</v>
      </c>
      <c r="O294" s="301">
        <v>0</v>
      </c>
      <c r="P294" s="298">
        <v>0</v>
      </c>
      <c r="Q294" s="298">
        <v>0</v>
      </c>
      <c r="R294" s="298">
        <v>0</v>
      </c>
      <c r="S294" s="298">
        <v>0</v>
      </c>
      <c r="T294" s="298">
        <v>0</v>
      </c>
      <c r="U294" s="298">
        <v>0.25750000000000001</v>
      </c>
      <c r="V294" s="298">
        <v>0</v>
      </c>
      <c r="W294" s="298">
        <v>0</v>
      </c>
      <c r="X294" s="298">
        <v>0</v>
      </c>
      <c r="Y294" s="298">
        <v>0</v>
      </c>
      <c r="Z294" s="298">
        <v>0</v>
      </c>
      <c r="AI294" s="313"/>
      <c r="AJ294" s="313"/>
      <c r="AK294" s="313"/>
      <c r="AM294" s="298">
        <v>7.2328589014349007E-2</v>
      </c>
    </row>
    <row r="295" spans="2:39" x14ac:dyDescent="0.25">
      <c r="B295" s="303">
        <f t="shared" si="35"/>
        <v>45139</v>
      </c>
      <c r="C295" s="301">
        <v>4.0294999999999996</v>
      </c>
      <c r="E295" s="301">
        <v>7.3008852311427994E-2</v>
      </c>
      <c r="F295" s="301">
        <v>0</v>
      </c>
      <c r="G295" s="301">
        <v>7.4968123999999997E-2</v>
      </c>
      <c r="H295" s="301">
        <v>0</v>
      </c>
      <c r="I295" s="301">
        <v>0</v>
      </c>
      <c r="J295" s="301">
        <v>0.155</v>
      </c>
      <c r="K295" s="301">
        <v>0</v>
      </c>
      <c r="L295" s="301">
        <v>0</v>
      </c>
      <c r="M295" s="301">
        <v>0</v>
      </c>
      <c r="N295" s="301">
        <v>0</v>
      </c>
      <c r="O295" s="301">
        <v>0</v>
      </c>
      <c r="P295" s="298">
        <v>0</v>
      </c>
      <c r="Q295" s="298">
        <v>0</v>
      </c>
      <c r="R295" s="298">
        <v>0</v>
      </c>
      <c r="S295" s="298">
        <v>0</v>
      </c>
      <c r="T295" s="298">
        <v>0</v>
      </c>
      <c r="U295" s="298">
        <v>0.25750000000000001</v>
      </c>
      <c r="V295" s="298">
        <v>0</v>
      </c>
      <c r="W295" s="298">
        <v>0</v>
      </c>
      <c r="X295" s="298">
        <v>0</v>
      </c>
      <c r="Y295" s="298">
        <v>0</v>
      </c>
      <c r="Z295" s="298">
        <v>0</v>
      </c>
      <c r="AI295" s="313"/>
      <c r="AJ295" s="313"/>
      <c r="AK295" s="313"/>
      <c r="AM295" s="298">
        <v>7.2330083817450999E-2</v>
      </c>
    </row>
    <row r="296" spans="2:39" x14ac:dyDescent="0.25">
      <c r="B296" s="303">
        <f t="shared" si="35"/>
        <v>45170</v>
      </c>
      <c r="C296" s="301">
        <v>4.0134999999999996</v>
      </c>
      <c r="E296" s="301">
        <v>7.3010502678493003E-2</v>
      </c>
      <c r="F296" s="301">
        <v>0</v>
      </c>
      <c r="G296" s="301">
        <v>7.4968123999999997E-2</v>
      </c>
      <c r="H296" s="301">
        <v>0</v>
      </c>
      <c r="I296" s="301">
        <v>0</v>
      </c>
      <c r="J296" s="301">
        <v>0.155</v>
      </c>
      <c r="K296" s="301">
        <v>0</v>
      </c>
      <c r="L296" s="301">
        <v>0</v>
      </c>
      <c r="M296" s="301">
        <v>0</v>
      </c>
      <c r="N296" s="301">
        <v>0</v>
      </c>
      <c r="O296" s="301">
        <v>0</v>
      </c>
      <c r="P296" s="298">
        <v>0</v>
      </c>
      <c r="Q296" s="298">
        <v>0</v>
      </c>
      <c r="R296" s="298">
        <v>0</v>
      </c>
      <c r="S296" s="298">
        <v>0</v>
      </c>
      <c r="T296" s="298">
        <v>0</v>
      </c>
      <c r="U296" s="298">
        <v>0.2525</v>
      </c>
      <c r="V296" s="298">
        <v>0</v>
      </c>
      <c r="W296" s="298">
        <v>0</v>
      </c>
      <c r="X296" s="298">
        <v>0</v>
      </c>
      <c r="Y296" s="298">
        <v>0</v>
      </c>
      <c r="Z296" s="298">
        <v>0</v>
      </c>
      <c r="AI296" s="313"/>
      <c r="AJ296" s="313"/>
      <c r="AK296" s="313"/>
      <c r="AM296" s="298">
        <v>7.2331578620554005E-2</v>
      </c>
    </row>
    <row r="297" spans="2:39" x14ac:dyDescent="0.25">
      <c r="B297" s="303">
        <f t="shared" si="35"/>
        <v>45200</v>
      </c>
      <c r="C297" s="301">
        <v>4.0205000000000002</v>
      </c>
      <c r="E297" s="301">
        <v>7.3012099807910999E-2</v>
      </c>
      <c r="F297" s="301">
        <v>0</v>
      </c>
      <c r="G297" s="301">
        <v>7.4968123999999997E-2</v>
      </c>
      <c r="H297" s="301">
        <v>0</v>
      </c>
      <c r="I297" s="301">
        <v>0</v>
      </c>
      <c r="J297" s="301">
        <v>0.1575</v>
      </c>
      <c r="K297" s="301">
        <v>0</v>
      </c>
      <c r="L297" s="301">
        <v>0</v>
      </c>
      <c r="M297" s="301">
        <v>0</v>
      </c>
      <c r="N297" s="301">
        <v>0</v>
      </c>
      <c r="O297" s="301">
        <v>0</v>
      </c>
      <c r="P297" s="298">
        <v>0</v>
      </c>
      <c r="Q297" s="298">
        <v>0</v>
      </c>
      <c r="R297" s="298">
        <v>0</v>
      </c>
      <c r="S297" s="298">
        <v>0</v>
      </c>
      <c r="T297" s="298">
        <v>0</v>
      </c>
      <c r="U297" s="298">
        <v>0.255</v>
      </c>
      <c r="V297" s="298">
        <v>0</v>
      </c>
      <c r="W297" s="298">
        <v>0</v>
      </c>
      <c r="X297" s="298">
        <v>0</v>
      </c>
      <c r="Y297" s="298">
        <v>0</v>
      </c>
      <c r="Z297" s="298">
        <v>0</v>
      </c>
      <c r="AI297" s="313"/>
      <c r="AJ297" s="313"/>
      <c r="AK297" s="313"/>
      <c r="AM297" s="298">
        <v>7.2333025204202997E-2</v>
      </c>
    </row>
    <row r="298" spans="2:39" x14ac:dyDescent="0.25">
      <c r="B298" s="303">
        <f t="shared" si="35"/>
        <v>45231</v>
      </c>
      <c r="C298" s="301">
        <v>4.0534999999999997</v>
      </c>
      <c r="E298" s="301">
        <v>7.3013750174979006E-2</v>
      </c>
      <c r="F298" s="301">
        <v>0</v>
      </c>
      <c r="G298" s="301">
        <v>-4.9887129999999997E-3</v>
      </c>
      <c r="H298" s="301">
        <v>0</v>
      </c>
      <c r="I298" s="301">
        <v>0</v>
      </c>
      <c r="J298" s="301">
        <v>0.24</v>
      </c>
      <c r="K298" s="301">
        <v>0</v>
      </c>
      <c r="L298" s="301">
        <v>0</v>
      </c>
      <c r="M298" s="301">
        <v>0</v>
      </c>
      <c r="N298" s="301">
        <v>0</v>
      </c>
      <c r="O298" s="301">
        <v>0</v>
      </c>
      <c r="P298" s="298">
        <v>0</v>
      </c>
      <c r="Q298" s="298">
        <v>0</v>
      </c>
      <c r="R298" s="298">
        <v>0</v>
      </c>
      <c r="S298" s="298">
        <v>0</v>
      </c>
      <c r="T298" s="298">
        <v>0</v>
      </c>
      <c r="U298" s="298">
        <v>0.72499999999999998</v>
      </c>
      <c r="V298" s="298">
        <v>0</v>
      </c>
      <c r="W298" s="298">
        <v>0</v>
      </c>
      <c r="X298" s="298">
        <v>0</v>
      </c>
      <c r="Y298" s="298">
        <v>0</v>
      </c>
      <c r="Z298" s="298">
        <v>0</v>
      </c>
      <c r="AI298" s="313"/>
      <c r="AJ298" s="313"/>
      <c r="AK298" s="313"/>
      <c r="AM298" s="298">
        <v>7.2334520007308001E-2</v>
      </c>
    </row>
    <row r="299" spans="2:39" x14ac:dyDescent="0.25">
      <c r="B299" s="303">
        <f t="shared" si="35"/>
        <v>45261</v>
      </c>
      <c r="C299" s="301">
        <v>4.1165000000000003</v>
      </c>
      <c r="E299" s="301">
        <v>7.3015347304399E-2</v>
      </c>
      <c r="F299" s="301">
        <v>0</v>
      </c>
      <c r="G299" s="301">
        <v>-1.9951937999999999E-2</v>
      </c>
      <c r="H299" s="301">
        <v>0</v>
      </c>
      <c r="I299" s="301">
        <v>0</v>
      </c>
      <c r="J299" s="301">
        <v>0.29499999999999998</v>
      </c>
      <c r="K299" s="301">
        <v>0</v>
      </c>
      <c r="L299" s="301">
        <v>0</v>
      </c>
      <c r="M299" s="301">
        <v>0</v>
      </c>
      <c r="N299" s="301">
        <v>0</v>
      </c>
      <c r="O299" s="301">
        <v>0</v>
      </c>
      <c r="P299" s="298">
        <v>0</v>
      </c>
      <c r="Q299" s="298">
        <v>0</v>
      </c>
      <c r="R299" s="298">
        <v>0</v>
      </c>
      <c r="S299" s="298">
        <v>0</v>
      </c>
      <c r="T299" s="298">
        <v>0</v>
      </c>
      <c r="U299" s="298">
        <v>1.0449999999999999</v>
      </c>
      <c r="V299" s="298">
        <v>0</v>
      </c>
      <c r="W299" s="298">
        <v>0</v>
      </c>
      <c r="X299" s="298">
        <v>0</v>
      </c>
      <c r="Y299" s="298">
        <v>0</v>
      </c>
      <c r="Z299" s="298">
        <v>0</v>
      </c>
      <c r="AI299" s="313"/>
      <c r="AJ299" s="313"/>
      <c r="AK299" s="313"/>
      <c r="AM299" s="298">
        <v>7.2335966590958006E-2</v>
      </c>
    </row>
    <row r="300" spans="2:39" x14ac:dyDescent="0.25">
      <c r="B300" s="303">
        <f t="shared" si="35"/>
        <v>45292</v>
      </c>
      <c r="C300" s="301">
        <v>4.141</v>
      </c>
      <c r="E300" s="301">
        <v>7.3016997671466993E-2</v>
      </c>
      <c r="F300" s="301">
        <v>0</v>
      </c>
      <c r="G300" s="301">
        <v>-1.4955184E-2</v>
      </c>
      <c r="H300" s="301">
        <v>0</v>
      </c>
      <c r="I300" s="301">
        <v>0</v>
      </c>
      <c r="J300" s="301">
        <v>0.34250000000000003</v>
      </c>
      <c r="K300" s="301">
        <v>0</v>
      </c>
      <c r="L300" s="301">
        <v>0</v>
      </c>
      <c r="M300" s="301">
        <v>0</v>
      </c>
      <c r="N300" s="301">
        <v>0</v>
      </c>
      <c r="O300" s="301">
        <v>0</v>
      </c>
      <c r="P300" s="298">
        <v>0</v>
      </c>
      <c r="Q300" s="298">
        <v>0</v>
      </c>
      <c r="R300" s="298">
        <v>0</v>
      </c>
      <c r="S300" s="298">
        <v>0</v>
      </c>
      <c r="T300" s="298">
        <v>0</v>
      </c>
      <c r="U300" s="298">
        <v>1.52</v>
      </c>
      <c r="V300" s="298">
        <v>0</v>
      </c>
      <c r="W300" s="298">
        <v>0</v>
      </c>
      <c r="X300" s="298">
        <v>0</v>
      </c>
      <c r="Y300" s="298">
        <v>0</v>
      </c>
      <c r="Z300" s="298">
        <v>0</v>
      </c>
      <c r="AI300" s="313"/>
      <c r="AJ300" s="313"/>
      <c r="AK300" s="313"/>
      <c r="AM300" s="298">
        <v>7.2337461394063995E-2</v>
      </c>
    </row>
    <row r="301" spans="2:39" x14ac:dyDescent="0.25">
      <c r="B301" s="303">
        <f t="shared" si="35"/>
        <v>45323</v>
      </c>
      <c r="C301" s="301">
        <v>4.1120000000000001</v>
      </c>
      <c r="E301" s="301">
        <v>7.3018648038536998E-2</v>
      </c>
      <c r="F301" s="301">
        <v>0</v>
      </c>
      <c r="G301" s="301">
        <v>1.0042577E-2</v>
      </c>
      <c r="H301" s="301">
        <v>0</v>
      </c>
      <c r="I301" s="301">
        <v>0</v>
      </c>
      <c r="J301" s="301">
        <v>0.33750000000000002</v>
      </c>
      <c r="K301" s="301">
        <v>0</v>
      </c>
      <c r="L301" s="301">
        <v>0</v>
      </c>
      <c r="M301" s="301">
        <v>0</v>
      </c>
      <c r="N301" s="301">
        <v>0</v>
      </c>
      <c r="O301" s="301">
        <v>0</v>
      </c>
      <c r="P301" s="298">
        <v>0</v>
      </c>
      <c r="Q301" s="298">
        <v>0</v>
      </c>
      <c r="R301" s="298">
        <v>0</v>
      </c>
      <c r="S301" s="298">
        <v>0</v>
      </c>
      <c r="T301" s="298">
        <v>0</v>
      </c>
      <c r="U301" s="298">
        <v>1.4</v>
      </c>
      <c r="V301" s="298">
        <v>0</v>
      </c>
      <c r="W301" s="298">
        <v>0</v>
      </c>
      <c r="X301" s="298">
        <v>0</v>
      </c>
      <c r="Y301" s="298">
        <v>0</v>
      </c>
      <c r="Z301" s="298">
        <v>0</v>
      </c>
      <c r="AI301" s="313"/>
      <c r="AJ301" s="313"/>
      <c r="AK301" s="313"/>
      <c r="AM301" s="298">
        <v>7.2338956197170998E-2</v>
      </c>
    </row>
    <row r="302" spans="2:39" x14ac:dyDescent="0.25">
      <c r="B302" s="303">
        <f t="shared" si="35"/>
        <v>45352</v>
      </c>
      <c r="C302" s="301">
        <v>4.0599999999999996</v>
      </c>
      <c r="E302" s="301">
        <v>7.3020191930313005E-2</v>
      </c>
      <c r="F302" s="301">
        <v>0</v>
      </c>
      <c r="G302" s="301">
        <v>2.0042576999999999E-2</v>
      </c>
      <c r="H302" s="301">
        <v>0</v>
      </c>
      <c r="I302" s="301">
        <v>0</v>
      </c>
      <c r="J302" s="301">
        <v>0.26</v>
      </c>
      <c r="K302" s="301">
        <v>0</v>
      </c>
      <c r="L302" s="301">
        <v>0</v>
      </c>
      <c r="M302" s="301">
        <v>0</v>
      </c>
      <c r="N302" s="301">
        <v>0</v>
      </c>
      <c r="O302" s="301">
        <v>0</v>
      </c>
      <c r="P302" s="298">
        <v>0</v>
      </c>
      <c r="Q302" s="298">
        <v>0</v>
      </c>
      <c r="R302" s="298">
        <v>0</v>
      </c>
      <c r="S302" s="298">
        <v>0</v>
      </c>
      <c r="T302" s="298">
        <v>0</v>
      </c>
      <c r="U302" s="298">
        <v>0.88</v>
      </c>
      <c r="V302" s="298">
        <v>0</v>
      </c>
      <c r="W302" s="298">
        <v>0</v>
      </c>
      <c r="X302" s="298">
        <v>0</v>
      </c>
      <c r="Y302" s="298">
        <v>0</v>
      </c>
      <c r="Z302" s="298">
        <v>0</v>
      </c>
      <c r="AI302" s="313"/>
      <c r="AJ302" s="313"/>
      <c r="AK302" s="313"/>
      <c r="AM302" s="298">
        <v>7.2340354561368003E-2</v>
      </c>
    </row>
    <row r="303" spans="2:39" x14ac:dyDescent="0.25">
      <c r="B303" s="303">
        <f t="shared" si="35"/>
        <v>45383</v>
      </c>
      <c r="C303" s="301">
        <v>4.0229999999999997</v>
      </c>
      <c r="E303" s="301">
        <v>7.3021842297383996E-2</v>
      </c>
      <c r="F303" s="301">
        <v>0</v>
      </c>
      <c r="G303" s="301">
        <v>7.9976639000000002E-2</v>
      </c>
      <c r="H303" s="301">
        <v>0</v>
      </c>
      <c r="I303" s="301">
        <v>0</v>
      </c>
      <c r="J303" s="301">
        <v>0.17</v>
      </c>
      <c r="K303" s="301">
        <v>0</v>
      </c>
      <c r="L303" s="301">
        <v>0</v>
      </c>
      <c r="M303" s="301">
        <v>0</v>
      </c>
      <c r="N303" s="301">
        <v>0</v>
      </c>
      <c r="O303" s="301">
        <v>0</v>
      </c>
      <c r="P303" s="298">
        <v>0</v>
      </c>
      <c r="Q303" s="298">
        <v>0</v>
      </c>
      <c r="R303" s="298">
        <v>0</v>
      </c>
      <c r="S303" s="298">
        <v>0</v>
      </c>
      <c r="T303" s="298">
        <v>0</v>
      </c>
      <c r="U303" s="298">
        <v>0.37</v>
      </c>
      <c r="V303" s="298">
        <v>0</v>
      </c>
      <c r="W303" s="298">
        <v>0</v>
      </c>
      <c r="X303" s="298">
        <v>0</v>
      </c>
      <c r="Y303" s="298">
        <v>0</v>
      </c>
      <c r="Z303" s="298">
        <v>0</v>
      </c>
      <c r="AI303" s="313"/>
      <c r="AJ303" s="313"/>
      <c r="AK303" s="313"/>
      <c r="AM303" s="298">
        <v>7.2341849364477004E-2</v>
      </c>
    </row>
    <row r="304" spans="2:39" x14ac:dyDescent="0.25">
      <c r="B304" s="303">
        <f t="shared" si="35"/>
        <v>45413</v>
      </c>
      <c r="C304" s="301">
        <v>4.0750000000000002</v>
      </c>
      <c r="E304" s="301">
        <v>7.3023439426809E-2</v>
      </c>
      <c r="F304" s="301">
        <v>0</v>
      </c>
      <c r="G304" s="301">
        <v>7.9968124000000002E-2</v>
      </c>
      <c r="H304" s="301">
        <v>0</v>
      </c>
      <c r="I304" s="301">
        <v>0</v>
      </c>
      <c r="J304" s="301">
        <v>0.155</v>
      </c>
      <c r="K304" s="301">
        <v>0</v>
      </c>
      <c r="L304" s="301">
        <v>0</v>
      </c>
      <c r="M304" s="301">
        <v>0</v>
      </c>
      <c r="N304" s="301">
        <v>0</v>
      </c>
      <c r="O304" s="301">
        <v>0</v>
      </c>
      <c r="P304" s="298">
        <v>0</v>
      </c>
      <c r="Q304" s="298">
        <v>0</v>
      </c>
      <c r="R304" s="298">
        <v>0</v>
      </c>
      <c r="S304" s="298">
        <v>0</v>
      </c>
      <c r="T304" s="298">
        <v>0</v>
      </c>
      <c r="U304" s="298">
        <v>0.2525</v>
      </c>
      <c r="V304" s="298">
        <v>0</v>
      </c>
      <c r="W304" s="298">
        <v>0</v>
      </c>
      <c r="X304" s="298">
        <v>0</v>
      </c>
      <c r="Y304" s="298">
        <v>0</v>
      </c>
      <c r="Z304" s="298">
        <v>0</v>
      </c>
      <c r="AI304" s="313"/>
      <c r="AJ304" s="313"/>
      <c r="AK304" s="313"/>
      <c r="AM304" s="298">
        <v>7.2343295948129993E-2</v>
      </c>
    </row>
    <row r="305" spans="2:39" x14ac:dyDescent="0.25">
      <c r="B305" s="303">
        <f t="shared" si="35"/>
        <v>45444</v>
      </c>
      <c r="E305" s="301">
        <v>7.3025089793882003E-2</v>
      </c>
      <c r="F305" s="301">
        <v>0</v>
      </c>
      <c r="G305" s="301">
        <v>7.9968124000000002E-2</v>
      </c>
      <c r="H305" s="301">
        <v>0</v>
      </c>
      <c r="I305" s="301">
        <v>0</v>
      </c>
      <c r="J305" s="301">
        <v>0.155</v>
      </c>
      <c r="K305" s="301">
        <v>0</v>
      </c>
      <c r="L305" s="301">
        <v>0</v>
      </c>
      <c r="M305" s="301">
        <v>0</v>
      </c>
      <c r="N305" s="301">
        <v>0</v>
      </c>
      <c r="O305" s="301">
        <v>0</v>
      </c>
      <c r="P305" s="298">
        <v>0</v>
      </c>
      <c r="Q305" s="298">
        <v>0</v>
      </c>
      <c r="R305" s="298">
        <v>0</v>
      </c>
      <c r="S305" s="298">
        <v>0</v>
      </c>
      <c r="T305" s="298">
        <v>0</v>
      </c>
      <c r="U305" s="298">
        <v>0.2525</v>
      </c>
      <c r="V305" s="298">
        <v>0</v>
      </c>
      <c r="W305" s="298">
        <v>0</v>
      </c>
      <c r="X305" s="298">
        <v>0</v>
      </c>
      <c r="Y305" s="298">
        <v>0</v>
      </c>
      <c r="Z305" s="298">
        <v>0</v>
      </c>
      <c r="AI305" s="313"/>
      <c r="AJ305" s="313"/>
      <c r="AK305" s="313"/>
      <c r="AM305" s="298">
        <v>7.2344790751240007E-2</v>
      </c>
    </row>
    <row r="306" spans="2:39" x14ac:dyDescent="0.25">
      <c r="B306" s="303">
        <f t="shared" si="35"/>
        <v>45474</v>
      </c>
      <c r="E306" s="301">
        <v>7.3026686923308007E-2</v>
      </c>
      <c r="F306" s="301">
        <v>0</v>
      </c>
      <c r="G306" s="301">
        <v>7.9968124000000002E-2</v>
      </c>
      <c r="H306" s="301">
        <v>0</v>
      </c>
      <c r="I306" s="301">
        <v>0</v>
      </c>
      <c r="J306" s="301">
        <v>0.155</v>
      </c>
      <c r="K306" s="301">
        <v>0</v>
      </c>
      <c r="L306" s="301">
        <v>0</v>
      </c>
      <c r="M306" s="301">
        <v>0</v>
      </c>
      <c r="N306" s="301">
        <v>0</v>
      </c>
      <c r="O306" s="301">
        <v>0</v>
      </c>
      <c r="P306" s="298">
        <v>0</v>
      </c>
      <c r="Q306" s="298">
        <v>0</v>
      </c>
      <c r="R306" s="298">
        <v>0</v>
      </c>
      <c r="S306" s="298">
        <v>0</v>
      </c>
      <c r="T306" s="298">
        <v>0</v>
      </c>
      <c r="U306" s="298">
        <v>0.25750000000000001</v>
      </c>
      <c r="V306" s="298">
        <v>0</v>
      </c>
      <c r="W306" s="298">
        <v>0</v>
      </c>
      <c r="X306" s="298">
        <v>0</v>
      </c>
      <c r="Y306" s="298">
        <v>0</v>
      </c>
      <c r="Z306" s="298">
        <v>0</v>
      </c>
      <c r="AI306" s="313"/>
      <c r="AJ306" s="313"/>
      <c r="AK306" s="313"/>
      <c r="AM306" s="298">
        <v>7.2346237334894994E-2</v>
      </c>
    </row>
    <row r="307" spans="2:39" x14ac:dyDescent="0.25">
      <c r="B307" s="303">
        <f t="shared" si="35"/>
        <v>45505</v>
      </c>
      <c r="E307" s="301">
        <v>7.3028337290382994E-2</v>
      </c>
      <c r="F307" s="301">
        <v>0</v>
      </c>
      <c r="G307" s="301">
        <v>7.9968124000000002E-2</v>
      </c>
      <c r="H307" s="301">
        <v>0</v>
      </c>
      <c r="I307" s="301">
        <v>0</v>
      </c>
      <c r="J307" s="301">
        <v>0.155</v>
      </c>
      <c r="K307" s="301">
        <v>0</v>
      </c>
      <c r="L307" s="301">
        <v>0</v>
      </c>
      <c r="M307" s="301">
        <v>0</v>
      </c>
      <c r="N307" s="301">
        <v>0</v>
      </c>
      <c r="O307" s="301">
        <v>0</v>
      </c>
      <c r="P307" s="298">
        <v>0</v>
      </c>
      <c r="Q307" s="298">
        <v>0</v>
      </c>
      <c r="R307" s="298">
        <v>0</v>
      </c>
      <c r="S307" s="298">
        <v>0</v>
      </c>
      <c r="T307" s="298">
        <v>0</v>
      </c>
      <c r="U307" s="298">
        <v>0.25750000000000001</v>
      </c>
      <c r="V307" s="298">
        <v>0</v>
      </c>
      <c r="W307" s="298">
        <v>0</v>
      </c>
      <c r="X307" s="298">
        <v>0</v>
      </c>
      <c r="Y307" s="298">
        <v>0</v>
      </c>
      <c r="Z307" s="298">
        <v>0</v>
      </c>
      <c r="AI307" s="313"/>
      <c r="AJ307" s="313"/>
      <c r="AK307" s="313"/>
      <c r="AM307" s="298">
        <v>7.2347732138005993E-2</v>
      </c>
    </row>
    <row r="308" spans="2:39" x14ac:dyDescent="0.25">
      <c r="B308" s="303">
        <f t="shared" si="35"/>
        <v>45536</v>
      </c>
      <c r="E308" s="301">
        <v>7.3029987657457995E-2</v>
      </c>
      <c r="F308" s="301">
        <v>0</v>
      </c>
      <c r="G308" s="301">
        <v>7.9968124000000002E-2</v>
      </c>
      <c r="H308" s="301">
        <v>0</v>
      </c>
      <c r="I308" s="301">
        <v>0</v>
      </c>
      <c r="J308" s="301">
        <v>0.155</v>
      </c>
      <c r="K308" s="301">
        <v>0</v>
      </c>
      <c r="L308" s="301">
        <v>0</v>
      </c>
      <c r="M308" s="301">
        <v>0</v>
      </c>
      <c r="N308" s="301">
        <v>0</v>
      </c>
      <c r="O308" s="301">
        <v>0</v>
      </c>
      <c r="P308" s="298">
        <v>0</v>
      </c>
      <c r="Q308" s="298">
        <v>0</v>
      </c>
      <c r="R308" s="298">
        <v>0</v>
      </c>
      <c r="S308" s="298">
        <v>0</v>
      </c>
      <c r="T308" s="298">
        <v>0</v>
      </c>
      <c r="U308" s="298">
        <v>0.2525</v>
      </c>
      <c r="V308" s="298">
        <v>0</v>
      </c>
      <c r="W308" s="298">
        <v>0</v>
      </c>
      <c r="X308" s="298">
        <v>0</v>
      </c>
      <c r="Y308" s="298">
        <v>0</v>
      </c>
      <c r="Z308" s="298">
        <v>0</v>
      </c>
      <c r="AI308" s="313"/>
      <c r="AJ308" s="313"/>
      <c r="AK308" s="313"/>
      <c r="AM308" s="298">
        <v>7.2349226941118006E-2</v>
      </c>
    </row>
    <row r="309" spans="2:39" x14ac:dyDescent="0.25">
      <c r="B309" s="303">
        <f t="shared" si="35"/>
        <v>45566</v>
      </c>
      <c r="E309" s="301">
        <v>7.3031584786887996E-2</v>
      </c>
      <c r="F309" s="301">
        <v>0</v>
      </c>
      <c r="G309" s="301">
        <v>7.9968124000000002E-2</v>
      </c>
      <c r="H309" s="301">
        <v>0</v>
      </c>
      <c r="I309" s="301">
        <v>0</v>
      </c>
      <c r="J309" s="301">
        <v>0.1575</v>
      </c>
      <c r="K309" s="301">
        <v>0</v>
      </c>
      <c r="L309" s="301">
        <v>0</v>
      </c>
      <c r="M309" s="301">
        <v>0</v>
      </c>
      <c r="N309" s="301">
        <v>0</v>
      </c>
      <c r="O309" s="301">
        <v>0</v>
      </c>
      <c r="P309" s="298">
        <v>0</v>
      </c>
      <c r="Q309" s="298">
        <v>0</v>
      </c>
      <c r="R309" s="298">
        <v>0</v>
      </c>
      <c r="S309" s="298">
        <v>0</v>
      </c>
      <c r="T309" s="298">
        <v>0</v>
      </c>
      <c r="U309" s="298">
        <v>0.255</v>
      </c>
      <c r="V309" s="298">
        <v>0</v>
      </c>
      <c r="W309" s="298">
        <v>0</v>
      </c>
      <c r="X309" s="298">
        <v>0</v>
      </c>
      <c r="Y309" s="298">
        <v>0</v>
      </c>
      <c r="Z309" s="298">
        <v>0</v>
      </c>
      <c r="AI309" s="313"/>
      <c r="AJ309" s="313"/>
      <c r="AK309" s="313"/>
      <c r="AM309" s="298">
        <v>7.2350673524776005E-2</v>
      </c>
    </row>
    <row r="310" spans="2:39" x14ac:dyDescent="0.25">
      <c r="B310" s="303">
        <f t="shared" si="35"/>
        <v>45597</v>
      </c>
      <c r="E310" s="301">
        <v>7.3033235153964995E-2</v>
      </c>
      <c r="F310" s="301">
        <v>0</v>
      </c>
      <c r="G310" s="301">
        <v>1.1287000000000001E-5</v>
      </c>
      <c r="H310" s="301">
        <v>0</v>
      </c>
      <c r="I310" s="301">
        <v>0</v>
      </c>
      <c r="J310" s="301">
        <v>0.24</v>
      </c>
      <c r="K310" s="301">
        <v>0</v>
      </c>
      <c r="L310" s="301">
        <v>0</v>
      </c>
      <c r="M310" s="301">
        <v>0</v>
      </c>
      <c r="N310" s="301">
        <v>0</v>
      </c>
      <c r="O310" s="301">
        <v>0</v>
      </c>
      <c r="P310" s="298">
        <v>0</v>
      </c>
      <c r="Q310" s="298">
        <v>0</v>
      </c>
      <c r="R310" s="298">
        <v>0</v>
      </c>
      <c r="S310" s="298">
        <v>0</v>
      </c>
      <c r="T310" s="298">
        <v>0</v>
      </c>
      <c r="U310" s="298">
        <v>0.72499999999999998</v>
      </c>
      <c r="V310" s="298">
        <v>0</v>
      </c>
      <c r="W310" s="298">
        <v>0</v>
      </c>
      <c r="X310" s="298">
        <v>0</v>
      </c>
      <c r="Y310" s="298">
        <v>0</v>
      </c>
      <c r="Z310" s="298">
        <v>0</v>
      </c>
      <c r="AI310" s="313"/>
      <c r="AJ310" s="313"/>
      <c r="AK310" s="313"/>
      <c r="AM310" s="298">
        <v>7.2352168327889002E-2</v>
      </c>
    </row>
    <row r="311" spans="2:39" x14ac:dyDescent="0.25">
      <c r="B311" s="303">
        <f t="shared" si="35"/>
        <v>45627</v>
      </c>
      <c r="E311" s="301">
        <v>7.3034832283395995E-2</v>
      </c>
      <c r="F311" s="301">
        <v>0</v>
      </c>
      <c r="G311" s="301">
        <v>-1.4951938E-2</v>
      </c>
      <c r="H311" s="301">
        <v>0</v>
      </c>
      <c r="I311" s="301">
        <v>0</v>
      </c>
      <c r="J311" s="301">
        <v>0.29499999999999998</v>
      </c>
      <c r="K311" s="301">
        <v>0</v>
      </c>
      <c r="L311" s="301">
        <v>0</v>
      </c>
      <c r="M311" s="301">
        <v>0</v>
      </c>
      <c r="N311" s="301">
        <v>0</v>
      </c>
      <c r="O311" s="301">
        <v>0</v>
      </c>
      <c r="P311" s="298">
        <v>0</v>
      </c>
      <c r="Q311" s="298">
        <v>0</v>
      </c>
      <c r="R311" s="298">
        <v>0</v>
      </c>
      <c r="S311" s="298">
        <v>0</v>
      </c>
      <c r="T311" s="298">
        <v>0</v>
      </c>
      <c r="U311" s="298">
        <v>1.0449999999999999</v>
      </c>
      <c r="V311" s="298">
        <v>0</v>
      </c>
      <c r="W311" s="298">
        <v>0</v>
      </c>
      <c r="X311" s="298">
        <v>0</v>
      </c>
      <c r="Y311" s="298">
        <v>0</v>
      </c>
      <c r="Z311" s="298">
        <v>0</v>
      </c>
      <c r="AI311" s="313"/>
      <c r="AJ311" s="313"/>
      <c r="AK311" s="313"/>
      <c r="AM311" s="298">
        <v>7.2353614911547001E-2</v>
      </c>
    </row>
    <row r="312" spans="2:39" x14ac:dyDescent="0.25">
      <c r="E312" s="301">
        <v>7.3036482650474993E-2</v>
      </c>
      <c r="F312" s="301">
        <v>0</v>
      </c>
      <c r="G312" s="301">
        <v>-9.9551840000000006E-3</v>
      </c>
      <c r="H312" s="301">
        <v>0</v>
      </c>
      <c r="I312" s="301">
        <v>0</v>
      </c>
      <c r="J312" s="301">
        <v>0.34250000000000003</v>
      </c>
      <c r="K312" s="301">
        <v>0</v>
      </c>
      <c r="L312" s="301">
        <v>0</v>
      </c>
      <c r="M312" s="301">
        <v>0</v>
      </c>
      <c r="N312" s="301">
        <v>0</v>
      </c>
      <c r="O312" s="301">
        <v>0</v>
      </c>
      <c r="P312" s="298">
        <v>0</v>
      </c>
      <c r="Q312" s="298">
        <v>0</v>
      </c>
      <c r="R312" s="298">
        <v>0</v>
      </c>
      <c r="S312" s="298">
        <v>0</v>
      </c>
      <c r="T312" s="298">
        <v>0</v>
      </c>
      <c r="U312" s="298">
        <v>1.52</v>
      </c>
      <c r="V312" s="298">
        <v>0</v>
      </c>
      <c r="W312" s="298">
        <v>0</v>
      </c>
      <c r="X312" s="298">
        <v>0</v>
      </c>
      <c r="Y312" s="298">
        <v>0</v>
      </c>
      <c r="Z312" s="298">
        <v>0</v>
      </c>
      <c r="AI312" s="313"/>
      <c r="AJ312" s="313"/>
      <c r="AK312" s="313"/>
      <c r="AM312" s="298">
        <v>7.2355109714661997E-2</v>
      </c>
    </row>
    <row r="313" spans="2:39" x14ac:dyDescent="0.25">
      <c r="E313" s="301">
        <v>7.3038133017555004E-2</v>
      </c>
      <c r="F313" s="301">
        <v>0</v>
      </c>
      <c r="G313" s="301">
        <v>1.5042577E-2</v>
      </c>
      <c r="H313" s="301">
        <v>0</v>
      </c>
      <c r="I313" s="301">
        <v>0</v>
      </c>
      <c r="J313" s="301">
        <v>0.33750000000000002</v>
      </c>
      <c r="K313" s="301">
        <v>0</v>
      </c>
      <c r="L313" s="301">
        <v>0</v>
      </c>
      <c r="M313" s="301">
        <v>0</v>
      </c>
      <c r="N313" s="301">
        <v>0</v>
      </c>
      <c r="O313" s="301">
        <v>0</v>
      </c>
      <c r="P313" s="298">
        <v>0</v>
      </c>
      <c r="Q313" s="298">
        <v>0</v>
      </c>
      <c r="R313" s="298">
        <v>0</v>
      </c>
      <c r="S313" s="298">
        <v>0</v>
      </c>
      <c r="T313" s="298">
        <v>0</v>
      </c>
      <c r="U313" s="298">
        <v>1.4</v>
      </c>
      <c r="V313" s="298">
        <v>0</v>
      </c>
      <c r="W313" s="298">
        <v>0</v>
      </c>
      <c r="X313" s="298">
        <v>0</v>
      </c>
      <c r="Y313" s="298">
        <v>0</v>
      </c>
      <c r="Z313" s="298">
        <v>0</v>
      </c>
      <c r="AI313" s="313"/>
      <c r="AJ313" s="313"/>
      <c r="AK313" s="313"/>
      <c r="AM313" s="298">
        <v>7.2356604517778006E-2</v>
      </c>
    </row>
    <row r="314" spans="2:39" x14ac:dyDescent="0.25">
      <c r="E314" s="301">
        <v>7.3039623671693005E-2</v>
      </c>
      <c r="F314" s="301">
        <v>0</v>
      </c>
      <c r="G314" s="301">
        <v>2.5042577E-2</v>
      </c>
      <c r="H314" s="301">
        <v>0</v>
      </c>
      <c r="I314" s="301">
        <v>0</v>
      </c>
      <c r="J314" s="301">
        <v>0.26</v>
      </c>
      <c r="K314" s="301">
        <v>0</v>
      </c>
      <c r="L314" s="301">
        <v>0</v>
      </c>
      <c r="M314" s="301">
        <v>0</v>
      </c>
      <c r="N314" s="301">
        <v>0</v>
      </c>
      <c r="O314" s="301">
        <v>0</v>
      </c>
      <c r="P314" s="298">
        <v>0</v>
      </c>
      <c r="Q314" s="298">
        <v>0</v>
      </c>
      <c r="R314" s="298">
        <v>0</v>
      </c>
      <c r="S314" s="298">
        <v>0</v>
      </c>
      <c r="T314" s="298">
        <v>0</v>
      </c>
      <c r="U314" s="298">
        <v>0.88</v>
      </c>
      <c r="V314" s="298">
        <v>0</v>
      </c>
      <c r="W314" s="298">
        <v>0</v>
      </c>
      <c r="X314" s="298">
        <v>0</v>
      </c>
      <c r="Y314" s="298">
        <v>0</v>
      </c>
      <c r="Z314" s="298">
        <v>0</v>
      </c>
      <c r="AI314" s="313"/>
      <c r="AJ314" s="313"/>
      <c r="AK314" s="313"/>
      <c r="AM314" s="298">
        <v>7.2357954662528007E-2</v>
      </c>
    </row>
    <row r="315" spans="2:39" x14ac:dyDescent="0.25">
      <c r="E315" s="301">
        <v>7.3041274038775E-2</v>
      </c>
      <c r="F315" s="301">
        <v>0</v>
      </c>
      <c r="G315" s="301">
        <v>8.4976639000000007E-2</v>
      </c>
      <c r="H315" s="301">
        <v>0</v>
      </c>
      <c r="I315" s="301">
        <v>0</v>
      </c>
      <c r="J315" s="301">
        <v>0.17</v>
      </c>
      <c r="K315" s="301">
        <v>0</v>
      </c>
      <c r="L315" s="301">
        <v>0</v>
      </c>
      <c r="M315" s="301">
        <v>0</v>
      </c>
      <c r="N315" s="301">
        <v>0</v>
      </c>
      <c r="O315" s="301">
        <v>0</v>
      </c>
      <c r="P315" s="298">
        <v>0</v>
      </c>
      <c r="Q315" s="298">
        <v>0</v>
      </c>
      <c r="R315" s="298">
        <v>0</v>
      </c>
      <c r="S315" s="298">
        <v>0</v>
      </c>
      <c r="T315" s="298">
        <v>0</v>
      </c>
      <c r="U315" s="298">
        <v>0.37</v>
      </c>
      <c r="V315" s="298">
        <v>0</v>
      </c>
      <c r="W315" s="298">
        <v>0</v>
      </c>
      <c r="X315" s="298">
        <v>0</v>
      </c>
      <c r="Y315" s="298">
        <v>0</v>
      </c>
      <c r="Z315" s="298">
        <v>0</v>
      </c>
      <c r="AI315" s="313"/>
      <c r="AJ315" s="313"/>
      <c r="AK315" s="313"/>
      <c r="AM315" s="298">
        <v>7.2359449465645001E-2</v>
      </c>
    </row>
    <row r="316" spans="2:39" x14ac:dyDescent="0.25">
      <c r="E316" s="301">
        <v>7.3042871168209997E-2</v>
      </c>
      <c r="F316" s="301">
        <v>0</v>
      </c>
      <c r="G316" s="301">
        <v>8.4968124000000006E-2</v>
      </c>
      <c r="H316" s="301">
        <v>0</v>
      </c>
      <c r="I316" s="301">
        <v>0</v>
      </c>
      <c r="J316" s="301">
        <v>0.155</v>
      </c>
      <c r="K316" s="301">
        <v>0</v>
      </c>
      <c r="L316" s="301">
        <v>0</v>
      </c>
      <c r="M316" s="301">
        <v>0</v>
      </c>
      <c r="N316" s="301">
        <v>0</v>
      </c>
      <c r="O316" s="301">
        <v>0</v>
      </c>
      <c r="P316" s="298">
        <v>0</v>
      </c>
      <c r="Q316" s="298">
        <v>0</v>
      </c>
      <c r="R316" s="298">
        <v>0</v>
      </c>
      <c r="S316" s="298">
        <v>0</v>
      </c>
      <c r="T316" s="298">
        <v>0</v>
      </c>
      <c r="U316" s="298">
        <v>0.2525</v>
      </c>
      <c r="V316" s="298">
        <v>0</v>
      </c>
      <c r="W316" s="298">
        <v>0</v>
      </c>
      <c r="X316" s="298">
        <v>0</v>
      </c>
      <c r="Y316" s="298">
        <v>0</v>
      </c>
      <c r="Z316" s="298">
        <v>0</v>
      </c>
      <c r="AI316" s="313"/>
      <c r="AJ316" s="313"/>
      <c r="AK316" s="313"/>
      <c r="AM316" s="298">
        <v>7.2360896049306997E-2</v>
      </c>
    </row>
    <row r="317" spans="2:39" x14ac:dyDescent="0.25">
      <c r="E317" s="301">
        <v>7.3044521535294005E-2</v>
      </c>
      <c r="F317" s="301">
        <v>0</v>
      </c>
      <c r="G317" s="301">
        <v>8.4968124000000006E-2</v>
      </c>
      <c r="H317" s="301">
        <v>0</v>
      </c>
      <c r="I317" s="301">
        <v>0</v>
      </c>
      <c r="J317" s="301">
        <v>0.155</v>
      </c>
      <c r="K317" s="301">
        <v>0</v>
      </c>
      <c r="L317" s="301">
        <v>0</v>
      </c>
      <c r="M317" s="301">
        <v>0</v>
      </c>
      <c r="N317" s="301">
        <v>0</v>
      </c>
      <c r="O317" s="301">
        <v>0</v>
      </c>
      <c r="P317" s="298">
        <v>0</v>
      </c>
      <c r="Q317" s="298">
        <v>0</v>
      </c>
      <c r="R317" s="298">
        <v>0</v>
      </c>
      <c r="S317" s="298">
        <v>0</v>
      </c>
      <c r="T317" s="298">
        <v>0</v>
      </c>
      <c r="U317" s="298">
        <v>0.2525</v>
      </c>
      <c r="V317" s="298">
        <v>0</v>
      </c>
      <c r="W317" s="298">
        <v>0</v>
      </c>
      <c r="X317" s="298">
        <v>0</v>
      </c>
      <c r="Y317" s="298">
        <v>0</v>
      </c>
      <c r="Z317" s="298">
        <v>0</v>
      </c>
      <c r="AI317" s="313"/>
      <c r="AJ317" s="313"/>
      <c r="AK317" s="313"/>
      <c r="AM317" s="298">
        <v>7.2362390852425004E-2</v>
      </c>
    </row>
    <row r="318" spans="2:39" x14ac:dyDescent="0.25">
      <c r="E318" s="301">
        <v>7.304611866473E-2</v>
      </c>
      <c r="F318" s="301">
        <v>0</v>
      </c>
      <c r="G318" s="301">
        <v>8.4968124000000006E-2</v>
      </c>
      <c r="H318" s="301">
        <v>0</v>
      </c>
      <c r="I318" s="301">
        <v>0</v>
      </c>
      <c r="J318" s="301">
        <v>0.155</v>
      </c>
      <c r="K318" s="301">
        <v>0</v>
      </c>
      <c r="L318" s="301">
        <v>0</v>
      </c>
      <c r="M318" s="301">
        <v>0</v>
      </c>
      <c r="N318" s="301">
        <v>0</v>
      </c>
      <c r="O318" s="301">
        <v>0</v>
      </c>
      <c r="P318" s="298">
        <v>0</v>
      </c>
      <c r="Q318" s="298">
        <v>0</v>
      </c>
      <c r="R318" s="298">
        <v>0</v>
      </c>
      <c r="S318" s="298">
        <v>0</v>
      </c>
      <c r="T318" s="298">
        <v>0</v>
      </c>
      <c r="U318" s="298">
        <v>0.25750000000000001</v>
      </c>
      <c r="V318" s="298">
        <v>0</v>
      </c>
      <c r="W318" s="298">
        <v>0</v>
      </c>
      <c r="X318" s="298">
        <v>0</v>
      </c>
      <c r="Y318" s="298">
        <v>0</v>
      </c>
      <c r="Z318" s="298">
        <v>0</v>
      </c>
      <c r="AI318" s="313"/>
      <c r="AJ318" s="313"/>
      <c r="AK318" s="313"/>
      <c r="AM318" s="298">
        <v>7.2363837436089998E-2</v>
      </c>
    </row>
    <row r="319" spans="2:39" x14ac:dyDescent="0.25">
      <c r="E319" s="301">
        <v>7.3047769031814994E-2</v>
      </c>
      <c r="F319" s="301">
        <v>0</v>
      </c>
      <c r="G319" s="301">
        <v>8.4968124000000006E-2</v>
      </c>
      <c r="H319" s="301">
        <v>0</v>
      </c>
      <c r="I319" s="301">
        <v>0</v>
      </c>
      <c r="J319" s="301">
        <v>0.155</v>
      </c>
      <c r="K319" s="301">
        <v>0</v>
      </c>
      <c r="L319" s="301">
        <v>0</v>
      </c>
      <c r="M319" s="301">
        <v>0</v>
      </c>
      <c r="N319" s="301">
        <v>0</v>
      </c>
      <c r="O319" s="301">
        <v>0</v>
      </c>
      <c r="P319" s="298">
        <v>0</v>
      </c>
      <c r="Q319" s="298">
        <v>0</v>
      </c>
      <c r="R319" s="298">
        <v>0</v>
      </c>
      <c r="S319" s="298">
        <v>0</v>
      </c>
      <c r="T319" s="298">
        <v>0</v>
      </c>
      <c r="U319" s="298">
        <v>0.25750000000000001</v>
      </c>
      <c r="V319" s="298">
        <v>0</v>
      </c>
      <c r="W319" s="298">
        <v>0</v>
      </c>
      <c r="X319" s="298">
        <v>0</v>
      </c>
      <c r="Y319" s="298">
        <v>0</v>
      </c>
      <c r="Z319" s="298">
        <v>0</v>
      </c>
      <c r="AI319" s="313"/>
      <c r="AJ319" s="313"/>
      <c r="AK319" s="313"/>
      <c r="AM319" s="298">
        <v>7.2365332239209004E-2</v>
      </c>
    </row>
    <row r="320" spans="2:39" x14ac:dyDescent="0.25">
      <c r="E320" s="301">
        <v>7.3049419398901999E-2</v>
      </c>
      <c r="F320" s="301">
        <v>0</v>
      </c>
      <c r="G320" s="301">
        <v>8.4968124000000006E-2</v>
      </c>
      <c r="H320" s="301">
        <v>0</v>
      </c>
      <c r="I320" s="301">
        <v>0</v>
      </c>
      <c r="J320" s="301">
        <v>0.155</v>
      </c>
      <c r="K320" s="301">
        <v>0</v>
      </c>
      <c r="L320" s="301">
        <v>0</v>
      </c>
      <c r="M320" s="301">
        <v>0</v>
      </c>
      <c r="N320" s="301">
        <v>0</v>
      </c>
      <c r="O320" s="301">
        <v>0</v>
      </c>
      <c r="P320" s="298">
        <v>0</v>
      </c>
      <c r="Q320" s="298">
        <v>0</v>
      </c>
      <c r="R320" s="298">
        <v>0</v>
      </c>
      <c r="S320" s="298">
        <v>0</v>
      </c>
      <c r="T320" s="298">
        <v>0</v>
      </c>
      <c r="U320" s="298">
        <v>0.2525</v>
      </c>
      <c r="V320" s="298">
        <v>0</v>
      </c>
      <c r="W320" s="298">
        <v>0</v>
      </c>
      <c r="X320" s="298">
        <v>0</v>
      </c>
      <c r="Y320" s="298">
        <v>0</v>
      </c>
      <c r="Z320" s="298">
        <v>0</v>
      </c>
      <c r="AI320" s="313"/>
      <c r="AJ320" s="313"/>
      <c r="AK320" s="313"/>
      <c r="AM320" s="298">
        <v>7.2366827042329995E-2</v>
      </c>
    </row>
    <row r="321" spans="5:39" x14ac:dyDescent="0.25">
      <c r="E321" s="301">
        <v>7.3051016528341006E-2</v>
      </c>
      <c r="F321" s="301">
        <v>0</v>
      </c>
      <c r="G321" s="301">
        <v>8.4968124000000006E-2</v>
      </c>
      <c r="H321" s="301">
        <v>0</v>
      </c>
      <c r="I321" s="301">
        <v>0</v>
      </c>
      <c r="J321" s="301">
        <v>0.1575</v>
      </c>
      <c r="K321" s="301">
        <v>0</v>
      </c>
      <c r="L321" s="301">
        <v>0</v>
      </c>
      <c r="M321" s="301">
        <v>0</v>
      </c>
      <c r="N321" s="301">
        <v>0</v>
      </c>
      <c r="O321" s="301">
        <v>0</v>
      </c>
      <c r="P321" s="298">
        <v>0</v>
      </c>
      <c r="Q321" s="298">
        <v>0</v>
      </c>
      <c r="R321" s="298">
        <v>0</v>
      </c>
      <c r="S321" s="298">
        <v>0</v>
      </c>
      <c r="T321" s="298">
        <v>0</v>
      </c>
      <c r="U321" s="298">
        <v>0.255</v>
      </c>
      <c r="V321" s="298">
        <v>0</v>
      </c>
      <c r="W321" s="298">
        <v>0</v>
      </c>
      <c r="X321" s="298">
        <v>0</v>
      </c>
      <c r="Y321" s="298">
        <v>0</v>
      </c>
      <c r="Z321" s="298">
        <v>0</v>
      </c>
      <c r="AI321" s="313"/>
      <c r="AJ321" s="313"/>
      <c r="AK321" s="313"/>
      <c r="AM321" s="298">
        <v>7.2368273625999999E-2</v>
      </c>
    </row>
    <row r="322" spans="5:39" x14ac:dyDescent="0.25">
      <c r="E322" s="301">
        <v>7.3052666895428997E-2</v>
      </c>
      <c r="F322" s="301">
        <v>0</v>
      </c>
      <c r="G322" s="301">
        <v>5.0112869999999997E-3</v>
      </c>
      <c r="H322" s="301">
        <v>0</v>
      </c>
      <c r="I322" s="301">
        <v>0</v>
      </c>
      <c r="J322" s="301">
        <v>0.24</v>
      </c>
      <c r="K322" s="301">
        <v>0</v>
      </c>
      <c r="L322" s="301">
        <v>0</v>
      </c>
      <c r="M322" s="301">
        <v>0</v>
      </c>
      <c r="N322" s="301">
        <v>0</v>
      </c>
      <c r="O322" s="301">
        <v>0</v>
      </c>
      <c r="P322" s="298">
        <v>0</v>
      </c>
      <c r="Q322" s="298">
        <v>0</v>
      </c>
      <c r="R322" s="298">
        <v>0</v>
      </c>
      <c r="S322" s="298">
        <v>0</v>
      </c>
      <c r="T322" s="298">
        <v>0</v>
      </c>
      <c r="U322" s="298">
        <v>0.72499999999999998</v>
      </c>
      <c r="V322" s="298">
        <v>0</v>
      </c>
      <c r="W322" s="298">
        <v>0</v>
      </c>
      <c r="X322" s="298">
        <v>0</v>
      </c>
      <c r="Y322" s="298">
        <v>0</v>
      </c>
      <c r="Z322" s="298">
        <v>0</v>
      </c>
      <c r="AI322" s="313"/>
      <c r="AJ322" s="313"/>
      <c r="AK322" s="313"/>
      <c r="AM322" s="298">
        <v>7.2369768429118006E-2</v>
      </c>
    </row>
    <row r="323" spans="5:39" x14ac:dyDescent="0.25">
      <c r="E323" s="301">
        <v>7.3054264024870003E-2</v>
      </c>
      <c r="F323" s="301">
        <v>0</v>
      </c>
      <c r="G323" s="301">
        <v>-9.9519380000000005E-3</v>
      </c>
      <c r="H323" s="301">
        <v>0</v>
      </c>
      <c r="I323" s="301">
        <v>0</v>
      </c>
      <c r="J323" s="301">
        <v>0.29499999999999998</v>
      </c>
      <c r="K323" s="301">
        <v>0</v>
      </c>
      <c r="L323" s="301">
        <v>0</v>
      </c>
      <c r="M323" s="301">
        <v>0</v>
      </c>
      <c r="N323" s="301">
        <v>0</v>
      </c>
      <c r="O323" s="301">
        <v>0</v>
      </c>
      <c r="P323" s="298">
        <v>0</v>
      </c>
      <c r="Q323" s="298">
        <v>0</v>
      </c>
      <c r="R323" s="298">
        <v>0</v>
      </c>
      <c r="S323" s="298">
        <v>0</v>
      </c>
      <c r="T323" s="298">
        <v>0</v>
      </c>
      <c r="U323" s="298">
        <v>1.0449999999999999</v>
      </c>
      <c r="V323" s="298">
        <v>0</v>
      </c>
      <c r="W323" s="298">
        <v>0</v>
      </c>
      <c r="X323" s="298">
        <v>0</v>
      </c>
      <c r="Y323" s="298">
        <v>0</v>
      </c>
      <c r="Z323" s="298">
        <v>0</v>
      </c>
      <c r="AI323" s="313"/>
      <c r="AJ323" s="313"/>
      <c r="AK323" s="313"/>
      <c r="AM323" s="298">
        <v>7.2371215012783999E-2</v>
      </c>
    </row>
    <row r="324" spans="5:39" x14ac:dyDescent="0.25">
      <c r="E324" s="301">
        <v>7.3055914391960006E-2</v>
      </c>
      <c r="F324" s="301">
        <v>0</v>
      </c>
      <c r="G324" s="301">
        <v>-4.9551839999999996E-3</v>
      </c>
      <c r="H324" s="301">
        <v>0</v>
      </c>
      <c r="I324" s="301">
        <v>0</v>
      </c>
      <c r="J324" s="301">
        <v>0.34250000000000003</v>
      </c>
      <c r="K324" s="301">
        <v>0</v>
      </c>
      <c r="L324" s="301">
        <v>0</v>
      </c>
      <c r="M324" s="301">
        <v>0</v>
      </c>
      <c r="N324" s="301">
        <v>0</v>
      </c>
      <c r="O324" s="301">
        <v>0</v>
      </c>
      <c r="P324" s="298">
        <v>0</v>
      </c>
      <c r="Q324" s="298">
        <v>0</v>
      </c>
      <c r="R324" s="298">
        <v>0</v>
      </c>
      <c r="S324" s="298">
        <v>0</v>
      </c>
      <c r="T324" s="298">
        <v>0</v>
      </c>
      <c r="U324" s="298">
        <v>1.52</v>
      </c>
      <c r="V324" s="298">
        <v>0</v>
      </c>
      <c r="W324" s="298">
        <v>0</v>
      </c>
      <c r="X324" s="298">
        <v>0</v>
      </c>
      <c r="Y324" s="298">
        <v>0</v>
      </c>
      <c r="Z324" s="298">
        <v>0</v>
      </c>
      <c r="AI324" s="313"/>
      <c r="AJ324" s="313"/>
      <c r="AK324" s="313"/>
      <c r="AM324" s="298">
        <v>7.2372709815908001E-2</v>
      </c>
    </row>
    <row r="325" spans="5:39" x14ac:dyDescent="0.25">
      <c r="E325" s="301">
        <v>7.3057564759049995E-2</v>
      </c>
      <c r="F325" s="301">
        <v>0</v>
      </c>
      <c r="G325" s="301">
        <v>2.0042576999999999E-2</v>
      </c>
      <c r="H325" s="301">
        <v>0</v>
      </c>
      <c r="I325" s="301">
        <v>0</v>
      </c>
      <c r="J325" s="301">
        <v>0.33750000000000002</v>
      </c>
      <c r="K325" s="301">
        <v>0</v>
      </c>
      <c r="L325" s="301">
        <v>0</v>
      </c>
      <c r="M325" s="301">
        <v>0</v>
      </c>
      <c r="N325" s="301">
        <v>0</v>
      </c>
      <c r="O325" s="301">
        <v>0</v>
      </c>
      <c r="P325" s="298">
        <v>0</v>
      </c>
      <c r="Q325" s="298">
        <v>0</v>
      </c>
      <c r="R325" s="298">
        <v>0</v>
      </c>
      <c r="S325" s="298">
        <v>0</v>
      </c>
      <c r="T325" s="298">
        <v>0</v>
      </c>
      <c r="U325" s="298">
        <v>1.4</v>
      </c>
      <c r="V325" s="298">
        <v>0</v>
      </c>
      <c r="W325" s="298">
        <v>0</v>
      </c>
      <c r="X325" s="298">
        <v>0</v>
      </c>
      <c r="Y325" s="298">
        <v>0</v>
      </c>
      <c r="Z325" s="298">
        <v>0</v>
      </c>
      <c r="AI325" s="313"/>
      <c r="AJ325" s="313"/>
      <c r="AK325" s="313"/>
      <c r="AM325" s="298">
        <v>7.2374204619032004E-2</v>
      </c>
    </row>
    <row r="326" spans="5:39" x14ac:dyDescent="0.25">
      <c r="E326" s="301">
        <v>7.3059055413198001E-2</v>
      </c>
      <c r="F326" s="301">
        <v>0</v>
      </c>
      <c r="G326" s="301">
        <v>3.0042577000000001E-2</v>
      </c>
      <c r="H326" s="301">
        <v>0</v>
      </c>
      <c r="I326" s="301">
        <v>0</v>
      </c>
      <c r="J326" s="301">
        <v>0.26</v>
      </c>
      <c r="K326" s="301">
        <v>0</v>
      </c>
      <c r="L326" s="301">
        <v>0</v>
      </c>
      <c r="M326" s="301">
        <v>0</v>
      </c>
      <c r="N326" s="301">
        <v>0</v>
      </c>
      <c r="O326" s="301">
        <v>0</v>
      </c>
      <c r="P326" s="298">
        <v>0</v>
      </c>
      <c r="Q326" s="298">
        <v>0</v>
      </c>
      <c r="R326" s="298">
        <v>0</v>
      </c>
      <c r="S326" s="298">
        <v>0</v>
      </c>
      <c r="T326" s="298">
        <v>0</v>
      </c>
      <c r="U326" s="298">
        <v>0.88</v>
      </c>
      <c r="V326" s="298">
        <v>0</v>
      </c>
      <c r="W326" s="298">
        <v>0</v>
      </c>
      <c r="X326" s="298">
        <v>0</v>
      </c>
      <c r="Y326" s="298">
        <v>0</v>
      </c>
      <c r="Z326" s="298">
        <v>0</v>
      </c>
      <c r="AI326" s="313"/>
      <c r="AJ326" s="313"/>
      <c r="AK326" s="313"/>
      <c r="AM326" s="298">
        <v>7.2375554763790997E-2</v>
      </c>
    </row>
    <row r="327" spans="5:39" x14ac:dyDescent="0.25">
      <c r="E327" s="301">
        <v>7.3060705780291002E-2</v>
      </c>
      <c r="F327" s="301">
        <v>0</v>
      </c>
      <c r="G327" s="301">
        <v>8.9976638999999997E-2</v>
      </c>
      <c r="H327" s="301">
        <v>0</v>
      </c>
      <c r="I327" s="301">
        <v>0</v>
      </c>
      <c r="J327" s="301">
        <v>0.17</v>
      </c>
      <c r="K327" s="301">
        <v>0</v>
      </c>
      <c r="L327" s="301">
        <v>0</v>
      </c>
      <c r="M327" s="301">
        <v>0</v>
      </c>
      <c r="N327" s="301">
        <v>0</v>
      </c>
      <c r="O327" s="301">
        <v>0</v>
      </c>
      <c r="P327" s="298">
        <v>0</v>
      </c>
      <c r="Q327" s="298">
        <v>0</v>
      </c>
      <c r="R327" s="298">
        <v>0</v>
      </c>
      <c r="S327" s="298">
        <v>0</v>
      </c>
      <c r="T327" s="298">
        <v>0</v>
      </c>
      <c r="U327" s="298">
        <v>0.37</v>
      </c>
      <c r="V327" s="298">
        <v>0</v>
      </c>
      <c r="W327" s="298">
        <v>0</v>
      </c>
      <c r="X327" s="298">
        <v>0</v>
      </c>
      <c r="Y327" s="298">
        <v>0</v>
      </c>
      <c r="Z327" s="298">
        <v>0</v>
      </c>
      <c r="AI327" s="313"/>
      <c r="AJ327" s="313"/>
      <c r="AK327" s="313"/>
      <c r="AM327" s="298">
        <v>7.2377049566915999E-2</v>
      </c>
    </row>
    <row r="328" spans="5:39" x14ac:dyDescent="0.25">
      <c r="E328" s="301">
        <v>7.3062302909735005E-2</v>
      </c>
      <c r="F328" s="301">
        <v>0</v>
      </c>
      <c r="G328" s="301">
        <v>8.9968123999999997E-2</v>
      </c>
      <c r="H328" s="301">
        <v>0</v>
      </c>
      <c r="I328" s="301">
        <v>0</v>
      </c>
      <c r="J328" s="301">
        <v>0.155</v>
      </c>
      <c r="K328" s="301">
        <v>0</v>
      </c>
      <c r="L328" s="301">
        <v>0</v>
      </c>
      <c r="M328" s="301">
        <v>0</v>
      </c>
      <c r="N328" s="301">
        <v>0</v>
      </c>
      <c r="O328" s="301">
        <v>0</v>
      </c>
      <c r="P328" s="298">
        <v>0</v>
      </c>
      <c r="Q328" s="298">
        <v>0</v>
      </c>
      <c r="R328" s="298">
        <v>0</v>
      </c>
      <c r="S328" s="298">
        <v>0</v>
      </c>
      <c r="T328" s="298">
        <v>0</v>
      </c>
      <c r="U328" s="298">
        <v>0.2525</v>
      </c>
      <c r="V328" s="298">
        <v>0</v>
      </c>
      <c r="W328" s="298">
        <v>0</v>
      </c>
      <c r="X328" s="298">
        <v>0</v>
      </c>
      <c r="Y328" s="298">
        <v>0</v>
      </c>
      <c r="Z328" s="298">
        <v>0</v>
      </c>
      <c r="AI328" s="313"/>
      <c r="AJ328" s="313"/>
      <c r="AK328" s="313"/>
      <c r="AM328" s="298">
        <v>7.2378496150586002E-2</v>
      </c>
    </row>
    <row r="329" spans="5:39" x14ac:dyDescent="0.25">
      <c r="E329" s="301">
        <v>7.3063953276830004E-2</v>
      </c>
      <c r="F329" s="301">
        <v>0</v>
      </c>
      <c r="G329" s="301">
        <v>8.9968123999999997E-2</v>
      </c>
      <c r="H329" s="301">
        <v>0</v>
      </c>
      <c r="I329" s="301">
        <v>0</v>
      </c>
      <c r="J329" s="301">
        <v>0.155</v>
      </c>
      <c r="K329" s="301">
        <v>0</v>
      </c>
      <c r="L329" s="301">
        <v>0</v>
      </c>
      <c r="M329" s="301">
        <v>0</v>
      </c>
      <c r="N329" s="301">
        <v>0</v>
      </c>
      <c r="O329" s="301">
        <v>0</v>
      </c>
      <c r="P329" s="298">
        <v>0</v>
      </c>
      <c r="Q329" s="298">
        <v>0</v>
      </c>
      <c r="R329" s="298">
        <v>0</v>
      </c>
      <c r="S329" s="298">
        <v>0</v>
      </c>
      <c r="T329" s="298">
        <v>0</v>
      </c>
      <c r="U329" s="298">
        <v>0.2525</v>
      </c>
      <c r="V329" s="298">
        <v>0</v>
      </c>
      <c r="W329" s="298">
        <v>0</v>
      </c>
      <c r="X329" s="298">
        <v>0</v>
      </c>
      <c r="Y329" s="298">
        <v>0</v>
      </c>
      <c r="Z329" s="298">
        <v>0</v>
      </c>
      <c r="AI329" s="313"/>
      <c r="AJ329" s="313"/>
      <c r="AK329" s="313"/>
      <c r="AM329" s="298">
        <v>7.2379990953714002E-2</v>
      </c>
    </row>
    <row r="330" spans="5:39" x14ac:dyDescent="0.25">
      <c r="E330" s="301">
        <v>7.3065550406277005E-2</v>
      </c>
      <c r="F330" s="301">
        <v>0</v>
      </c>
      <c r="G330" s="301">
        <v>8.9968123999999997E-2</v>
      </c>
      <c r="H330" s="301">
        <v>0</v>
      </c>
      <c r="I330" s="301">
        <v>0</v>
      </c>
      <c r="J330" s="301">
        <v>0.155</v>
      </c>
      <c r="K330" s="301">
        <v>0</v>
      </c>
      <c r="L330" s="301">
        <v>0</v>
      </c>
      <c r="M330" s="301">
        <v>0</v>
      </c>
      <c r="N330" s="301">
        <v>0</v>
      </c>
      <c r="O330" s="301">
        <v>0</v>
      </c>
      <c r="P330" s="298">
        <v>0</v>
      </c>
      <c r="Q330" s="298">
        <v>0</v>
      </c>
      <c r="R330" s="298">
        <v>0</v>
      </c>
      <c r="S330" s="298">
        <v>0</v>
      </c>
      <c r="T330" s="298">
        <v>0</v>
      </c>
      <c r="U330" s="298">
        <v>0.25750000000000001</v>
      </c>
      <c r="V330" s="298">
        <v>0</v>
      </c>
      <c r="W330" s="298">
        <v>0</v>
      </c>
      <c r="X330" s="298">
        <v>0</v>
      </c>
      <c r="Y330" s="298">
        <v>0</v>
      </c>
      <c r="Z330" s="298">
        <v>0</v>
      </c>
      <c r="AI330" s="313"/>
      <c r="AJ330" s="313"/>
      <c r="AK330" s="313"/>
      <c r="AM330" s="298">
        <v>7.2381437537386004E-2</v>
      </c>
    </row>
    <row r="331" spans="5:39" x14ac:dyDescent="0.25">
      <c r="E331" s="301">
        <v>7.3067200773372004E-2</v>
      </c>
      <c r="F331" s="301">
        <v>0</v>
      </c>
      <c r="G331" s="301">
        <v>8.9968123999999997E-2</v>
      </c>
      <c r="H331" s="301">
        <v>0</v>
      </c>
      <c r="I331" s="301">
        <v>0</v>
      </c>
      <c r="J331" s="301">
        <v>0.155</v>
      </c>
      <c r="K331" s="301">
        <v>0</v>
      </c>
      <c r="L331" s="301">
        <v>0</v>
      </c>
      <c r="M331" s="301">
        <v>0</v>
      </c>
      <c r="N331" s="301">
        <v>0</v>
      </c>
      <c r="O331" s="301">
        <v>0</v>
      </c>
      <c r="P331" s="298">
        <v>0</v>
      </c>
      <c r="Q331" s="298">
        <v>0</v>
      </c>
      <c r="R331" s="298">
        <v>0</v>
      </c>
      <c r="S331" s="298">
        <v>0</v>
      </c>
      <c r="T331" s="298">
        <v>0</v>
      </c>
      <c r="U331" s="298">
        <v>0.25750000000000001</v>
      </c>
      <c r="V331" s="298">
        <v>0</v>
      </c>
      <c r="W331" s="298">
        <v>0</v>
      </c>
      <c r="X331" s="298">
        <v>0</v>
      </c>
      <c r="Y331" s="298">
        <v>0</v>
      </c>
      <c r="Z331" s="298">
        <v>0</v>
      </c>
      <c r="AI331" s="313"/>
      <c r="AJ331" s="313"/>
      <c r="AK331" s="313"/>
      <c r="AM331" s="298">
        <v>7.2382932340515002E-2</v>
      </c>
    </row>
    <row r="332" spans="5:39" x14ac:dyDescent="0.25">
      <c r="E332" s="301">
        <v>7.3068851140469002E-2</v>
      </c>
      <c r="F332" s="301">
        <v>0</v>
      </c>
      <c r="G332" s="301">
        <v>8.9968123999999997E-2</v>
      </c>
      <c r="H332" s="301">
        <v>0</v>
      </c>
      <c r="I332" s="301">
        <v>0</v>
      </c>
      <c r="J332" s="301">
        <v>0.155</v>
      </c>
      <c r="K332" s="301">
        <v>0</v>
      </c>
      <c r="L332" s="301">
        <v>0</v>
      </c>
      <c r="M332" s="301">
        <v>0</v>
      </c>
      <c r="N332" s="301">
        <v>0</v>
      </c>
      <c r="O332" s="301">
        <v>0</v>
      </c>
      <c r="P332" s="298">
        <v>0</v>
      </c>
      <c r="Q332" s="298">
        <v>0</v>
      </c>
      <c r="R332" s="298">
        <v>0</v>
      </c>
      <c r="S332" s="298">
        <v>0</v>
      </c>
      <c r="T332" s="298">
        <v>0</v>
      </c>
      <c r="U332" s="298">
        <v>0.2525</v>
      </c>
      <c r="V332" s="298">
        <v>0</v>
      </c>
      <c r="W332" s="298">
        <v>0</v>
      </c>
      <c r="X332" s="298">
        <v>0</v>
      </c>
      <c r="Y332" s="298">
        <v>0</v>
      </c>
      <c r="Z332" s="298">
        <v>0</v>
      </c>
      <c r="AI332" s="313"/>
      <c r="AJ332" s="313"/>
      <c r="AK332" s="313"/>
      <c r="AM332" s="298">
        <v>7.2384427143643001E-2</v>
      </c>
    </row>
    <row r="333" spans="5:39" x14ac:dyDescent="0.25">
      <c r="E333" s="301">
        <v>7.3070448269919E-2</v>
      </c>
      <c r="F333" s="301">
        <v>0</v>
      </c>
      <c r="G333" s="301">
        <v>8.9968123999999997E-2</v>
      </c>
      <c r="H333" s="301">
        <v>0</v>
      </c>
      <c r="I333" s="301">
        <v>0</v>
      </c>
      <c r="J333" s="301">
        <v>0.1575</v>
      </c>
      <c r="K333" s="301">
        <v>0</v>
      </c>
      <c r="L333" s="301">
        <v>0</v>
      </c>
      <c r="M333" s="301">
        <v>0</v>
      </c>
      <c r="N333" s="301">
        <v>0</v>
      </c>
      <c r="O333" s="301">
        <v>0</v>
      </c>
      <c r="P333" s="298">
        <v>0</v>
      </c>
      <c r="Q333" s="298">
        <v>0</v>
      </c>
      <c r="R333" s="298">
        <v>0</v>
      </c>
      <c r="S333" s="298">
        <v>0</v>
      </c>
      <c r="T333" s="298">
        <v>0</v>
      </c>
      <c r="U333" s="298">
        <v>0.255</v>
      </c>
      <c r="V333" s="298">
        <v>0</v>
      </c>
      <c r="W333" s="298">
        <v>0</v>
      </c>
      <c r="X333" s="298">
        <v>0</v>
      </c>
      <c r="Y333" s="298">
        <v>0</v>
      </c>
      <c r="Z333" s="298">
        <v>0</v>
      </c>
      <c r="AI333" s="313"/>
      <c r="AJ333" s="313"/>
      <c r="AK333" s="313"/>
      <c r="AM333" s="298">
        <v>7.2385873727318001E-2</v>
      </c>
    </row>
    <row r="334" spans="5:39" x14ac:dyDescent="0.25">
      <c r="E334" s="301">
        <v>7.3072098637016997E-2</v>
      </c>
      <c r="F334" s="301">
        <v>0</v>
      </c>
      <c r="G334" s="301">
        <v>1.0011287000000001E-2</v>
      </c>
      <c r="H334" s="301">
        <v>0</v>
      </c>
      <c r="I334" s="301">
        <v>0</v>
      </c>
      <c r="J334" s="301">
        <v>0.24</v>
      </c>
      <c r="K334" s="301">
        <v>0</v>
      </c>
      <c r="L334" s="301">
        <v>0</v>
      </c>
      <c r="M334" s="301">
        <v>0</v>
      </c>
      <c r="N334" s="301">
        <v>0</v>
      </c>
      <c r="O334" s="301">
        <v>0</v>
      </c>
      <c r="P334" s="298">
        <v>0</v>
      </c>
      <c r="Q334" s="298">
        <v>0</v>
      </c>
      <c r="R334" s="298">
        <v>0</v>
      </c>
      <c r="S334" s="298">
        <v>0</v>
      </c>
      <c r="T334" s="298">
        <v>0</v>
      </c>
      <c r="U334" s="298">
        <v>0.72499999999999998</v>
      </c>
      <c r="V334" s="298">
        <v>0</v>
      </c>
      <c r="W334" s="298">
        <v>0</v>
      </c>
      <c r="X334" s="298">
        <v>0</v>
      </c>
      <c r="Y334" s="298">
        <v>0</v>
      </c>
      <c r="Z334" s="298">
        <v>0</v>
      </c>
      <c r="AI334" s="313"/>
      <c r="AJ334" s="313"/>
      <c r="AK334" s="313"/>
      <c r="AM334" s="298">
        <v>7.2387368530447999E-2</v>
      </c>
    </row>
    <row r="335" spans="5:39" x14ac:dyDescent="0.25">
      <c r="E335" s="301">
        <v>7.3073695766468993E-2</v>
      </c>
      <c r="F335" s="301">
        <v>0</v>
      </c>
      <c r="G335" s="301">
        <v>-4.9519380000000003E-3</v>
      </c>
      <c r="H335" s="301">
        <v>0</v>
      </c>
      <c r="I335" s="301">
        <v>0</v>
      </c>
      <c r="J335" s="301">
        <v>0.29499999999999998</v>
      </c>
      <c r="K335" s="301">
        <v>0</v>
      </c>
      <c r="L335" s="301">
        <v>0</v>
      </c>
      <c r="M335" s="301">
        <v>0</v>
      </c>
      <c r="N335" s="301">
        <v>0</v>
      </c>
      <c r="O335" s="301">
        <v>0</v>
      </c>
      <c r="P335" s="298">
        <v>0</v>
      </c>
      <c r="Q335" s="298">
        <v>0</v>
      </c>
      <c r="R335" s="298">
        <v>0</v>
      </c>
      <c r="S335" s="298">
        <v>0</v>
      </c>
      <c r="T335" s="298">
        <v>0</v>
      </c>
      <c r="U335" s="298">
        <v>1.0449999999999999</v>
      </c>
      <c r="V335" s="298">
        <v>0</v>
      </c>
      <c r="W335" s="298">
        <v>0</v>
      </c>
      <c r="X335" s="298">
        <v>0</v>
      </c>
      <c r="Y335" s="298">
        <v>0</v>
      </c>
      <c r="Z335" s="298">
        <v>0</v>
      </c>
      <c r="AI335" s="313"/>
      <c r="AJ335" s="313"/>
      <c r="AK335" s="313"/>
      <c r="AM335" s="298">
        <v>7.2388815114123997E-2</v>
      </c>
    </row>
    <row r="336" spans="5:39" x14ac:dyDescent="0.25">
      <c r="E336" s="301">
        <v>7.3075346133569002E-2</v>
      </c>
      <c r="F336" s="301">
        <v>0</v>
      </c>
      <c r="G336" s="301">
        <v>4.4815999999999999E-5</v>
      </c>
      <c r="H336" s="301">
        <v>0</v>
      </c>
      <c r="I336" s="301">
        <v>0</v>
      </c>
      <c r="J336" s="301">
        <v>0.34250000000000003</v>
      </c>
      <c r="K336" s="301">
        <v>0</v>
      </c>
      <c r="L336" s="301">
        <v>0</v>
      </c>
      <c r="M336" s="301">
        <v>0</v>
      </c>
      <c r="N336" s="301">
        <v>0</v>
      </c>
      <c r="O336" s="301">
        <v>0</v>
      </c>
      <c r="P336" s="298">
        <v>0</v>
      </c>
      <c r="Q336" s="298">
        <v>0</v>
      </c>
      <c r="R336" s="298">
        <v>0</v>
      </c>
      <c r="S336" s="298">
        <v>0</v>
      </c>
      <c r="T336" s="298">
        <v>0</v>
      </c>
      <c r="U336" s="298">
        <v>1.52</v>
      </c>
      <c r="V336" s="298">
        <v>0</v>
      </c>
      <c r="W336" s="298">
        <v>0</v>
      </c>
      <c r="X336" s="298">
        <v>0</v>
      </c>
      <c r="Y336" s="298">
        <v>0</v>
      </c>
      <c r="Z336" s="298">
        <v>0</v>
      </c>
      <c r="AI336" s="313"/>
      <c r="AJ336" s="313"/>
      <c r="AK336" s="313"/>
      <c r="AM336" s="298">
        <v>7.2390309917255993E-2</v>
      </c>
    </row>
    <row r="337" spans="5:39" x14ac:dyDescent="0.25">
      <c r="E337" s="301">
        <v>7.3076996500670996E-2</v>
      </c>
      <c r="F337" s="301">
        <v>0</v>
      </c>
      <c r="G337" s="301">
        <v>2.5042577E-2</v>
      </c>
      <c r="H337" s="301">
        <v>0</v>
      </c>
      <c r="I337" s="301">
        <v>0</v>
      </c>
      <c r="J337" s="301">
        <v>0.33750000000000002</v>
      </c>
      <c r="K337" s="301">
        <v>0</v>
      </c>
      <c r="L337" s="301">
        <v>0</v>
      </c>
      <c r="M337" s="301">
        <v>0</v>
      </c>
      <c r="N337" s="301">
        <v>0</v>
      </c>
      <c r="O337" s="301">
        <v>0</v>
      </c>
      <c r="P337" s="298">
        <v>0</v>
      </c>
      <c r="Q337" s="298">
        <v>0</v>
      </c>
      <c r="R337" s="298">
        <v>0</v>
      </c>
      <c r="S337" s="298">
        <v>0</v>
      </c>
      <c r="T337" s="298">
        <v>0</v>
      </c>
      <c r="U337" s="298">
        <v>1.4</v>
      </c>
      <c r="V337" s="298">
        <v>0</v>
      </c>
      <c r="W337" s="298">
        <v>0</v>
      </c>
      <c r="X337" s="298">
        <v>0</v>
      </c>
      <c r="Y337" s="298">
        <v>0</v>
      </c>
      <c r="Z337" s="298">
        <v>0</v>
      </c>
      <c r="AI337" s="313"/>
      <c r="AJ337" s="313"/>
      <c r="AK337" s="313"/>
      <c r="AM337" s="298">
        <v>7.2391804720390002E-2</v>
      </c>
    </row>
    <row r="338" spans="5:39" x14ac:dyDescent="0.25">
      <c r="E338" s="301">
        <v>7.3078487154826996E-2</v>
      </c>
      <c r="F338" s="301">
        <v>0</v>
      </c>
      <c r="G338" s="301">
        <v>3.5042576999999998E-2</v>
      </c>
      <c r="H338" s="301">
        <v>0</v>
      </c>
      <c r="I338" s="301">
        <v>0</v>
      </c>
      <c r="J338" s="301">
        <v>0.26</v>
      </c>
      <c r="K338" s="301">
        <v>0</v>
      </c>
      <c r="L338" s="301">
        <v>0</v>
      </c>
      <c r="M338" s="301">
        <v>0</v>
      </c>
      <c r="N338" s="301">
        <v>0</v>
      </c>
      <c r="O338" s="301">
        <v>0</v>
      </c>
      <c r="P338" s="298">
        <v>0</v>
      </c>
      <c r="Q338" s="298">
        <v>0</v>
      </c>
      <c r="R338" s="298">
        <v>0</v>
      </c>
      <c r="S338" s="298">
        <v>0</v>
      </c>
      <c r="T338" s="298">
        <v>0</v>
      </c>
      <c r="U338" s="298">
        <v>0.88</v>
      </c>
      <c r="V338" s="298">
        <v>0</v>
      </c>
      <c r="W338" s="298">
        <v>0</v>
      </c>
      <c r="X338" s="298">
        <v>0</v>
      </c>
      <c r="Y338" s="298">
        <v>0</v>
      </c>
      <c r="Z338" s="298">
        <v>0</v>
      </c>
      <c r="AI338" s="313"/>
      <c r="AJ338" s="313"/>
      <c r="AK338" s="313"/>
      <c r="AM338" s="298">
        <v>7.2393154865155004E-2</v>
      </c>
    </row>
    <row r="339" spans="5:39" x14ac:dyDescent="0.25">
      <c r="E339" s="301">
        <v>7.3080137521930003E-2</v>
      </c>
      <c r="F339" s="301">
        <v>0</v>
      </c>
      <c r="G339" s="301">
        <v>9.4976639000000002E-2</v>
      </c>
      <c r="H339" s="301">
        <v>0</v>
      </c>
      <c r="I339" s="301">
        <v>0</v>
      </c>
      <c r="J339" s="301">
        <v>0</v>
      </c>
      <c r="K339" s="301">
        <v>0</v>
      </c>
      <c r="L339" s="301">
        <v>0</v>
      </c>
      <c r="M339" s="301">
        <v>0</v>
      </c>
      <c r="N339" s="301">
        <v>0</v>
      </c>
      <c r="O339" s="301">
        <v>0</v>
      </c>
      <c r="P339" s="298">
        <v>0</v>
      </c>
      <c r="Q339" s="298">
        <v>0</v>
      </c>
      <c r="R339" s="298">
        <v>0</v>
      </c>
      <c r="S339" s="298">
        <v>0</v>
      </c>
      <c r="T339" s="298">
        <v>0</v>
      </c>
      <c r="U339" s="298">
        <v>0.37</v>
      </c>
      <c r="V339" s="298">
        <v>0</v>
      </c>
      <c r="W339" s="298">
        <v>0</v>
      </c>
      <c r="X339" s="298">
        <v>0</v>
      </c>
      <c r="Y339" s="298">
        <v>0</v>
      </c>
      <c r="Z339" s="298">
        <v>0</v>
      </c>
      <c r="AI339" s="313"/>
      <c r="AJ339" s="313"/>
      <c r="AK339" s="313"/>
      <c r="AM339" s="298">
        <v>7.2394649668288999E-2</v>
      </c>
    </row>
    <row r="340" spans="5:39" x14ac:dyDescent="0.25">
      <c r="E340" s="301">
        <v>7.3081734651385996E-2</v>
      </c>
      <c r="F340" s="301">
        <v>0</v>
      </c>
      <c r="G340" s="301">
        <v>9.4968124000000001E-2</v>
      </c>
      <c r="H340" s="301">
        <v>0</v>
      </c>
      <c r="I340" s="301">
        <v>0</v>
      </c>
      <c r="J340" s="301">
        <v>0</v>
      </c>
      <c r="K340" s="301">
        <v>0</v>
      </c>
      <c r="L340" s="301">
        <v>0</v>
      </c>
      <c r="M340" s="301">
        <v>0</v>
      </c>
      <c r="N340" s="301">
        <v>0</v>
      </c>
      <c r="O340" s="301">
        <v>0</v>
      </c>
      <c r="P340" s="298">
        <v>0</v>
      </c>
      <c r="Q340" s="298">
        <v>0</v>
      </c>
      <c r="R340" s="298">
        <v>0</v>
      </c>
      <c r="S340" s="298">
        <v>0</v>
      </c>
      <c r="T340" s="298">
        <v>0</v>
      </c>
      <c r="U340" s="298">
        <v>0.2525</v>
      </c>
      <c r="V340" s="298">
        <v>0</v>
      </c>
      <c r="W340" s="298">
        <v>0</v>
      </c>
      <c r="X340" s="298">
        <v>0</v>
      </c>
      <c r="Y340" s="298">
        <v>0</v>
      </c>
      <c r="Z340" s="298">
        <v>0</v>
      </c>
      <c r="AI340" s="313"/>
      <c r="AJ340" s="313"/>
      <c r="AK340" s="313"/>
      <c r="AM340" s="298">
        <v>7.2396096251967995E-2</v>
      </c>
    </row>
    <row r="341" spans="5:39" x14ac:dyDescent="0.25">
      <c r="E341" s="301">
        <v>7.3083385018490002E-2</v>
      </c>
      <c r="F341" s="301">
        <v>0</v>
      </c>
      <c r="G341" s="301">
        <v>9.4968124000000001E-2</v>
      </c>
      <c r="H341" s="301">
        <v>0</v>
      </c>
      <c r="I341" s="301">
        <v>0</v>
      </c>
      <c r="J341" s="301">
        <v>0</v>
      </c>
      <c r="K341" s="301">
        <v>0</v>
      </c>
      <c r="L341" s="301">
        <v>0</v>
      </c>
      <c r="M341" s="301">
        <v>0</v>
      </c>
      <c r="N341" s="301">
        <v>0</v>
      </c>
      <c r="O341" s="301">
        <v>0</v>
      </c>
      <c r="P341" s="298">
        <v>0</v>
      </c>
      <c r="Q341" s="298">
        <v>0</v>
      </c>
      <c r="R341" s="298">
        <v>0</v>
      </c>
      <c r="S341" s="298">
        <v>0</v>
      </c>
      <c r="T341" s="298">
        <v>0</v>
      </c>
      <c r="U341" s="298">
        <v>0.2525</v>
      </c>
      <c r="V341" s="298">
        <v>0</v>
      </c>
      <c r="W341" s="298">
        <v>0</v>
      </c>
      <c r="X341" s="298">
        <v>0</v>
      </c>
      <c r="Y341" s="298">
        <v>0</v>
      </c>
      <c r="Z341" s="298">
        <v>0</v>
      </c>
      <c r="AI341" s="313"/>
      <c r="AJ341" s="313"/>
      <c r="AK341" s="313"/>
      <c r="AM341" s="298">
        <v>7.2397591055104002E-2</v>
      </c>
    </row>
    <row r="342" spans="5:39" x14ac:dyDescent="0.25">
      <c r="E342" s="301">
        <v>7.3084982147946995E-2</v>
      </c>
      <c r="F342" s="301">
        <v>0</v>
      </c>
      <c r="G342" s="301">
        <v>9.4968124000000001E-2</v>
      </c>
      <c r="H342" s="301">
        <v>0</v>
      </c>
      <c r="I342" s="301">
        <v>0</v>
      </c>
      <c r="J342" s="301">
        <v>0</v>
      </c>
      <c r="K342" s="301">
        <v>0</v>
      </c>
      <c r="L342" s="301">
        <v>0</v>
      </c>
      <c r="M342" s="301">
        <v>0</v>
      </c>
      <c r="N342" s="301">
        <v>0</v>
      </c>
      <c r="O342" s="301">
        <v>0</v>
      </c>
      <c r="P342" s="298">
        <v>0</v>
      </c>
      <c r="Q342" s="298">
        <v>0</v>
      </c>
      <c r="R342" s="298">
        <v>0</v>
      </c>
      <c r="S342" s="298">
        <v>0</v>
      </c>
      <c r="T342" s="298">
        <v>0</v>
      </c>
      <c r="U342" s="298">
        <v>0.25750000000000001</v>
      </c>
      <c r="V342" s="298">
        <v>0</v>
      </c>
      <c r="W342" s="298">
        <v>0</v>
      </c>
      <c r="X342" s="298">
        <v>0</v>
      </c>
      <c r="Y342" s="298">
        <v>0</v>
      </c>
      <c r="Z342" s="298">
        <v>0</v>
      </c>
      <c r="AI342" s="313"/>
      <c r="AJ342" s="313"/>
      <c r="AK342" s="313"/>
      <c r="AM342" s="298">
        <v>7.2399037638784997E-2</v>
      </c>
    </row>
    <row r="343" spans="5:39" x14ac:dyDescent="0.25">
      <c r="E343" s="301">
        <v>7.3086632515054997E-2</v>
      </c>
      <c r="F343" s="301">
        <v>0</v>
      </c>
      <c r="G343" s="301">
        <v>9.4968124000000001E-2</v>
      </c>
      <c r="H343" s="301">
        <v>0</v>
      </c>
      <c r="I343" s="301">
        <v>0</v>
      </c>
      <c r="J343" s="301">
        <v>0</v>
      </c>
      <c r="K343" s="301">
        <v>0</v>
      </c>
      <c r="L343" s="301">
        <v>0</v>
      </c>
      <c r="M343" s="301">
        <v>0</v>
      </c>
      <c r="N343" s="301">
        <v>0</v>
      </c>
      <c r="O343" s="301">
        <v>0</v>
      </c>
      <c r="P343" s="298">
        <v>0</v>
      </c>
      <c r="Q343" s="298">
        <v>0</v>
      </c>
      <c r="R343" s="298">
        <v>0</v>
      </c>
      <c r="S343" s="298">
        <v>0</v>
      </c>
      <c r="T343" s="298">
        <v>0</v>
      </c>
      <c r="U343" s="298">
        <v>0.25750000000000001</v>
      </c>
      <c r="V343" s="298">
        <v>0</v>
      </c>
      <c r="W343" s="298">
        <v>0</v>
      </c>
      <c r="X343" s="298">
        <v>0</v>
      </c>
      <c r="Y343" s="298">
        <v>0</v>
      </c>
      <c r="Z343" s="298">
        <v>0</v>
      </c>
      <c r="AI343" s="313"/>
      <c r="AJ343" s="313"/>
      <c r="AK343" s="313"/>
      <c r="AM343" s="298">
        <v>7.2400532441922003E-2</v>
      </c>
    </row>
    <row r="344" spans="5:39" x14ac:dyDescent="0.25">
      <c r="E344" s="301">
        <v>7.3088282882162001E-2</v>
      </c>
      <c r="F344" s="301">
        <v>0</v>
      </c>
      <c r="G344" s="301">
        <v>9.4968124000000001E-2</v>
      </c>
      <c r="H344" s="301">
        <v>0</v>
      </c>
      <c r="I344" s="301">
        <v>0</v>
      </c>
      <c r="J344" s="301">
        <v>0</v>
      </c>
      <c r="K344" s="301">
        <v>0</v>
      </c>
      <c r="L344" s="301">
        <v>0</v>
      </c>
      <c r="M344" s="301">
        <v>0</v>
      </c>
      <c r="N344" s="301">
        <v>0</v>
      </c>
      <c r="O344" s="301">
        <v>0</v>
      </c>
      <c r="P344" s="298">
        <v>0</v>
      </c>
      <c r="Q344" s="298">
        <v>0</v>
      </c>
      <c r="R344" s="298">
        <v>0</v>
      </c>
      <c r="S344" s="298">
        <v>0</v>
      </c>
      <c r="T344" s="298">
        <v>0</v>
      </c>
      <c r="U344" s="298">
        <v>0.2525</v>
      </c>
      <c r="V344" s="298">
        <v>0</v>
      </c>
      <c r="W344" s="298">
        <v>0</v>
      </c>
      <c r="X344" s="298">
        <v>0</v>
      </c>
      <c r="Y344" s="298">
        <v>0</v>
      </c>
      <c r="Z344" s="298">
        <v>0</v>
      </c>
      <c r="AI344" s="313"/>
      <c r="AJ344" s="313"/>
      <c r="AK344" s="313"/>
      <c r="AM344" s="298">
        <v>7.2402027245059994E-2</v>
      </c>
    </row>
    <row r="345" spans="5:39" x14ac:dyDescent="0.25">
      <c r="E345" s="301">
        <v>7.3089880011622005E-2</v>
      </c>
      <c r="F345" s="301">
        <v>0</v>
      </c>
      <c r="G345" s="301">
        <v>9.4968124000000001E-2</v>
      </c>
      <c r="H345" s="301">
        <v>0</v>
      </c>
      <c r="I345" s="301">
        <v>0</v>
      </c>
      <c r="J345" s="301">
        <v>0</v>
      </c>
      <c r="K345" s="301">
        <v>0</v>
      </c>
      <c r="L345" s="301">
        <v>0</v>
      </c>
      <c r="M345" s="301">
        <v>0</v>
      </c>
      <c r="N345" s="301">
        <v>0</v>
      </c>
      <c r="O345" s="301">
        <v>0</v>
      </c>
      <c r="P345" s="298">
        <v>0</v>
      </c>
      <c r="Q345" s="298">
        <v>0</v>
      </c>
      <c r="R345" s="298">
        <v>0</v>
      </c>
      <c r="S345" s="298">
        <v>0</v>
      </c>
      <c r="T345" s="298">
        <v>0</v>
      </c>
      <c r="U345" s="298">
        <v>0.255</v>
      </c>
      <c r="V345" s="298">
        <v>0</v>
      </c>
      <c r="W345" s="298">
        <v>0</v>
      </c>
      <c r="X345" s="298">
        <v>0</v>
      </c>
      <c r="Y345" s="298">
        <v>0</v>
      </c>
      <c r="Z345" s="298">
        <v>0</v>
      </c>
      <c r="AI345" s="313"/>
      <c r="AJ345" s="313"/>
      <c r="AK345" s="313"/>
      <c r="AM345" s="298">
        <v>7.2403473828742002E-2</v>
      </c>
    </row>
    <row r="346" spans="5:39" x14ac:dyDescent="0.25">
      <c r="E346" s="301">
        <v>7.3091530378731007E-2</v>
      </c>
      <c r="F346" s="301">
        <v>0</v>
      </c>
      <c r="G346" s="301">
        <v>1.5011287E-2</v>
      </c>
      <c r="H346" s="301">
        <v>0</v>
      </c>
      <c r="I346" s="301">
        <v>0</v>
      </c>
      <c r="J346" s="301">
        <v>0</v>
      </c>
      <c r="K346" s="301">
        <v>0</v>
      </c>
      <c r="L346" s="301">
        <v>0</v>
      </c>
      <c r="M346" s="301">
        <v>0</v>
      </c>
      <c r="N346" s="301">
        <v>0</v>
      </c>
      <c r="O346" s="301">
        <v>0</v>
      </c>
      <c r="P346" s="298">
        <v>0</v>
      </c>
      <c r="Q346" s="298">
        <v>0</v>
      </c>
      <c r="R346" s="298">
        <v>0</v>
      </c>
      <c r="S346" s="298">
        <v>0</v>
      </c>
      <c r="T346" s="298">
        <v>0</v>
      </c>
      <c r="U346" s="298">
        <v>0.72499999999999998</v>
      </c>
      <c r="V346" s="298">
        <v>0</v>
      </c>
      <c r="W346" s="298">
        <v>0</v>
      </c>
      <c r="X346" s="298">
        <v>0</v>
      </c>
      <c r="Y346" s="298">
        <v>0</v>
      </c>
      <c r="Z346" s="298">
        <v>0</v>
      </c>
      <c r="AI346" s="313"/>
      <c r="AJ346" s="313"/>
      <c r="AK346" s="313"/>
      <c r="AM346" s="298">
        <v>7.2404968631882005E-2</v>
      </c>
    </row>
    <row r="347" spans="5:39" x14ac:dyDescent="0.25">
      <c r="E347" s="301">
        <v>7.3093127508191996E-2</v>
      </c>
      <c r="F347" s="301">
        <v>0</v>
      </c>
      <c r="G347" s="301">
        <v>4.8062000000000002E-5</v>
      </c>
      <c r="H347" s="301">
        <v>0</v>
      </c>
      <c r="I347" s="301">
        <v>0</v>
      </c>
      <c r="J347" s="301">
        <v>0</v>
      </c>
      <c r="K347" s="301">
        <v>0</v>
      </c>
      <c r="L347" s="301">
        <v>0</v>
      </c>
      <c r="M347" s="301">
        <v>0</v>
      </c>
      <c r="N347" s="301">
        <v>0</v>
      </c>
      <c r="O347" s="301">
        <v>0</v>
      </c>
      <c r="P347" s="298">
        <v>0</v>
      </c>
      <c r="Q347" s="298">
        <v>0</v>
      </c>
      <c r="R347" s="298">
        <v>0</v>
      </c>
      <c r="S347" s="298">
        <v>0</v>
      </c>
      <c r="T347" s="298">
        <v>0</v>
      </c>
      <c r="U347" s="298">
        <v>1.0449999999999999</v>
      </c>
      <c r="V347" s="298">
        <v>0</v>
      </c>
      <c r="W347" s="298">
        <v>0</v>
      </c>
      <c r="X347" s="298">
        <v>0</v>
      </c>
      <c r="Y347" s="298">
        <v>0</v>
      </c>
      <c r="Z347" s="298">
        <v>0</v>
      </c>
      <c r="AI347" s="313"/>
      <c r="AJ347" s="313"/>
      <c r="AK347" s="313"/>
      <c r="AM347" s="298">
        <v>7.2406415215565997E-2</v>
      </c>
    </row>
    <row r="348" spans="5:39" x14ac:dyDescent="0.25">
      <c r="E348" s="301">
        <v>7.3094777875302996E-2</v>
      </c>
      <c r="F348" s="301">
        <v>0</v>
      </c>
      <c r="G348" s="301">
        <v>5.0448159999999997E-3</v>
      </c>
      <c r="H348" s="301">
        <v>0</v>
      </c>
      <c r="I348" s="301">
        <v>0</v>
      </c>
      <c r="J348" s="301">
        <v>0</v>
      </c>
      <c r="K348" s="301">
        <v>0</v>
      </c>
      <c r="L348" s="301">
        <v>0</v>
      </c>
      <c r="M348" s="301">
        <v>0</v>
      </c>
      <c r="N348" s="301">
        <v>0</v>
      </c>
      <c r="O348" s="301">
        <v>0</v>
      </c>
      <c r="P348" s="298">
        <v>0</v>
      </c>
      <c r="Q348" s="298">
        <v>0</v>
      </c>
      <c r="R348" s="298">
        <v>0</v>
      </c>
      <c r="S348" s="298">
        <v>0</v>
      </c>
      <c r="T348" s="298">
        <v>0</v>
      </c>
      <c r="U348" s="298">
        <v>1.52</v>
      </c>
      <c r="V348" s="298">
        <v>0</v>
      </c>
      <c r="W348" s="298">
        <v>0</v>
      </c>
      <c r="X348" s="298">
        <v>0</v>
      </c>
      <c r="Y348" s="298">
        <v>0</v>
      </c>
      <c r="Z348" s="298">
        <v>0</v>
      </c>
      <c r="AI348" s="313"/>
      <c r="AJ348" s="313"/>
      <c r="AK348" s="313"/>
      <c r="AM348" s="298">
        <v>7.2407910018707E-2</v>
      </c>
    </row>
    <row r="349" spans="5:39" x14ac:dyDescent="0.25">
      <c r="E349" s="301">
        <v>7.3096428242414996E-2</v>
      </c>
      <c r="F349" s="301">
        <v>0</v>
      </c>
      <c r="G349" s="301">
        <v>3.0042577000000001E-2</v>
      </c>
      <c r="H349" s="301">
        <v>0</v>
      </c>
      <c r="I349" s="301">
        <v>0</v>
      </c>
      <c r="J349" s="301">
        <v>0</v>
      </c>
      <c r="K349" s="301">
        <v>0</v>
      </c>
      <c r="L349" s="301">
        <v>0</v>
      </c>
      <c r="M349" s="301">
        <v>0</v>
      </c>
      <c r="N349" s="301">
        <v>0</v>
      </c>
      <c r="O349" s="301">
        <v>0</v>
      </c>
      <c r="P349" s="298">
        <v>0</v>
      </c>
      <c r="Q349" s="298">
        <v>0</v>
      </c>
      <c r="R349" s="298">
        <v>0</v>
      </c>
      <c r="S349" s="298">
        <v>0</v>
      </c>
      <c r="T349" s="298">
        <v>0</v>
      </c>
      <c r="U349" s="298">
        <v>1.4</v>
      </c>
      <c r="V349" s="298">
        <v>0</v>
      </c>
      <c r="W349" s="298">
        <v>0</v>
      </c>
      <c r="X349" s="298">
        <v>0</v>
      </c>
      <c r="Y349" s="298">
        <v>0</v>
      </c>
      <c r="Z349" s="298">
        <v>0</v>
      </c>
      <c r="AI349" s="313"/>
      <c r="AJ349" s="313"/>
      <c r="AK349" s="313"/>
      <c r="AM349" s="298">
        <v>7.2409404821848003E-2</v>
      </c>
    </row>
    <row r="350" spans="5:39" x14ac:dyDescent="0.25">
      <c r="E350" s="301">
        <v>7.3097972134230998E-2</v>
      </c>
      <c r="F350" s="301">
        <v>0</v>
      </c>
      <c r="G350" s="301">
        <v>4.0042577000000003E-2</v>
      </c>
      <c r="H350" s="301">
        <v>0</v>
      </c>
      <c r="I350" s="301">
        <v>0</v>
      </c>
      <c r="J350" s="301">
        <v>0</v>
      </c>
      <c r="K350" s="301">
        <v>0</v>
      </c>
      <c r="L350" s="301">
        <v>0</v>
      </c>
      <c r="M350" s="301">
        <v>0</v>
      </c>
      <c r="N350" s="301">
        <v>0</v>
      </c>
      <c r="O350" s="301">
        <v>0</v>
      </c>
      <c r="P350" s="298">
        <v>0</v>
      </c>
      <c r="Q350" s="298">
        <v>0</v>
      </c>
      <c r="R350" s="298">
        <v>0</v>
      </c>
      <c r="S350" s="298">
        <v>0</v>
      </c>
      <c r="T350" s="298">
        <v>0</v>
      </c>
      <c r="U350" s="298">
        <v>0.88</v>
      </c>
      <c r="V350" s="298">
        <v>0</v>
      </c>
      <c r="W350" s="298">
        <v>0</v>
      </c>
      <c r="X350" s="298">
        <v>0</v>
      </c>
      <c r="Y350" s="298">
        <v>0</v>
      </c>
      <c r="Z350" s="298">
        <v>0</v>
      </c>
      <c r="AI350" s="313"/>
      <c r="AJ350" s="313"/>
      <c r="AK350" s="313"/>
      <c r="AM350" s="298">
        <v>7.2410803186077996E-2</v>
      </c>
    </row>
    <row r="351" spans="5:39" x14ac:dyDescent="0.25">
      <c r="E351" s="301">
        <v>7.3099622501343997E-2</v>
      </c>
      <c r="F351" s="301">
        <v>0</v>
      </c>
      <c r="G351" s="301">
        <v>9.9976639000000006E-2</v>
      </c>
      <c r="H351" s="301">
        <v>0</v>
      </c>
      <c r="I351" s="301">
        <v>0</v>
      </c>
      <c r="J351" s="301">
        <v>0</v>
      </c>
      <c r="K351" s="301">
        <v>0</v>
      </c>
      <c r="L351" s="301">
        <v>0</v>
      </c>
      <c r="M351" s="301">
        <v>0</v>
      </c>
      <c r="N351" s="301">
        <v>0</v>
      </c>
      <c r="O351" s="301">
        <v>0</v>
      </c>
      <c r="P351" s="298">
        <v>0</v>
      </c>
      <c r="Q351" s="298">
        <v>0</v>
      </c>
      <c r="R351" s="298">
        <v>0</v>
      </c>
      <c r="S351" s="298">
        <v>0</v>
      </c>
      <c r="T351" s="298">
        <v>0</v>
      </c>
      <c r="U351" s="298">
        <v>0.37</v>
      </c>
      <c r="V351" s="298">
        <v>0</v>
      </c>
      <c r="W351" s="298">
        <v>0</v>
      </c>
      <c r="X351" s="298">
        <v>0</v>
      </c>
      <c r="Y351" s="298">
        <v>0</v>
      </c>
      <c r="Z351" s="298">
        <v>0</v>
      </c>
      <c r="AI351" s="313"/>
      <c r="AJ351" s="313"/>
      <c r="AK351" s="313"/>
      <c r="AM351" s="298">
        <v>7.2412297989220997E-2</v>
      </c>
    </row>
    <row r="352" spans="5:39" x14ac:dyDescent="0.25">
      <c r="E352" s="301">
        <v>7.3101219630809997E-2</v>
      </c>
      <c r="F352" s="301">
        <v>0</v>
      </c>
      <c r="G352" s="301">
        <v>9.9968124000000005E-2</v>
      </c>
      <c r="H352" s="301">
        <v>0</v>
      </c>
      <c r="I352" s="301">
        <v>0</v>
      </c>
      <c r="J352" s="301">
        <v>0</v>
      </c>
      <c r="K352" s="301">
        <v>0</v>
      </c>
      <c r="L352" s="301">
        <v>0</v>
      </c>
      <c r="M352" s="301">
        <v>0</v>
      </c>
      <c r="N352" s="301">
        <v>0</v>
      </c>
      <c r="O352" s="301">
        <v>0</v>
      </c>
      <c r="P352" s="298">
        <v>0</v>
      </c>
      <c r="Q352" s="298">
        <v>0</v>
      </c>
      <c r="R352" s="298">
        <v>0</v>
      </c>
      <c r="S352" s="298">
        <v>0</v>
      </c>
      <c r="T352" s="298">
        <v>0</v>
      </c>
      <c r="U352" s="298">
        <v>0.2525</v>
      </c>
      <c r="V352" s="298">
        <v>0</v>
      </c>
      <c r="W352" s="298">
        <v>0</v>
      </c>
      <c r="X352" s="298">
        <v>0</v>
      </c>
      <c r="Y352" s="298">
        <v>0</v>
      </c>
      <c r="Z352" s="298">
        <v>0</v>
      </c>
      <c r="AI352" s="313"/>
      <c r="AJ352" s="313"/>
      <c r="AK352" s="313"/>
      <c r="AM352" s="298">
        <v>7.2413744572909E-2</v>
      </c>
    </row>
    <row r="353" spans="5:39" x14ac:dyDescent="0.25">
      <c r="E353" s="301">
        <v>7.3102869997924994E-2</v>
      </c>
      <c r="F353" s="301">
        <v>0</v>
      </c>
      <c r="G353" s="301">
        <v>9.9968124000000005E-2</v>
      </c>
      <c r="H353" s="301">
        <v>0</v>
      </c>
      <c r="I353" s="301">
        <v>0</v>
      </c>
      <c r="J353" s="301">
        <v>0</v>
      </c>
      <c r="K353" s="301">
        <v>0</v>
      </c>
      <c r="L353" s="301">
        <v>0</v>
      </c>
      <c r="M353" s="301">
        <v>0</v>
      </c>
      <c r="N353" s="301">
        <v>0</v>
      </c>
      <c r="O353" s="301">
        <v>0</v>
      </c>
      <c r="P353" s="298">
        <v>0</v>
      </c>
      <c r="Q353" s="298">
        <v>0</v>
      </c>
      <c r="R353" s="298">
        <v>0</v>
      </c>
      <c r="S353" s="298">
        <v>0</v>
      </c>
      <c r="T353" s="298">
        <v>0</v>
      </c>
      <c r="U353" s="298">
        <v>0.2525</v>
      </c>
      <c r="V353" s="298">
        <v>0</v>
      </c>
      <c r="W353" s="298">
        <v>0</v>
      </c>
      <c r="X353" s="298">
        <v>0</v>
      </c>
      <c r="Y353" s="298">
        <v>0</v>
      </c>
      <c r="Z353" s="298">
        <v>0</v>
      </c>
      <c r="AI353" s="313"/>
      <c r="AJ353" s="313"/>
      <c r="AK353" s="313"/>
      <c r="AM353" s="298">
        <v>7.2415239376053001E-2</v>
      </c>
    </row>
    <row r="354" spans="5:39" x14ac:dyDescent="0.25">
      <c r="E354" s="301">
        <v>7.3104467127393005E-2</v>
      </c>
      <c r="F354" s="301">
        <v>0</v>
      </c>
      <c r="G354" s="301">
        <v>9.9968124000000005E-2</v>
      </c>
      <c r="H354" s="301">
        <v>0</v>
      </c>
      <c r="I354" s="301">
        <v>0</v>
      </c>
      <c r="J354" s="301">
        <v>0</v>
      </c>
      <c r="K354" s="301">
        <v>0</v>
      </c>
      <c r="L354" s="301">
        <v>0</v>
      </c>
      <c r="M354" s="301">
        <v>0</v>
      </c>
      <c r="N354" s="301">
        <v>0</v>
      </c>
      <c r="O354" s="301">
        <v>0</v>
      </c>
      <c r="P354" s="298">
        <v>0</v>
      </c>
      <c r="Q354" s="298">
        <v>0</v>
      </c>
      <c r="R354" s="298">
        <v>0</v>
      </c>
      <c r="S354" s="298">
        <v>0</v>
      </c>
      <c r="T354" s="298">
        <v>0</v>
      </c>
      <c r="U354" s="298">
        <v>0.25750000000000001</v>
      </c>
      <c r="V354" s="298">
        <v>0</v>
      </c>
      <c r="W354" s="298">
        <v>0</v>
      </c>
      <c r="X354" s="298">
        <v>0</v>
      </c>
      <c r="Y354" s="298">
        <v>0</v>
      </c>
      <c r="Z354" s="298">
        <v>0</v>
      </c>
      <c r="AI354" s="313"/>
      <c r="AJ354" s="313"/>
      <c r="AK354" s="313"/>
      <c r="AM354" s="298">
        <v>7.2416685959742003E-2</v>
      </c>
    </row>
    <row r="355" spans="5:39" x14ac:dyDescent="0.25">
      <c r="E355" s="301">
        <v>7.3106117494510001E-2</v>
      </c>
      <c r="F355" s="301">
        <v>0</v>
      </c>
      <c r="G355" s="301">
        <v>9.9968124000000005E-2</v>
      </c>
      <c r="H355" s="301">
        <v>0</v>
      </c>
      <c r="I355" s="301">
        <v>0</v>
      </c>
      <c r="J355" s="301">
        <v>0</v>
      </c>
      <c r="K355" s="301">
        <v>0</v>
      </c>
      <c r="L355" s="301">
        <v>0</v>
      </c>
      <c r="M355" s="301">
        <v>0</v>
      </c>
      <c r="N355" s="301">
        <v>0</v>
      </c>
      <c r="O355" s="301">
        <v>0</v>
      </c>
      <c r="P355" s="298">
        <v>0</v>
      </c>
      <c r="Q355" s="298">
        <v>0</v>
      </c>
      <c r="R355" s="298">
        <v>0</v>
      </c>
      <c r="S355" s="298">
        <v>0</v>
      </c>
      <c r="T355" s="298">
        <v>0</v>
      </c>
      <c r="U355" s="298">
        <v>0.25750000000000001</v>
      </c>
      <c r="V355" s="298">
        <v>0</v>
      </c>
      <c r="W355" s="298">
        <v>0</v>
      </c>
      <c r="X355" s="298">
        <v>0</v>
      </c>
      <c r="Y355" s="298">
        <v>0</v>
      </c>
      <c r="Z355" s="298">
        <v>0</v>
      </c>
      <c r="AI355" s="313"/>
      <c r="AJ355" s="313"/>
      <c r="AK355" s="313"/>
      <c r="AM355" s="298">
        <v>7.2418180762888001E-2</v>
      </c>
    </row>
    <row r="356" spans="5:39" x14ac:dyDescent="0.25">
      <c r="E356" s="301">
        <v>7.3107767861627995E-2</v>
      </c>
      <c r="F356" s="301">
        <v>0</v>
      </c>
      <c r="G356" s="301">
        <v>9.9968124000000005E-2</v>
      </c>
      <c r="H356" s="301">
        <v>0</v>
      </c>
      <c r="I356" s="301">
        <v>0</v>
      </c>
      <c r="J356" s="301">
        <v>0</v>
      </c>
      <c r="K356" s="301">
        <v>0</v>
      </c>
      <c r="L356" s="301">
        <v>0</v>
      </c>
      <c r="M356" s="301">
        <v>0</v>
      </c>
      <c r="N356" s="301">
        <v>0</v>
      </c>
      <c r="O356" s="301">
        <v>0</v>
      </c>
      <c r="P356" s="298">
        <v>0</v>
      </c>
      <c r="Q356" s="298">
        <v>0</v>
      </c>
      <c r="R356" s="298">
        <v>0</v>
      </c>
      <c r="S356" s="298">
        <v>0</v>
      </c>
      <c r="T356" s="298">
        <v>0</v>
      </c>
      <c r="U356" s="298">
        <v>0.2525</v>
      </c>
      <c r="V356" s="298">
        <v>0</v>
      </c>
      <c r="W356" s="298">
        <v>0</v>
      </c>
      <c r="X356" s="298">
        <v>0</v>
      </c>
      <c r="Y356" s="298">
        <v>0</v>
      </c>
      <c r="Z356" s="298">
        <v>0</v>
      </c>
      <c r="AI356" s="313"/>
      <c r="AJ356" s="313"/>
      <c r="AK356" s="313"/>
      <c r="AM356" s="298">
        <v>7.2419675566034999E-2</v>
      </c>
    </row>
    <row r="357" spans="5:39" x14ac:dyDescent="0.25">
      <c r="E357" s="301">
        <v>7.3109364991098005E-2</v>
      </c>
      <c r="F357" s="301">
        <v>0</v>
      </c>
      <c r="G357" s="301">
        <v>9.9968124000000005E-2</v>
      </c>
      <c r="H357" s="301">
        <v>0</v>
      </c>
      <c r="I357" s="301">
        <v>0</v>
      </c>
      <c r="J357" s="301">
        <v>0</v>
      </c>
      <c r="K357" s="301">
        <v>0</v>
      </c>
      <c r="L357" s="301">
        <v>0</v>
      </c>
      <c r="M357" s="301">
        <v>0</v>
      </c>
      <c r="N357" s="301">
        <v>0</v>
      </c>
      <c r="O357" s="301">
        <v>0</v>
      </c>
      <c r="P357" s="298">
        <v>0</v>
      </c>
      <c r="Q357" s="298">
        <v>0</v>
      </c>
      <c r="R357" s="298">
        <v>0</v>
      </c>
      <c r="S357" s="298">
        <v>0</v>
      </c>
      <c r="T357" s="298">
        <v>0</v>
      </c>
      <c r="U357" s="298">
        <v>0.255</v>
      </c>
      <c r="V357" s="298">
        <v>0</v>
      </c>
      <c r="W357" s="298">
        <v>0</v>
      </c>
      <c r="X357" s="298">
        <v>0</v>
      </c>
      <c r="Y357" s="298">
        <v>0</v>
      </c>
      <c r="Z357" s="298">
        <v>0</v>
      </c>
      <c r="AI357" s="313"/>
      <c r="AJ357" s="313"/>
      <c r="AK357" s="313"/>
      <c r="AM357" s="298">
        <v>7.2421122149725001E-2</v>
      </c>
    </row>
    <row r="358" spans="5:39" x14ac:dyDescent="0.25">
      <c r="E358" s="301">
        <v>7.3111015358217998E-2</v>
      </c>
      <c r="F358" s="301">
        <v>0</v>
      </c>
      <c r="G358" s="301">
        <v>2.0011286999999999E-2</v>
      </c>
      <c r="H358" s="301">
        <v>0</v>
      </c>
      <c r="I358" s="301">
        <v>0</v>
      </c>
      <c r="J358" s="301">
        <v>0</v>
      </c>
      <c r="K358" s="301">
        <v>0</v>
      </c>
      <c r="L358" s="301">
        <v>0</v>
      </c>
      <c r="M358" s="301">
        <v>0</v>
      </c>
      <c r="N358" s="301">
        <v>0</v>
      </c>
      <c r="O358" s="301">
        <v>0</v>
      </c>
      <c r="P358" s="298">
        <v>0</v>
      </c>
      <c r="Q358" s="298">
        <v>0</v>
      </c>
      <c r="R358" s="298">
        <v>0</v>
      </c>
      <c r="S358" s="298">
        <v>0</v>
      </c>
      <c r="T358" s="298">
        <v>0</v>
      </c>
      <c r="U358" s="298">
        <v>0.72499999999999998</v>
      </c>
      <c r="V358" s="298">
        <v>0</v>
      </c>
      <c r="W358" s="298">
        <v>0</v>
      </c>
      <c r="X358" s="298">
        <v>0</v>
      </c>
      <c r="Y358" s="298">
        <v>0</v>
      </c>
      <c r="Z358" s="298">
        <v>0</v>
      </c>
      <c r="AI358" s="313"/>
      <c r="AJ358" s="313"/>
      <c r="AK358" s="313"/>
      <c r="AM358" s="298">
        <v>7.2422616952873997E-2</v>
      </c>
    </row>
    <row r="359" spans="5:39" x14ac:dyDescent="0.25">
      <c r="E359" s="301">
        <v>7.3112612487690007E-2</v>
      </c>
      <c r="F359" s="301">
        <v>0</v>
      </c>
      <c r="G359" s="301">
        <v>5.0480619999999999E-3</v>
      </c>
      <c r="H359" s="301">
        <v>0</v>
      </c>
      <c r="I359" s="301">
        <v>0</v>
      </c>
      <c r="J359" s="301">
        <v>0</v>
      </c>
      <c r="K359" s="301">
        <v>0</v>
      </c>
      <c r="L359" s="301">
        <v>0</v>
      </c>
      <c r="M359" s="301">
        <v>0</v>
      </c>
      <c r="N359" s="301">
        <v>0</v>
      </c>
      <c r="O359" s="301">
        <v>0</v>
      </c>
      <c r="P359" s="298">
        <v>0</v>
      </c>
      <c r="Q359" s="298">
        <v>0</v>
      </c>
      <c r="R359" s="298">
        <v>0</v>
      </c>
      <c r="S359" s="298">
        <v>0</v>
      </c>
      <c r="T359" s="298">
        <v>0</v>
      </c>
      <c r="U359" s="298">
        <v>1.0449999999999999</v>
      </c>
      <c r="V359" s="298">
        <v>0</v>
      </c>
      <c r="W359" s="298">
        <v>0</v>
      </c>
      <c r="X359" s="298">
        <v>0</v>
      </c>
      <c r="Y359" s="298">
        <v>0</v>
      </c>
      <c r="Z359" s="298">
        <v>0</v>
      </c>
      <c r="AI359" s="313"/>
      <c r="AJ359" s="313"/>
      <c r="AK359" s="313"/>
      <c r="AM359" s="298">
        <v>7.2424063536565997E-2</v>
      </c>
    </row>
    <row r="360" spans="5:39" x14ac:dyDescent="0.25">
      <c r="E360" s="301">
        <v>7.3114262854810999E-2</v>
      </c>
      <c r="F360" s="301">
        <v>0</v>
      </c>
      <c r="G360" s="301">
        <v>1.0044816E-2</v>
      </c>
      <c r="H360" s="301">
        <v>0</v>
      </c>
      <c r="I360" s="301">
        <v>0</v>
      </c>
      <c r="J360" s="301">
        <v>0</v>
      </c>
      <c r="K360" s="301">
        <v>0</v>
      </c>
      <c r="L360" s="301">
        <v>0</v>
      </c>
      <c r="M360" s="301">
        <v>0</v>
      </c>
      <c r="N360" s="301">
        <v>0</v>
      </c>
      <c r="O360" s="301">
        <v>0</v>
      </c>
      <c r="P360" s="298">
        <v>0</v>
      </c>
      <c r="Q360" s="298">
        <v>0</v>
      </c>
      <c r="R360" s="298">
        <v>0</v>
      </c>
      <c r="S360" s="298">
        <v>0</v>
      </c>
      <c r="T360" s="298">
        <v>0</v>
      </c>
      <c r="U360" s="298">
        <v>1.52</v>
      </c>
      <c r="V360" s="298">
        <v>0</v>
      </c>
      <c r="W360" s="298">
        <v>0</v>
      </c>
      <c r="X360" s="298">
        <v>0</v>
      </c>
      <c r="Y360" s="298">
        <v>0</v>
      </c>
      <c r="Z360" s="298">
        <v>0</v>
      </c>
      <c r="AI360" s="313"/>
      <c r="AJ360" s="313"/>
      <c r="AK360" s="313"/>
      <c r="AM360" s="298">
        <v>7.2425558339716006E-2</v>
      </c>
    </row>
    <row r="361" spans="5:39" x14ac:dyDescent="0.25">
      <c r="E361" s="301">
        <v>7.3115913221934004E-2</v>
      </c>
      <c r="F361" s="301">
        <v>0</v>
      </c>
      <c r="G361" s="301">
        <v>3.5042576999999998E-2</v>
      </c>
      <c r="H361" s="301">
        <v>0</v>
      </c>
      <c r="I361" s="301">
        <v>0</v>
      </c>
      <c r="J361" s="301">
        <v>0</v>
      </c>
      <c r="K361" s="301">
        <v>0</v>
      </c>
      <c r="L361" s="301">
        <v>0</v>
      </c>
      <c r="M361" s="301">
        <v>0</v>
      </c>
      <c r="N361" s="301">
        <v>0</v>
      </c>
      <c r="O361" s="301">
        <v>0</v>
      </c>
      <c r="P361" s="298">
        <v>0</v>
      </c>
      <c r="Q361" s="298">
        <v>0</v>
      </c>
      <c r="R361" s="298">
        <v>0</v>
      </c>
      <c r="S361" s="298">
        <v>0</v>
      </c>
      <c r="T361" s="298">
        <v>0</v>
      </c>
      <c r="U361" s="298">
        <v>1.4</v>
      </c>
      <c r="V361" s="298">
        <v>0</v>
      </c>
      <c r="W361" s="298">
        <v>0</v>
      </c>
      <c r="X361" s="298">
        <v>0</v>
      </c>
      <c r="Y361" s="298">
        <v>0</v>
      </c>
      <c r="Z361" s="298">
        <v>0</v>
      </c>
      <c r="AI361" s="313"/>
      <c r="AJ361" s="313"/>
      <c r="AK361" s="313"/>
      <c r="AM361" s="298">
        <v>7.2427053142866002E-2</v>
      </c>
    </row>
    <row r="362" spans="5:39" x14ac:dyDescent="0.25">
      <c r="E362" s="301">
        <v>7.3117403876110001E-2</v>
      </c>
      <c r="F362" s="301">
        <v>0</v>
      </c>
      <c r="G362" s="301">
        <v>4.5042577E-2</v>
      </c>
      <c r="H362" s="301">
        <v>0</v>
      </c>
      <c r="I362" s="301">
        <v>0</v>
      </c>
      <c r="J362" s="301">
        <v>0</v>
      </c>
      <c r="K362" s="301">
        <v>0</v>
      </c>
      <c r="L362" s="301">
        <v>0</v>
      </c>
      <c r="M362" s="301">
        <v>0</v>
      </c>
      <c r="N362" s="301">
        <v>0</v>
      </c>
      <c r="O362" s="301">
        <v>0</v>
      </c>
      <c r="P362" s="298">
        <v>0</v>
      </c>
      <c r="Q362" s="298">
        <v>0</v>
      </c>
      <c r="R362" s="298">
        <v>0</v>
      </c>
      <c r="S362" s="298">
        <v>0</v>
      </c>
      <c r="T362" s="298">
        <v>0</v>
      </c>
      <c r="U362" s="298">
        <v>0.88</v>
      </c>
      <c r="V362" s="298">
        <v>0</v>
      </c>
      <c r="W362" s="298">
        <v>0</v>
      </c>
      <c r="X362" s="298">
        <v>0</v>
      </c>
      <c r="Y362" s="298">
        <v>0</v>
      </c>
      <c r="Z362" s="298">
        <v>0</v>
      </c>
      <c r="AI362" s="313"/>
      <c r="AJ362" s="313"/>
      <c r="AK362" s="313"/>
      <c r="AM362" s="298">
        <v>7.2428403287648005E-2</v>
      </c>
    </row>
    <row r="363" spans="5:39" x14ac:dyDescent="0.25">
      <c r="E363" s="301">
        <v>7.3119054243234005E-2</v>
      </c>
      <c r="F363" s="301">
        <v>0</v>
      </c>
      <c r="G363" s="301">
        <v>0.104976639</v>
      </c>
      <c r="H363" s="301">
        <v>0</v>
      </c>
      <c r="I363" s="301">
        <v>0</v>
      </c>
      <c r="K363" s="301">
        <v>0</v>
      </c>
      <c r="L363" s="301">
        <v>0</v>
      </c>
      <c r="M363" s="301">
        <v>0</v>
      </c>
      <c r="N363" s="301">
        <v>0</v>
      </c>
      <c r="O363" s="301">
        <v>0</v>
      </c>
      <c r="P363" s="298">
        <v>0</v>
      </c>
      <c r="Q363" s="298">
        <v>0</v>
      </c>
      <c r="R363" s="298">
        <v>0</v>
      </c>
      <c r="S363" s="298">
        <v>0</v>
      </c>
      <c r="T363" s="298">
        <v>0</v>
      </c>
      <c r="U363" s="298">
        <v>0.37</v>
      </c>
      <c r="V363" s="298">
        <v>0</v>
      </c>
      <c r="W363" s="298">
        <v>0</v>
      </c>
      <c r="X363" s="298">
        <v>0</v>
      </c>
      <c r="Y363" s="298">
        <v>0</v>
      </c>
      <c r="Z363" s="298">
        <v>0</v>
      </c>
      <c r="AI363" s="313"/>
      <c r="AJ363" s="313"/>
      <c r="AK363" s="313"/>
      <c r="AM363" s="298">
        <v>7.2429898090799999E-2</v>
      </c>
    </row>
    <row r="364" spans="5:39" x14ac:dyDescent="0.25">
      <c r="E364" s="301">
        <v>7.3120651372709997E-2</v>
      </c>
      <c r="F364" s="301">
        <v>0</v>
      </c>
      <c r="G364" s="301">
        <v>0.104968124</v>
      </c>
      <c r="H364" s="301">
        <v>0</v>
      </c>
      <c r="I364" s="301">
        <v>0</v>
      </c>
      <c r="K364" s="301">
        <v>0</v>
      </c>
      <c r="L364" s="301">
        <v>0</v>
      </c>
      <c r="M364" s="301">
        <v>0</v>
      </c>
      <c r="N364" s="301">
        <v>0</v>
      </c>
      <c r="O364" s="301">
        <v>0</v>
      </c>
      <c r="P364" s="298">
        <v>0</v>
      </c>
      <c r="Q364" s="298">
        <v>0</v>
      </c>
      <c r="R364" s="298">
        <v>0</v>
      </c>
      <c r="S364" s="298">
        <v>0</v>
      </c>
      <c r="T364" s="298">
        <v>0</v>
      </c>
      <c r="U364" s="298">
        <v>0.2525</v>
      </c>
      <c r="V364" s="298">
        <v>0</v>
      </c>
      <c r="W364" s="298">
        <v>0</v>
      </c>
      <c r="X364" s="298">
        <v>0</v>
      </c>
      <c r="Y364" s="298">
        <v>0</v>
      </c>
      <c r="Z364" s="298">
        <v>0</v>
      </c>
      <c r="AI364" s="313"/>
      <c r="AJ364" s="313"/>
      <c r="AK364" s="313"/>
      <c r="AM364" s="298">
        <v>7.2431344674494996E-2</v>
      </c>
    </row>
    <row r="365" spans="5:39" x14ac:dyDescent="0.25">
      <c r="E365" s="301">
        <v>7.3122301739835999E-2</v>
      </c>
      <c r="F365" s="301">
        <v>0</v>
      </c>
      <c r="G365" s="301">
        <v>0.104968124</v>
      </c>
      <c r="H365" s="301">
        <v>0</v>
      </c>
      <c r="I365" s="301">
        <v>0</v>
      </c>
      <c r="K365" s="301">
        <v>0</v>
      </c>
      <c r="L365" s="301">
        <v>0</v>
      </c>
      <c r="M365" s="301">
        <v>0</v>
      </c>
      <c r="N365" s="301">
        <v>0</v>
      </c>
      <c r="O365" s="301">
        <v>0</v>
      </c>
      <c r="P365" s="298">
        <v>0</v>
      </c>
      <c r="Q365" s="298">
        <v>0</v>
      </c>
      <c r="R365" s="298">
        <v>0</v>
      </c>
      <c r="S365" s="298">
        <v>0</v>
      </c>
      <c r="T365" s="298">
        <v>0</v>
      </c>
      <c r="U365" s="298">
        <v>0.2525</v>
      </c>
      <c r="V365" s="298">
        <v>0</v>
      </c>
      <c r="W365" s="298">
        <v>0</v>
      </c>
      <c r="X365" s="298">
        <v>0</v>
      </c>
      <c r="Y365" s="298">
        <v>0</v>
      </c>
      <c r="Z365" s="298">
        <v>0</v>
      </c>
      <c r="AI365" s="313"/>
      <c r="AJ365" s="313"/>
      <c r="AK365" s="313"/>
      <c r="AM365" s="298">
        <v>7.2432839477648003E-2</v>
      </c>
    </row>
    <row r="366" spans="5:39" x14ac:dyDescent="0.25">
      <c r="E366" s="301">
        <v>7.3123898869313003E-2</v>
      </c>
      <c r="F366" s="301">
        <v>0</v>
      </c>
      <c r="G366" s="301">
        <v>0.104968124</v>
      </c>
      <c r="H366" s="301">
        <v>0</v>
      </c>
      <c r="I366" s="301">
        <v>0</v>
      </c>
      <c r="K366" s="301">
        <v>0</v>
      </c>
      <c r="L366" s="301">
        <v>0</v>
      </c>
      <c r="M366" s="301">
        <v>0</v>
      </c>
      <c r="N366" s="301">
        <v>0</v>
      </c>
      <c r="O366" s="301">
        <v>0</v>
      </c>
      <c r="P366" s="298">
        <v>0</v>
      </c>
      <c r="Q366" s="298">
        <v>0</v>
      </c>
      <c r="R366" s="298">
        <v>0</v>
      </c>
      <c r="S366" s="298">
        <v>0</v>
      </c>
      <c r="T366" s="298">
        <v>0</v>
      </c>
      <c r="U366" s="298">
        <v>0.25750000000000001</v>
      </c>
      <c r="V366" s="298">
        <v>0</v>
      </c>
      <c r="W366" s="298">
        <v>0</v>
      </c>
      <c r="X366" s="298">
        <v>0</v>
      </c>
      <c r="Y366" s="298">
        <v>0</v>
      </c>
      <c r="Z366" s="298">
        <v>0</v>
      </c>
      <c r="AI366" s="313"/>
      <c r="AJ366" s="313"/>
      <c r="AK366" s="313"/>
      <c r="AM366" s="298">
        <v>7.2434286061345998E-2</v>
      </c>
    </row>
    <row r="367" spans="5:39" x14ac:dyDescent="0.25">
      <c r="E367" s="301">
        <v>7.3125549236441004E-2</v>
      </c>
      <c r="F367" s="301">
        <v>0</v>
      </c>
      <c r="G367" s="301">
        <v>0.104968124</v>
      </c>
      <c r="H367" s="301">
        <v>0</v>
      </c>
      <c r="I367" s="301">
        <v>0</v>
      </c>
      <c r="K367" s="301">
        <v>0</v>
      </c>
      <c r="L367" s="301">
        <v>0</v>
      </c>
      <c r="M367" s="301">
        <v>0</v>
      </c>
      <c r="N367" s="301">
        <v>0</v>
      </c>
      <c r="O367" s="301">
        <v>0</v>
      </c>
      <c r="P367" s="298">
        <v>0</v>
      </c>
      <c r="Q367" s="298">
        <v>0</v>
      </c>
      <c r="R367" s="298">
        <v>0</v>
      </c>
      <c r="S367" s="298">
        <v>0</v>
      </c>
      <c r="T367" s="298">
        <v>0</v>
      </c>
      <c r="U367" s="298">
        <v>0.25750000000000001</v>
      </c>
      <c r="V367" s="298">
        <v>0</v>
      </c>
      <c r="W367" s="298">
        <v>0</v>
      </c>
      <c r="X367" s="298">
        <v>0</v>
      </c>
      <c r="Y367" s="298">
        <v>0</v>
      </c>
      <c r="Z367" s="298">
        <v>0</v>
      </c>
      <c r="AI367" s="313"/>
      <c r="AJ367" s="313"/>
      <c r="AK367" s="313"/>
      <c r="AM367" s="298">
        <v>7.2435780864501004E-2</v>
      </c>
    </row>
    <row r="368" spans="5:39" x14ac:dyDescent="0.25">
      <c r="E368" s="301">
        <v>7.3127199603570003E-2</v>
      </c>
      <c r="F368" s="301">
        <v>0</v>
      </c>
      <c r="G368" s="301">
        <v>0.104968124</v>
      </c>
      <c r="H368" s="301">
        <v>0</v>
      </c>
      <c r="I368" s="301">
        <v>0</v>
      </c>
      <c r="K368" s="301">
        <v>0</v>
      </c>
      <c r="L368" s="301">
        <v>0</v>
      </c>
      <c r="M368" s="301">
        <v>0</v>
      </c>
      <c r="N368" s="301">
        <v>0</v>
      </c>
      <c r="O368" s="301">
        <v>0</v>
      </c>
      <c r="P368" s="298">
        <v>0</v>
      </c>
      <c r="Q368" s="298">
        <v>0</v>
      </c>
      <c r="R368" s="298">
        <v>0</v>
      </c>
      <c r="S368" s="298">
        <v>0</v>
      </c>
      <c r="T368" s="298">
        <v>0</v>
      </c>
      <c r="U368" s="298">
        <v>0.2525</v>
      </c>
      <c r="V368" s="298">
        <v>0</v>
      </c>
      <c r="W368" s="298">
        <v>0</v>
      </c>
      <c r="X368" s="298">
        <v>0</v>
      </c>
      <c r="Y368" s="298">
        <v>0</v>
      </c>
      <c r="Z368" s="298">
        <v>0</v>
      </c>
      <c r="AM368" s="298">
        <v>7.2437275667655995E-2</v>
      </c>
    </row>
    <row r="369" spans="5:39" x14ac:dyDescent="0.25">
      <c r="E369" s="301">
        <v>7.3128796733050005E-2</v>
      </c>
      <c r="F369" s="301">
        <v>0</v>
      </c>
      <c r="G369" s="301">
        <v>0.104968124</v>
      </c>
      <c r="H369" s="301">
        <v>0</v>
      </c>
      <c r="I369" s="301">
        <v>0</v>
      </c>
      <c r="K369" s="301">
        <v>0</v>
      </c>
      <c r="L369" s="301">
        <v>0</v>
      </c>
      <c r="M369" s="301">
        <v>0</v>
      </c>
      <c r="N369" s="301">
        <v>0</v>
      </c>
      <c r="O369" s="301">
        <v>0</v>
      </c>
      <c r="P369" s="298">
        <v>0</v>
      </c>
      <c r="Q369" s="298">
        <v>0</v>
      </c>
      <c r="R369" s="298">
        <v>0</v>
      </c>
      <c r="S369" s="298">
        <v>0</v>
      </c>
      <c r="T369" s="298">
        <v>0</v>
      </c>
      <c r="U369" s="298">
        <v>0.255</v>
      </c>
      <c r="V369" s="298">
        <v>0</v>
      </c>
      <c r="W369" s="298">
        <v>0</v>
      </c>
      <c r="X369" s="298">
        <v>0</v>
      </c>
      <c r="Y369" s="298">
        <v>0</v>
      </c>
      <c r="Z369" s="298">
        <v>0</v>
      </c>
      <c r="AM369" s="298">
        <v>7.2438722251355003E-2</v>
      </c>
    </row>
    <row r="370" spans="5:39" x14ac:dyDescent="0.25">
      <c r="E370" s="301">
        <v>7.3130447100180004E-2</v>
      </c>
      <c r="F370" s="301">
        <v>0</v>
      </c>
      <c r="G370" s="301">
        <v>2.5011287E-2</v>
      </c>
      <c r="H370" s="301">
        <v>0</v>
      </c>
      <c r="I370" s="301">
        <v>0</v>
      </c>
      <c r="K370" s="301">
        <v>0</v>
      </c>
      <c r="L370" s="301">
        <v>0</v>
      </c>
      <c r="M370" s="301">
        <v>0</v>
      </c>
      <c r="N370" s="301">
        <v>0</v>
      </c>
      <c r="O370" s="301">
        <v>0</v>
      </c>
      <c r="P370" s="298">
        <v>0</v>
      </c>
      <c r="Q370" s="298">
        <v>0</v>
      </c>
      <c r="R370" s="298">
        <v>0</v>
      </c>
      <c r="S370" s="298">
        <v>0</v>
      </c>
      <c r="T370" s="298">
        <v>0</v>
      </c>
      <c r="U370" s="298">
        <v>0.72499999999999998</v>
      </c>
      <c r="V370" s="298">
        <v>0</v>
      </c>
      <c r="W370" s="298">
        <v>0</v>
      </c>
      <c r="X370" s="298">
        <v>0</v>
      </c>
      <c r="Y370" s="298">
        <v>0</v>
      </c>
      <c r="Z370" s="298">
        <v>0</v>
      </c>
      <c r="AM370" s="298">
        <v>7.2440217054511993E-2</v>
      </c>
    </row>
    <row r="371" spans="5:39" x14ac:dyDescent="0.25">
      <c r="E371" s="301">
        <v>7.3132044229663004E-2</v>
      </c>
      <c r="F371" s="301">
        <v>0</v>
      </c>
      <c r="G371" s="301">
        <v>1.0048062E-2</v>
      </c>
      <c r="H371" s="301">
        <v>0</v>
      </c>
      <c r="I371" s="301">
        <v>0</v>
      </c>
      <c r="K371" s="301">
        <v>0</v>
      </c>
      <c r="L371" s="301">
        <v>0</v>
      </c>
      <c r="M371" s="301">
        <v>0</v>
      </c>
      <c r="N371" s="301">
        <v>0</v>
      </c>
      <c r="O371" s="301">
        <v>0</v>
      </c>
      <c r="P371" s="298">
        <v>0</v>
      </c>
      <c r="Q371" s="298">
        <v>0</v>
      </c>
      <c r="R371" s="298">
        <v>0</v>
      </c>
      <c r="S371" s="298">
        <v>0</v>
      </c>
      <c r="T371" s="298">
        <v>0</v>
      </c>
      <c r="U371" s="298">
        <v>1.0449999999999999</v>
      </c>
      <c r="V371" s="298">
        <v>0</v>
      </c>
      <c r="W371" s="298">
        <v>0</v>
      </c>
      <c r="X371" s="298">
        <v>0</v>
      </c>
      <c r="Y371" s="298">
        <v>0</v>
      </c>
      <c r="Z371" s="298">
        <v>0</v>
      </c>
      <c r="AM371" s="298">
        <v>7.2441663638213E-2</v>
      </c>
    </row>
    <row r="372" spans="5:39" x14ac:dyDescent="0.25">
      <c r="E372" s="301">
        <v>7.3133694596795001E-2</v>
      </c>
      <c r="AM372" s="298">
        <v>7.2443158441371003E-2</v>
      </c>
    </row>
    <row r="373" spans="5:39" x14ac:dyDescent="0.25">
      <c r="E373" s="301">
        <v>7.3135344963927998E-2</v>
      </c>
      <c r="AM373" s="298">
        <v>7.2444653244530005E-2</v>
      </c>
    </row>
    <row r="374" spans="5:39" x14ac:dyDescent="0.25">
      <c r="E374" s="301">
        <v>7.3136835618114002E-2</v>
      </c>
      <c r="AM374" s="298">
        <v>7.2446003389320002E-2</v>
      </c>
    </row>
    <row r="375" spans="5:39" x14ac:dyDescent="0.25">
      <c r="E375" s="301">
        <v>7.3138485985248997E-2</v>
      </c>
      <c r="AM375" s="298">
        <v>7.2447498192480003E-2</v>
      </c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267" r:id="rId4" name="CommandButton3">
          <controlPr defaultSize="0" autoLine="0" r:id="rId5">
            <anchor moveWithCells="1">
              <from>
                <xdr:col>2</xdr:col>
                <xdr:colOff>441960</xdr:colOff>
                <xdr:row>5</xdr:row>
                <xdr:rowOff>76200</xdr:rowOff>
              </from>
              <to>
                <xdr:col>4</xdr:col>
                <xdr:colOff>198120</xdr:colOff>
                <xdr:row>7</xdr:row>
                <xdr:rowOff>38100</xdr:rowOff>
              </to>
            </anchor>
          </controlPr>
        </control>
      </mc:Choice>
      <mc:Fallback>
        <control shapeId="11267" r:id="rId4" name="CommandButton3"/>
      </mc:Fallback>
    </mc:AlternateContent>
    <mc:AlternateContent xmlns:mc="http://schemas.openxmlformats.org/markup-compatibility/2006">
      <mc:Choice Requires="x14">
        <control shapeId="11266" r:id="rId6" name="CommandButton2">
          <controlPr defaultSize="0" autoLine="0" r:id="rId7">
            <anchor moveWithCells="1">
              <from>
                <xdr:col>1</xdr:col>
                <xdr:colOff>289560</xdr:colOff>
                <xdr:row>5</xdr:row>
                <xdr:rowOff>76200</xdr:rowOff>
              </from>
              <to>
                <xdr:col>2</xdr:col>
                <xdr:colOff>167640</xdr:colOff>
                <xdr:row>7</xdr:row>
                <xdr:rowOff>38100</xdr:rowOff>
              </to>
            </anchor>
          </controlPr>
        </control>
      </mc:Choice>
      <mc:Fallback>
        <control shapeId="11266" r:id="rId6" name="CommandButton2"/>
      </mc:Fallback>
    </mc:AlternateContent>
    <mc:AlternateContent xmlns:mc="http://schemas.openxmlformats.org/markup-compatibility/2006">
      <mc:Choice Requires="x14">
        <control shapeId="11265" r:id="rId8" name="CommandButton1">
          <controlPr defaultSize="0" autoLine="0" r:id="rId9">
            <anchor moveWithCells="1">
              <from>
                <xdr:col>0</xdr:col>
                <xdr:colOff>182880</xdr:colOff>
                <xdr:row>5</xdr:row>
                <xdr:rowOff>68580</xdr:rowOff>
              </from>
              <to>
                <xdr:col>1</xdr:col>
                <xdr:colOff>228600</xdr:colOff>
                <xdr:row>7</xdr:row>
                <xdr:rowOff>30480</xdr:rowOff>
              </to>
            </anchor>
          </controlPr>
        </control>
      </mc:Choice>
      <mc:Fallback>
        <control shapeId="11265" r:id="rId8" name="CommandButton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V1000"/>
  <sheetViews>
    <sheetView topLeftCell="B1" workbookViewId="0">
      <selection activeCell="C11" sqref="C11:AQ235"/>
    </sheetView>
  </sheetViews>
  <sheetFormatPr defaultColWidth="9.109375" defaultRowHeight="13.2" x14ac:dyDescent="0.25"/>
  <cols>
    <col min="1" max="1" width="20.109375" style="210" hidden="1" customWidth="1"/>
    <col min="2" max="2" width="16.109375" style="210" customWidth="1"/>
    <col min="3" max="3" width="14.109375" style="210" customWidth="1"/>
    <col min="4" max="4" width="12.6640625" style="198" customWidth="1"/>
    <col min="5" max="6" width="16.6640625" style="328" customWidth="1"/>
    <col min="7" max="7" width="16.6640625" style="198" customWidth="1"/>
    <col min="8" max="8" width="16.6640625" style="210" customWidth="1"/>
    <col min="9" max="9" width="16.6640625" style="198" customWidth="1"/>
    <col min="10" max="10" width="16.6640625" style="210" customWidth="1"/>
    <col min="11" max="36" width="16.6640625" style="329" customWidth="1"/>
    <col min="37" max="39" width="12.109375" style="210" customWidth="1"/>
    <col min="40" max="40" width="15.44140625" style="210" customWidth="1"/>
    <col min="41" max="41" width="13" style="210" customWidth="1"/>
    <col min="42" max="43" width="13.109375" style="210" customWidth="1"/>
    <col min="44" max="44" width="15.5546875" style="210" customWidth="1"/>
    <col min="45" max="46" width="14.109375" style="210" customWidth="1"/>
    <col min="47" max="47" width="18" style="210" customWidth="1"/>
    <col min="48" max="48" width="14.109375" style="210" customWidth="1"/>
    <col min="49" max="49" width="12.33203125" style="210" customWidth="1"/>
    <col min="50" max="50" width="14" style="210" customWidth="1"/>
    <col min="51" max="51" width="10.5546875" style="210" customWidth="1"/>
    <col min="52" max="52" width="9" style="210" customWidth="1"/>
    <col min="53" max="53" width="10.88671875" style="210" customWidth="1"/>
    <col min="54" max="54" width="16.109375" style="210" customWidth="1"/>
    <col min="55" max="55" width="14.109375" style="210" customWidth="1"/>
    <col min="56" max="56" width="15.44140625" style="210" customWidth="1"/>
    <col min="57" max="57" width="14.109375" style="210" customWidth="1"/>
    <col min="58" max="58" width="18" style="210" customWidth="1"/>
    <col min="59" max="59" width="13.109375" style="210" customWidth="1"/>
    <col min="60" max="60" width="15.5546875" style="210" customWidth="1"/>
    <col min="61" max="63" width="14.109375" style="210" customWidth="1"/>
    <col min="64" max="64" width="12.33203125" style="210" customWidth="1"/>
    <col min="65" max="65" width="14" style="210" customWidth="1"/>
    <col min="66" max="66" width="13" style="210" customWidth="1"/>
    <col min="67" max="16384" width="9.109375" style="210"/>
  </cols>
  <sheetData>
    <row r="1" spans="1:256" x14ac:dyDescent="0.25">
      <c r="A1" s="198"/>
      <c r="D1" s="317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  <c r="AO1" s="209"/>
      <c r="AP1" s="209"/>
      <c r="AQ1" s="209"/>
      <c r="AR1" s="209"/>
      <c r="AS1" s="209"/>
      <c r="AT1" s="209"/>
      <c r="AU1" s="209"/>
      <c r="AV1" s="209"/>
      <c r="AW1" s="209"/>
      <c r="AX1" s="209"/>
      <c r="AY1" s="209"/>
      <c r="AZ1" s="209"/>
      <c r="BA1" s="209"/>
      <c r="BB1" s="209"/>
      <c r="BC1" s="209"/>
      <c r="BD1" s="209"/>
      <c r="BE1" s="209"/>
      <c r="BF1" s="209"/>
      <c r="BG1" s="209"/>
      <c r="BH1" s="209"/>
      <c r="BI1" s="209"/>
      <c r="BJ1" s="209"/>
      <c r="BK1" s="209"/>
      <c r="BL1" s="209"/>
      <c r="BM1" s="209"/>
      <c r="BN1" s="209"/>
    </row>
    <row r="2" spans="1:256" x14ac:dyDescent="0.25">
      <c r="B2" s="318"/>
      <c r="C2" s="198"/>
      <c r="D2" s="33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11"/>
      <c r="AZ2" s="211"/>
      <c r="BA2" s="211"/>
      <c r="BB2" s="211"/>
      <c r="BC2" s="211"/>
      <c r="BD2" s="211"/>
      <c r="BE2" s="211"/>
      <c r="BF2" s="211"/>
      <c r="BG2" s="211"/>
      <c r="BH2" s="211"/>
      <c r="BI2" s="211"/>
      <c r="BJ2" s="211"/>
      <c r="BK2" s="211"/>
      <c r="BL2" s="211"/>
      <c r="BM2" s="211"/>
      <c r="BN2" s="211"/>
    </row>
    <row r="3" spans="1:256" x14ac:dyDescent="0.25">
      <c r="B3" s="319"/>
      <c r="D3" s="331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2"/>
      <c r="AI3" s="212"/>
      <c r="AJ3" s="212"/>
      <c r="AK3" s="212"/>
      <c r="AL3" s="212"/>
      <c r="AM3" s="212"/>
      <c r="AN3" s="212"/>
      <c r="AO3" s="212"/>
      <c r="AP3" s="212"/>
      <c r="AQ3" s="212"/>
      <c r="AR3" s="212"/>
      <c r="AS3" s="212"/>
      <c r="AT3" s="212"/>
      <c r="AU3" s="212"/>
      <c r="AV3" s="212"/>
      <c r="AW3" s="212"/>
      <c r="AX3" s="212"/>
      <c r="AY3" s="212"/>
      <c r="AZ3" s="212"/>
      <c r="BA3" s="212"/>
      <c r="BB3" s="212"/>
      <c r="BC3" s="212"/>
      <c r="BD3" s="212"/>
      <c r="BE3" s="212"/>
      <c r="BF3" s="212"/>
      <c r="BG3" s="212"/>
      <c r="BH3" s="212"/>
      <c r="BI3" s="212"/>
      <c r="BJ3" s="212"/>
      <c r="BK3" s="212"/>
      <c r="BL3" s="212"/>
      <c r="BM3" s="212"/>
      <c r="BN3" s="212"/>
    </row>
    <row r="4" spans="1:256" x14ac:dyDescent="0.25">
      <c r="B4" s="319"/>
      <c r="D4" s="331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2"/>
      <c r="AH4" s="212"/>
      <c r="AI4" s="212"/>
      <c r="AJ4" s="212"/>
      <c r="AK4" s="212"/>
      <c r="AL4" s="212"/>
      <c r="AM4" s="212"/>
      <c r="AN4" s="212"/>
      <c r="AO4" s="212"/>
      <c r="AP4" s="212"/>
      <c r="AQ4" s="212"/>
      <c r="AR4" s="212"/>
      <c r="AS4" s="212"/>
      <c r="AT4" s="212"/>
      <c r="AU4" s="212"/>
      <c r="AV4" s="212"/>
      <c r="AW4" s="212"/>
      <c r="AX4" s="212"/>
      <c r="AY4" s="212"/>
      <c r="AZ4" s="212"/>
      <c r="BA4" s="212"/>
      <c r="BB4" s="212"/>
      <c r="BC4" s="212"/>
      <c r="BD4" s="212"/>
      <c r="BE4" s="212"/>
      <c r="BF4" s="212"/>
      <c r="BG4" s="212"/>
      <c r="BH4" s="212"/>
      <c r="BI4" s="212"/>
      <c r="BJ4" s="212"/>
      <c r="BK4" s="212"/>
      <c r="BL4" s="212"/>
      <c r="BM4" s="212"/>
      <c r="BN4" s="212"/>
    </row>
    <row r="5" spans="1:256" x14ac:dyDescent="0.25">
      <c r="B5" s="320"/>
      <c r="D5" s="331"/>
      <c r="E5" s="213"/>
      <c r="F5" s="213"/>
      <c r="G5" s="213"/>
      <c r="H5" s="213"/>
      <c r="I5" s="213"/>
      <c r="J5" s="209"/>
      <c r="K5" s="209"/>
      <c r="L5" s="213"/>
      <c r="M5" s="209"/>
      <c r="N5" s="209"/>
      <c r="O5" s="213"/>
      <c r="P5" s="209"/>
      <c r="Q5" s="209"/>
      <c r="R5" s="209"/>
      <c r="S5" s="209"/>
      <c r="T5" s="209"/>
      <c r="U5" s="209"/>
      <c r="V5" s="209"/>
      <c r="W5" s="213"/>
      <c r="X5" s="209"/>
      <c r="Y5" s="209"/>
      <c r="Z5" s="209"/>
      <c r="AA5" s="209"/>
      <c r="AB5" s="209"/>
      <c r="AC5" s="209"/>
      <c r="AD5" s="209"/>
      <c r="AE5" s="209"/>
      <c r="AF5" s="209"/>
      <c r="AG5" s="213"/>
      <c r="AH5" s="213"/>
      <c r="AI5" s="213"/>
      <c r="AJ5" s="213"/>
      <c r="AK5" s="213"/>
      <c r="AL5" s="213"/>
      <c r="AM5" s="213"/>
      <c r="AN5" s="213"/>
      <c r="AO5" s="213"/>
      <c r="AP5" s="209"/>
      <c r="AQ5" s="209"/>
      <c r="AR5" s="209"/>
      <c r="AS5" s="213"/>
      <c r="AT5" s="209"/>
      <c r="AU5" s="209"/>
      <c r="AV5" s="213"/>
      <c r="AW5" s="209"/>
      <c r="AX5" s="209"/>
      <c r="AY5" s="209"/>
      <c r="AZ5" s="209"/>
      <c r="BA5" s="209"/>
      <c r="BB5" s="209"/>
      <c r="BC5" s="209"/>
      <c r="BD5" s="213"/>
      <c r="BE5" s="209"/>
      <c r="BF5" s="209"/>
      <c r="BG5" s="209"/>
      <c r="BH5" s="209"/>
      <c r="BI5" s="209"/>
      <c r="BJ5" s="209"/>
      <c r="BK5" s="209"/>
      <c r="BL5" s="209"/>
      <c r="BM5" s="209"/>
      <c r="BN5" s="213"/>
    </row>
    <row r="6" spans="1:256" x14ac:dyDescent="0.25">
      <c r="B6" s="320"/>
      <c r="D6" s="331"/>
      <c r="E6" s="213"/>
      <c r="F6" s="213"/>
      <c r="G6" s="213"/>
      <c r="H6" s="213"/>
      <c r="I6" s="213"/>
      <c r="J6" s="209"/>
      <c r="K6" s="209"/>
      <c r="L6" s="213"/>
      <c r="M6" s="209"/>
      <c r="N6" s="209"/>
      <c r="O6" s="213"/>
      <c r="P6" s="209"/>
      <c r="Q6" s="209"/>
      <c r="R6" s="209"/>
      <c r="S6" s="209"/>
      <c r="T6" s="209"/>
      <c r="U6" s="209"/>
      <c r="V6" s="209"/>
      <c r="W6" s="213"/>
      <c r="X6" s="209"/>
      <c r="Y6" s="209"/>
      <c r="Z6" s="209"/>
      <c r="AA6" s="209"/>
      <c r="AB6" s="209"/>
      <c r="AC6" s="209"/>
      <c r="AD6" s="209"/>
      <c r="AE6" s="209"/>
      <c r="AF6" s="209"/>
      <c r="AG6" s="213"/>
      <c r="AH6" s="213"/>
      <c r="AI6" s="213"/>
      <c r="AJ6" s="213"/>
      <c r="AK6" s="213"/>
      <c r="AL6" s="213"/>
      <c r="AM6" s="213"/>
      <c r="AN6" s="213"/>
      <c r="AO6" s="213"/>
      <c r="AP6" s="209"/>
      <c r="AQ6" s="209"/>
      <c r="AR6" s="209"/>
      <c r="AS6" s="213"/>
      <c r="AT6" s="209"/>
      <c r="AU6" s="209"/>
      <c r="AV6" s="213"/>
      <c r="AW6" s="209"/>
      <c r="AX6" s="209"/>
      <c r="AY6" s="209"/>
      <c r="AZ6" s="209"/>
      <c r="BA6" s="209"/>
      <c r="BB6" s="209"/>
      <c r="BC6" s="209"/>
      <c r="BD6" s="213"/>
      <c r="BE6" s="209"/>
      <c r="BF6" s="209"/>
      <c r="BG6" s="209"/>
      <c r="BH6" s="209"/>
      <c r="BI6" s="209"/>
      <c r="BJ6" s="209"/>
      <c r="BK6" s="209"/>
      <c r="BL6" s="209"/>
      <c r="BM6" s="209"/>
      <c r="BN6" s="213"/>
    </row>
    <row r="7" spans="1:256" x14ac:dyDescent="0.25">
      <c r="B7" s="320"/>
      <c r="D7" s="331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3"/>
      <c r="BE7" s="213"/>
      <c r="BF7" s="213"/>
      <c r="BG7" s="213"/>
      <c r="BH7" s="213"/>
      <c r="BI7" s="213"/>
      <c r="BJ7" s="213"/>
      <c r="BK7" s="213"/>
      <c r="BL7" s="213"/>
      <c r="BM7" s="213"/>
      <c r="BN7" s="213"/>
    </row>
    <row r="8" spans="1:256" x14ac:dyDescent="0.25">
      <c r="B8" s="321"/>
      <c r="D8" s="322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327"/>
      <c r="S8" s="327"/>
      <c r="T8" s="327"/>
      <c r="U8" s="327"/>
      <c r="V8" s="327"/>
      <c r="W8" s="327"/>
      <c r="X8" s="327"/>
      <c r="Y8" s="327"/>
      <c r="Z8" s="327"/>
      <c r="AA8" s="327"/>
      <c r="AB8" s="327"/>
      <c r="AC8" s="327"/>
      <c r="AD8" s="327"/>
      <c r="AE8" s="327"/>
      <c r="AF8" s="327"/>
      <c r="AG8" s="327"/>
      <c r="AH8" s="327"/>
      <c r="AI8" s="327"/>
      <c r="AJ8" s="327"/>
      <c r="AK8" s="326"/>
      <c r="AL8" s="327"/>
    </row>
    <row r="9" spans="1:256" ht="15.6" x14ac:dyDescent="0.3">
      <c r="B9" s="323"/>
      <c r="C9" s="324"/>
      <c r="D9" s="322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327"/>
      <c r="S9" s="327"/>
      <c r="T9" s="327"/>
      <c r="U9" s="327"/>
      <c r="V9" s="327"/>
      <c r="W9" s="327"/>
      <c r="X9" s="327"/>
      <c r="Y9" s="327"/>
      <c r="Z9" s="327"/>
      <c r="AA9" s="327"/>
      <c r="AB9" s="327"/>
      <c r="AC9" s="327"/>
      <c r="AD9" s="327"/>
      <c r="AE9" s="327"/>
      <c r="AF9" s="327"/>
      <c r="AG9" s="327"/>
      <c r="AH9" s="327"/>
      <c r="AI9" s="327"/>
      <c r="AJ9" s="327"/>
      <c r="AK9" s="326"/>
      <c r="AL9" s="327"/>
    </row>
    <row r="10" spans="1:256" x14ac:dyDescent="0.25">
      <c r="B10" s="303"/>
      <c r="C10" s="301">
        <v>1</v>
      </c>
      <c r="D10" s="301">
        <v>2</v>
      </c>
      <c r="E10" s="301">
        <v>3</v>
      </c>
      <c r="F10" s="301">
        <v>4</v>
      </c>
      <c r="G10" s="301">
        <v>5</v>
      </c>
      <c r="H10" s="301">
        <v>6</v>
      </c>
      <c r="I10" s="301">
        <v>7</v>
      </c>
      <c r="J10" s="301">
        <v>8</v>
      </c>
      <c r="K10" s="301">
        <v>9</v>
      </c>
      <c r="L10" s="301">
        <v>10</v>
      </c>
      <c r="M10" s="301">
        <v>11</v>
      </c>
      <c r="N10" s="301">
        <v>12</v>
      </c>
      <c r="O10" s="301">
        <v>13</v>
      </c>
      <c r="P10" s="301">
        <v>14</v>
      </c>
      <c r="Q10" s="301">
        <v>15</v>
      </c>
      <c r="R10" s="301">
        <v>16</v>
      </c>
      <c r="S10" s="301">
        <v>17</v>
      </c>
      <c r="T10" s="301">
        <v>18</v>
      </c>
      <c r="U10" s="301">
        <v>19</v>
      </c>
      <c r="V10" s="301">
        <v>20</v>
      </c>
      <c r="W10" s="301">
        <v>21</v>
      </c>
      <c r="X10" s="301">
        <v>22</v>
      </c>
      <c r="Y10" s="301">
        <v>23</v>
      </c>
      <c r="Z10" s="301">
        <v>24</v>
      </c>
      <c r="AA10" s="301">
        <v>25</v>
      </c>
      <c r="AB10" s="301">
        <v>26</v>
      </c>
      <c r="AC10" s="301">
        <v>27</v>
      </c>
      <c r="AD10" s="301">
        <v>28</v>
      </c>
      <c r="AE10" s="301">
        <v>29</v>
      </c>
      <c r="AF10" s="301">
        <v>30</v>
      </c>
      <c r="AG10" s="301">
        <v>31</v>
      </c>
      <c r="AH10" s="327"/>
      <c r="AI10" s="327"/>
      <c r="AJ10" s="301"/>
      <c r="AK10" s="326"/>
      <c r="AL10" s="327"/>
    </row>
    <row r="11" spans="1:256" x14ac:dyDescent="0.25">
      <c r="B11" s="305" t="s">
        <v>126</v>
      </c>
      <c r="C11" s="306">
        <f t="shared" ref="C11:AQ11" si="0">EffDt</f>
        <v>36633</v>
      </c>
      <c r="D11" s="306">
        <f t="shared" si="0"/>
        <v>36633</v>
      </c>
      <c r="E11" s="306">
        <f t="shared" si="0"/>
        <v>36633</v>
      </c>
      <c r="F11" s="306">
        <f t="shared" si="0"/>
        <v>36633</v>
      </c>
      <c r="G11" s="306">
        <f t="shared" si="0"/>
        <v>36633</v>
      </c>
      <c r="H11" s="306">
        <f t="shared" si="0"/>
        <v>36633</v>
      </c>
      <c r="I11" s="306">
        <f t="shared" si="0"/>
        <v>36633</v>
      </c>
      <c r="J11" s="306">
        <f t="shared" si="0"/>
        <v>36633</v>
      </c>
      <c r="K11" s="306">
        <f t="shared" si="0"/>
        <v>36633</v>
      </c>
      <c r="L11" s="306">
        <f t="shared" si="0"/>
        <v>36633</v>
      </c>
      <c r="M11" s="306">
        <f t="shared" si="0"/>
        <v>36633</v>
      </c>
      <c r="N11" s="306">
        <f t="shared" si="0"/>
        <v>36633</v>
      </c>
      <c r="O11" s="306">
        <f t="shared" si="0"/>
        <v>36633</v>
      </c>
      <c r="P11" s="306">
        <f t="shared" si="0"/>
        <v>36633</v>
      </c>
      <c r="Q11" s="306">
        <f t="shared" si="0"/>
        <v>36633</v>
      </c>
      <c r="R11" s="306">
        <f t="shared" si="0"/>
        <v>36633</v>
      </c>
      <c r="S11" s="306">
        <f t="shared" si="0"/>
        <v>36633</v>
      </c>
      <c r="T11" s="306">
        <f t="shared" si="0"/>
        <v>36633</v>
      </c>
      <c r="U11" s="306">
        <f t="shared" si="0"/>
        <v>36633</v>
      </c>
      <c r="V11" s="306">
        <f t="shared" si="0"/>
        <v>36633</v>
      </c>
      <c r="W11" s="306">
        <f t="shared" si="0"/>
        <v>36633</v>
      </c>
      <c r="X11" s="306">
        <f t="shared" si="0"/>
        <v>36633</v>
      </c>
      <c r="Y11" s="306">
        <f t="shared" si="0"/>
        <v>36633</v>
      </c>
      <c r="Z11" s="306">
        <f t="shared" si="0"/>
        <v>36633</v>
      </c>
      <c r="AA11" s="306">
        <f t="shared" si="0"/>
        <v>36633</v>
      </c>
      <c r="AB11" s="306">
        <f t="shared" si="0"/>
        <v>36633</v>
      </c>
      <c r="AC11" s="306">
        <f t="shared" si="0"/>
        <v>36633</v>
      </c>
      <c r="AD11" s="306">
        <f t="shared" si="0"/>
        <v>36633</v>
      </c>
      <c r="AE11" s="306">
        <f t="shared" si="0"/>
        <v>36633</v>
      </c>
      <c r="AF11" s="306">
        <f t="shared" si="0"/>
        <v>36633</v>
      </c>
      <c r="AG11" s="306">
        <f t="shared" si="0"/>
        <v>36633</v>
      </c>
      <c r="AH11" s="306">
        <f t="shared" si="0"/>
        <v>36633</v>
      </c>
      <c r="AI11" s="306">
        <f t="shared" si="0"/>
        <v>36633</v>
      </c>
      <c r="AJ11" s="306">
        <f t="shared" si="0"/>
        <v>36633</v>
      </c>
      <c r="AK11" s="306">
        <f t="shared" si="0"/>
        <v>36633</v>
      </c>
      <c r="AL11" s="306">
        <f t="shared" si="0"/>
        <v>36633</v>
      </c>
      <c r="AM11" s="306">
        <f>WORKDAY(AL11,-1)</f>
        <v>36630</v>
      </c>
      <c r="AN11" s="306"/>
      <c r="AO11" s="306">
        <f t="shared" si="0"/>
        <v>36633</v>
      </c>
      <c r="AP11" s="306">
        <f t="shared" si="0"/>
        <v>36633</v>
      </c>
      <c r="AQ11" s="306">
        <f t="shared" si="0"/>
        <v>36633</v>
      </c>
    </row>
    <row r="12" spans="1:256" x14ac:dyDescent="0.25">
      <c r="B12" s="305" t="s">
        <v>127</v>
      </c>
      <c r="C12" s="299">
        <f t="shared" ref="C12:AM12" si="1">EOMONTH(C11,0)+1</f>
        <v>36647</v>
      </c>
      <c r="D12" s="299">
        <f t="shared" si="1"/>
        <v>36647</v>
      </c>
      <c r="E12" s="299">
        <f t="shared" si="1"/>
        <v>36647</v>
      </c>
      <c r="F12" s="299">
        <f t="shared" si="1"/>
        <v>36647</v>
      </c>
      <c r="G12" s="299">
        <f t="shared" si="1"/>
        <v>36647</v>
      </c>
      <c r="H12" s="299">
        <f t="shared" si="1"/>
        <v>36647</v>
      </c>
      <c r="I12" s="299">
        <f t="shared" si="1"/>
        <v>36647</v>
      </c>
      <c r="J12" s="299">
        <f t="shared" si="1"/>
        <v>36647</v>
      </c>
      <c r="K12" s="299">
        <f t="shared" si="1"/>
        <v>36647</v>
      </c>
      <c r="L12" s="299">
        <f t="shared" si="1"/>
        <v>36647</v>
      </c>
      <c r="M12" s="299">
        <f t="shared" si="1"/>
        <v>36647</v>
      </c>
      <c r="N12" s="299">
        <f t="shared" si="1"/>
        <v>36647</v>
      </c>
      <c r="O12" s="299">
        <f t="shared" si="1"/>
        <v>36647</v>
      </c>
      <c r="P12" s="299">
        <f t="shared" si="1"/>
        <v>36647</v>
      </c>
      <c r="Q12" s="299">
        <f t="shared" si="1"/>
        <v>36647</v>
      </c>
      <c r="R12" s="299">
        <f t="shared" si="1"/>
        <v>36647</v>
      </c>
      <c r="S12" s="299">
        <f t="shared" si="1"/>
        <v>36647</v>
      </c>
      <c r="T12" s="299">
        <f t="shared" si="1"/>
        <v>36647</v>
      </c>
      <c r="U12" s="299">
        <f t="shared" si="1"/>
        <v>36647</v>
      </c>
      <c r="V12" s="299">
        <f t="shared" si="1"/>
        <v>36647</v>
      </c>
      <c r="W12" s="299">
        <f t="shared" si="1"/>
        <v>36647</v>
      </c>
      <c r="X12" s="299">
        <f t="shared" si="1"/>
        <v>36647</v>
      </c>
      <c r="Y12" s="299">
        <f t="shared" si="1"/>
        <v>36647</v>
      </c>
      <c r="Z12" s="299">
        <f t="shared" si="1"/>
        <v>36647</v>
      </c>
      <c r="AA12" s="299">
        <f t="shared" si="1"/>
        <v>36647</v>
      </c>
      <c r="AB12" s="299">
        <f t="shared" si="1"/>
        <v>36647</v>
      </c>
      <c r="AC12" s="299">
        <f t="shared" si="1"/>
        <v>36647</v>
      </c>
      <c r="AD12" s="299">
        <f t="shared" si="1"/>
        <v>36647</v>
      </c>
      <c r="AE12" s="299">
        <f t="shared" si="1"/>
        <v>36647</v>
      </c>
      <c r="AF12" s="299">
        <f t="shared" si="1"/>
        <v>36647</v>
      </c>
      <c r="AG12" s="299">
        <f t="shared" si="1"/>
        <v>36647</v>
      </c>
      <c r="AH12" s="299">
        <f t="shared" si="1"/>
        <v>36647</v>
      </c>
      <c r="AI12" s="299">
        <f t="shared" si="1"/>
        <v>36647</v>
      </c>
      <c r="AJ12" s="299">
        <f t="shared" si="1"/>
        <v>36647</v>
      </c>
      <c r="AK12" s="299">
        <f t="shared" si="1"/>
        <v>36647</v>
      </c>
      <c r="AL12" s="299">
        <f t="shared" si="1"/>
        <v>36647</v>
      </c>
      <c r="AM12" s="299">
        <f t="shared" si="1"/>
        <v>36647</v>
      </c>
      <c r="AN12" s="299"/>
      <c r="AO12" s="299">
        <f>EOMONTH(AO11,0)+1</f>
        <v>36647</v>
      </c>
      <c r="AP12" s="299">
        <f>EOMONTH(AP11,0)+1</f>
        <v>36647</v>
      </c>
      <c r="AQ12" s="299">
        <f>EOMONTH(AQ11,0)+1</f>
        <v>36647</v>
      </c>
    </row>
    <row r="13" spans="1:256" x14ac:dyDescent="0.25">
      <c r="B13" s="305" t="s">
        <v>134</v>
      </c>
      <c r="C13" s="301" t="s">
        <v>135</v>
      </c>
      <c r="D13" s="307" t="s">
        <v>135</v>
      </c>
      <c r="E13" s="307" t="s">
        <v>136</v>
      </c>
      <c r="F13" s="307" t="s">
        <v>251</v>
      </c>
      <c r="G13" s="307" t="s">
        <v>0</v>
      </c>
      <c r="H13" s="307" t="s">
        <v>6</v>
      </c>
      <c r="I13" s="307" t="s">
        <v>74</v>
      </c>
      <c r="J13" s="307" t="s">
        <v>10</v>
      </c>
      <c r="K13" s="307" t="s">
        <v>45</v>
      </c>
      <c r="L13" s="308" t="s">
        <v>44</v>
      </c>
      <c r="M13" s="307" t="s">
        <v>9</v>
      </c>
      <c r="N13" s="307" t="s">
        <v>46</v>
      </c>
      <c r="O13" s="307" t="s">
        <v>47</v>
      </c>
      <c r="P13" s="307" t="s">
        <v>48</v>
      </c>
      <c r="Q13" s="307" t="s">
        <v>97</v>
      </c>
      <c r="R13" s="307" t="s">
        <v>98</v>
      </c>
      <c r="S13" s="307" t="s">
        <v>99</v>
      </c>
      <c r="T13" s="307" t="s">
        <v>100</v>
      </c>
      <c r="U13" s="307" t="s">
        <v>7</v>
      </c>
      <c r="V13" s="309" t="s">
        <v>122</v>
      </c>
      <c r="W13" s="309" t="s">
        <v>240</v>
      </c>
      <c r="X13" s="309" t="s">
        <v>260</v>
      </c>
      <c r="Y13" s="309" t="s">
        <v>193</v>
      </c>
      <c r="Z13" s="309" t="s">
        <v>193</v>
      </c>
      <c r="AA13" s="307" t="s">
        <v>0</v>
      </c>
      <c r="AB13" s="309" t="s">
        <v>7</v>
      </c>
      <c r="AC13" s="309" t="s">
        <v>9</v>
      </c>
      <c r="AD13" s="309" t="s">
        <v>74</v>
      </c>
      <c r="AE13" s="309" t="s">
        <v>10</v>
      </c>
      <c r="AF13" s="309" t="s">
        <v>46</v>
      </c>
      <c r="AG13" s="309" t="s">
        <v>48</v>
      </c>
      <c r="AH13" s="309" t="s">
        <v>6</v>
      </c>
      <c r="AI13" s="309" t="s">
        <v>122</v>
      </c>
      <c r="AJ13" s="309" t="s">
        <v>240</v>
      </c>
      <c r="AK13" s="309" t="s">
        <v>100</v>
      </c>
      <c r="AL13" s="310" t="s">
        <v>251</v>
      </c>
      <c r="AM13" s="307" t="s">
        <v>136</v>
      </c>
      <c r="AN13" s="310"/>
      <c r="AO13" s="309" t="s">
        <v>45</v>
      </c>
      <c r="AP13" s="309" t="s">
        <v>44</v>
      </c>
      <c r="AQ13" s="309" t="s">
        <v>47</v>
      </c>
    </row>
    <row r="14" spans="1:256" x14ac:dyDescent="0.25">
      <c r="B14" s="305" t="s">
        <v>128</v>
      </c>
      <c r="C14" s="301" t="s">
        <v>123</v>
      </c>
      <c r="D14" s="301" t="s">
        <v>129</v>
      </c>
      <c r="E14" s="301" t="s">
        <v>130</v>
      </c>
      <c r="F14" s="301" t="s">
        <v>123</v>
      </c>
      <c r="G14" s="301" t="s">
        <v>123</v>
      </c>
      <c r="H14" s="301" t="s">
        <v>123</v>
      </c>
      <c r="I14" s="301" t="s">
        <v>123</v>
      </c>
      <c r="J14" s="301" t="s">
        <v>123</v>
      </c>
      <c r="K14" s="301" t="s">
        <v>123</v>
      </c>
      <c r="L14" s="301" t="s">
        <v>123</v>
      </c>
      <c r="M14" s="301" t="s">
        <v>123</v>
      </c>
      <c r="N14" s="301" t="s">
        <v>123</v>
      </c>
      <c r="O14" s="301" t="s">
        <v>123</v>
      </c>
      <c r="P14" s="301" t="s">
        <v>123</v>
      </c>
      <c r="Q14" s="301" t="s">
        <v>123</v>
      </c>
      <c r="R14" s="301" t="s">
        <v>123</v>
      </c>
      <c r="S14" s="301" t="s">
        <v>123</v>
      </c>
      <c r="T14" s="301" t="s">
        <v>123</v>
      </c>
      <c r="U14" s="301" t="s">
        <v>123</v>
      </c>
      <c r="V14" s="311" t="s">
        <v>123</v>
      </c>
      <c r="W14" s="311" t="s">
        <v>123</v>
      </c>
      <c r="X14" s="311" t="s">
        <v>123</v>
      </c>
      <c r="Y14" s="311" t="s">
        <v>123</v>
      </c>
      <c r="Z14" s="311" t="s">
        <v>123</v>
      </c>
      <c r="AA14" s="301" t="s">
        <v>129</v>
      </c>
      <c r="AB14" s="311" t="s">
        <v>129</v>
      </c>
      <c r="AC14" s="311" t="s">
        <v>129</v>
      </c>
      <c r="AD14" s="311" t="s">
        <v>129</v>
      </c>
      <c r="AE14" s="311" t="s">
        <v>129</v>
      </c>
      <c r="AF14" s="311" t="s">
        <v>129</v>
      </c>
      <c r="AG14" s="311" t="s">
        <v>129</v>
      </c>
      <c r="AH14" s="311" t="s">
        <v>129</v>
      </c>
      <c r="AI14" s="311" t="s">
        <v>129</v>
      </c>
      <c r="AJ14" s="311" t="s">
        <v>129</v>
      </c>
      <c r="AK14" s="311" t="s">
        <v>129</v>
      </c>
      <c r="AL14" s="301" t="s">
        <v>129</v>
      </c>
      <c r="AM14" s="301" t="s">
        <v>130</v>
      </c>
      <c r="AN14" s="301"/>
      <c r="AO14" s="311" t="s">
        <v>129</v>
      </c>
      <c r="AP14" s="311" t="s">
        <v>129</v>
      </c>
      <c r="AQ14" s="311" t="s">
        <v>129</v>
      </c>
    </row>
    <row r="15" spans="1:256" x14ac:dyDescent="0.25">
      <c r="A15" s="325"/>
      <c r="B15" s="305" t="s">
        <v>131</v>
      </c>
      <c r="C15" s="301" t="s">
        <v>1</v>
      </c>
      <c r="D15" s="301" t="s">
        <v>1</v>
      </c>
      <c r="E15" s="301" t="s">
        <v>133</v>
      </c>
      <c r="F15" s="301" t="s">
        <v>124</v>
      </c>
      <c r="G15" s="301" t="s">
        <v>124</v>
      </c>
      <c r="H15" s="301" t="s">
        <v>124</v>
      </c>
      <c r="I15" s="301" t="s">
        <v>124</v>
      </c>
      <c r="J15" s="301" t="s">
        <v>124</v>
      </c>
      <c r="K15" s="301" t="s">
        <v>124</v>
      </c>
      <c r="L15" s="301" t="s">
        <v>124</v>
      </c>
      <c r="M15" s="301" t="s">
        <v>124</v>
      </c>
      <c r="N15" s="301" t="s">
        <v>124</v>
      </c>
      <c r="O15" s="301" t="s">
        <v>124</v>
      </c>
      <c r="P15" s="301" t="s">
        <v>124</v>
      </c>
      <c r="Q15" s="301" t="s">
        <v>124</v>
      </c>
      <c r="R15" s="301" t="s">
        <v>124</v>
      </c>
      <c r="S15" s="301" t="s">
        <v>124</v>
      </c>
      <c r="T15" s="301" t="s">
        <v>124</v>
      </c>
      <c r="U15" s="301" t="s">
        <v>124</v>
      </c>
      <c r="V15" s="311" t="s">
        <v>124</v>
      </c>
      <c r="W15" s="311" t="s">
        <v>124</v>
      </c>
      <c r="X15" s="311" t="s">
        <v>124</v>
      </c>
      <c r="Y15" s="311" t="s">
        <v>124</v>
      </c>
      <c r="Z15" s="311" t="s">
        <v>132</v>
      </c>
      <c r="AA15" s="301" t="s">
        <v>1</v>
      </c>
      <c r="AB15" s="311" t="s">
        <v>1</v>
      </c>
      <c r="AC15" s="311" t="s">
        <v>1</v>
      </c>
      <c r="AD15" s="311" t="s">
        <v>1</v>
      </c>
      <c r="AE15" s="311" t="s">
        <v>1</v>
      </c>
      <c r="AF15" s="311" t="s">
        <v>1</v>
      </c>
      <c r="AG15" s="311" t="s">
        <v>1</v>
      </c>
      <c r="AH15" s="311" t="s">
        <v>1</v>
      </c>
      <c r="AI15" s="311" t="s">
        <v>1</v>
      </c>
      <c r="AJ15" s="311" t="s">
        <v>1</v>
      </c>
      <c r="AK15" s="311" t="s">
        <v>1</v>
      </c>
      <c r="AL15" s="301" t="s">
        <v>1</v>
      </c>
      <c r="AM15" s="301" t="s">
        <v>133</v>
      </c>
      <c r="AN15" s="301"/>
      <c r="AO15" s="311" t="s">
        <v>1</v>
      </c>
      <c r="AP15" s="311" t="s">
        <v>1</v>
      </c>
      <c r="AQ15" s="311" t="s">
        <v>1</v>
      </c>
      <c r="IU15" s="315">
        <f t="shared" ref="IU15:IU78" si="2">B16</f>
        <v>36647</v>
      </c>
      <c r="IV15" s="298">
        <v>4</v>
      </c>
    </row>
    <row r="16" spans="1:256" x14ac:dyDescent="0.25">
      <c r="A16" s="326"/>
      <c r="B16" s="303">
        <f>EOMONTH(EffDt,0)+1</f>
        <v>36647</v>
      </c>
      <c r="C16" s="301">
        <v>3.0779999999999998</v>
      </c>
      <c r="D16" s="301">
        <v>0.35499999999999998</v>
      </c>
      <c r="E16" s="301">
        <v>6.2586250879322999E-2</v>
      </c>
      <c r="F16" s="301">
        <v>-0.105</v>
      </c>
      <c r="G16" s="301">
        <v>7.4999999999999997E-3</v>
      </c>
      <c r="H16" s="301">
        <v>-0.105</v>
      </c>
      <c r="I16" s="301">
        <v>5.5E-2</v>
      </c>
      <c r="J16" s="301">
        <v>0.16</v>
      </c>
      <c r="K16" s="301">
        <v>-5.5E-2</v>
      </c>
      <c r="L16" s="301">
        <v>-2.5000000000000001E-2</v>
      </c>
      <c r="M16" s="301">
        <v>-0.3125</v>
      </c>
      <c r="N16" s="301">
        <v>5.0000000000000001E-3</v>
      </c>
      <c r="O16" s="301">
        <v>-5.0000000000000001E-3</v>
      </c>
      <c r="P16" s="298">
        <v>-2.5000000000000001E-2</v>
      </c>
      <c r="Q16" s="298">
        <v>-5.2499999999999998E-2</v>
      </c>
      <c r="R16" s="298">
        <v>-0.03</v>
      </c>
      <c r="S16" s="298">
        <v>-7.2499999999999995E-2</v>
      </c>
      <c r="T16" s="298">
        <v>-0.16</v>
      </c>
      <c r="U16" s="298">
        <v>0.28999999999999998</v>
      </c>
      <c r="V16" s="298">
        <v>2.5000000000000001E-3</v>
      </c>
      <c r="W16" s="298">
        <v>-0.26250000000000001</v>
      </c>
      <c r="X16" s="298">
        <v>-0.02</v>
      </c>
      <c r="Y16" s="313">
        <v>-0.02</v>
      </c>
      <c r="Z16" s="313">
        <v>-7.4999999999999997E-3</v>
      </c>
      <c r="AA16" s="445">
        <v>0.35499999999999998</v>
      </c>
      <c r="AB16" s="445">
        <v>0.34799999999999998</v>
      </c>
      <c r="AC16" s="445">
        <v>0.32700000000000001</v>
      </c>
      <c r="AD16" s="445">
        <v>0.35499999999999998</v>
      </c>
      <c r="AE16" s="445">
        <v>0.34799999999999998</v>
      </c>
      <c r="AF16" s="445">
        <v>0.35499999999999998</v>
      </c>
      <c r="AG16" s="445">
        <v>0.35499999999999998</v>
      </c>
      <c r="AH16" s="445">
        <v>0.35499999999999998</v>
      </c>
      <c r="AI16" s="446">
        <v>0.35499999999999998</v>
      </c>
      <c r="AJ16" s="446">
        <v>0.32700000000000001</v>
      </c>
      <c r="AK16" s="446">
        <v>0.35499999999999998</v>
      </c>
      <c r="AL16" s="445">
        <v>0.35499999999999998</v>
      </c>
      <c r="AM16" s="312">
        <v>6.2607387228132E-2</v>
      </c>
      <c r="AN16" s="312"/>
      <c r="AO16" s="313">
        <f>AB16</f>
        <v>0.34799999999999998</v>
      </c>
      <c r="AP16" s="313">
        <f>AB16</f>
        <v>0.34799999999999998</v>
      </c>
      <c r="AQ16" s="316">
        <f>AB16</f>
        <v>0.34799999999999998</v>
      </c>
      <c r="IU16" s="315">
        <f t="shared" si="2"/>
        <v>36678</v>
      </c>
      <c r="IV16" s="298">
        <v>5</v>
      </c>
    </row>
    <row r="17" spans="1:256" x14ac:dyDescent="0.25">
      <c r="A17" s="326"/>
      <c r="B17" s="303">
        <f t="shared" ref="B17:B48" si="3">EOMONTH(B16,0)+1</f>
        <v>36678</v>
      </c>
      <c r="C17" s="301">
        <v>3.089</v>
      </c>
      <c r="D17" s="301">
        <v>0.3725</v>
      </c>
      <c r="E17" s="301">
        <v>6.3014700465000004E-2</v>
      </c>
      <c r="F17" s="301">
        <v>-0.1075</v>
      </c>
      <c r="G17" s="301">
        <v>1.7500000000000002E-2</v>
      </c>
      <c r="H17" s="301">
        <v>-0.1075</v>
      </c>
      <c r="I17" s="301">
        <v>5.2499999999999998E-2</v>
      </c>
      <c r="J17" s="301">
        <v>0.16750000000000001</v>
      </c>
      <c r="K17" s="301">
        <v>-5.2499999999999998E-2</v>
      </c>
      <c r="L17" s="301">
        <v>-2.2499999999999999E-2</v>
      </c>
      <c r="M17" s="301">
        <v>-0.315</v>
      </c>
      <c r="N17" s="301">
        <v>7.4999999999999997E-3</v>
      </c>
      <c r="O17" s="301">
        <v>0</v>
      </c>
      <c r="P17" s="298">
        <v>-2.5000000000000001E-2</v>
      </c>
      <c r="Q17" s="298">
        <v>-5.2499999999999998E-2</v>
      </c>
      <c r="R17" s="298">
        <v>-2.5000000000000001E-2</v>
      </c>
      <c r="S17" s="298">
        <v>-6.5000000000000002E-2</v>
      </c>
      <c r="T17" s="298">
        <v>-0.14499999999999999</v>
      </c>
      <c r="U17" s="298">
        <v>0.28999999999999998</v>
      </c>
      <c r="V17" s="298">
        <v>5.0000000000000001E-3</v>
      </c>
      <c r="W17" s="298">
        <v>-0.255</v>
      </c>
      <c r="X17" s="298">
        <v>-2.2499999999999999E-2</v>
      </c>
      <c r="Y17" s="313">
        <v>0</v>
      </c>
      <c r="Z17" s="313">
        <v>-7.4999999999999997E-3</v>
      </c>
      <c r="AA17" s="445">
        <v>0.373</v>
      </c>
      <c r="AB17" s="445">
        <v>0.36499999999999999</v>
      </c>
      <c r="AC17" s="445">
        <v>0.36499999999999999</v>
      </c>
      <c r="AD17" s="445">
        <v>0.373</v>
      </c>
      <c r="AE17" s="445">
        <v>0.36499999999999999</v>
      </c>
      <c r="AF17" s="445">
        <v>0.373</v>
      </c>
      <c r="AG17" s="445">
        <v>0.373</v>
      </c>
      <c r="AH17" s="445">
        <v>0.373</v>
      </c>
      <c r="AI17" s="446">
        <v>0.373</v>
      </c>
      <c r="AJ17" s="446">
        <v>0.36499999999999999</v>
      </c>
      <c r="AK17" s="446">
        <v>0.373</v>
      </c>
      <c r="AL17" s="445">
        <v>0.373</v>
      </c>
      <c r="AM17" s="312">
        <v>6.3008946259673002E-2</v>
      </c>
      <c r="AN17" s="312"/>
      <c r="AO17" s="313">
        <f t="shared" ref="AO17:AO80" si="4">AB17</f>
        <v>0.36499999999999999</v>
      </c>
      <c r="AP17" s="313">
        <f t="shared" ref="AP17:AP80" si="5">AB17</f>
        <v>0.36499999999999999</v>
      </c>
      <c r="AQ17" s="316">
        <f t="shared" ref="AQ17:AQ80" si="6">AB17</f>
        <v>0.36499999999999999</v>
      </c>
      <c r="IU17" s="315">
        <f t="shared" si="2"/>
        <v>36708</v>
      </c>
      <c r="IV17" s="298">
        <v>6</v>
      </c>
    </row>
    <row r="18" spans="1:256" x14ac:dyDescent="0.25">
      <c r="A18" s="326"/>
      <c r="B18" s="303">
        <f t="shared" si="3"/>
        <v>36708</v>
      </c>
      <c r="C18" s="301">
        <v>3.1019999999999999</v>
      </c>
      <c r="D18" s="301">
        <v>0.38500000000000001</v>
      </c>
      <c r="E18" s="301">
        <v>6.3649858745369006E-2</v>
      </c>
      <c r="F18" s="301">
        <v>-0.1075</v>
      </c>
      <c r="G18" s="301">
        <v>2.2499999999999999E-2</v>
      </c>
      <c r="H18" s="301">
        <v>-0.1075</v>
      </c>
      <c r="I18" s="301">
        <v>5.2499999999999998E-2</v>
      </c>
      <c r="J18" s="301">
        <v>0.17</v>
      </c>
      <c r="K18" s="301">
        <v>-5.2499999999999998E-2</v>
      </c>
      <c r="L18" s="301">
        <v>-2.2499999999999999E-2</v>
      </c>
      <c r="M18" s="301">
        <v>-0.3075</v>
      </c>
      <c r="N18" s="301">
        <v>7.4999999999999997E-3</v>
      </c>
      <c r="O18" s="301">
        <v>0</v>
      </c>
      <c r="P18" s="298">
        <v>-2.5000000000000001E-2</v>
      </c>
      <c r="Q18" s="298">
        <v>-5.2499999999999998E-2</v>
      </c>
      <c r="R18" s="298">
        <v>-2.5000000000000001E-2</v>
      </c>
      <c r="S18" s="298">
        <v>-6.5000000000000002E-2</v>
      </c>
      <c r="T18" s="298">
        <v>-0.115</v>
      </c>
      <c r="U18" s="298">
        <v>0.33</v>
      </c>
      <c r="V18" s="298">
        <v>5.0000000000000001E-3</v>
      </c>
      <c r="W18" s="298">
        <v>-0.23</v>
      </c>
      <c r="X18" s="298">
        <v>-2.2499999999999999E-2</v>
      </c>
      <c r="Y18" s="313">
        <v>0.09</v>
      </c>
      <c r="Z18" s="313">
        <v>-7.4999999999999997E-3</v>
      </c>
      <c r="AA18" s="445">
        <v>0.38500000000000001</v>
      </c>
      <c r="AB18" s="445">
        <v>0.377</v>
      </c>
      <c r="AC18" s="445">
        <v>0.377</v>
      </c>
      <c r="AD18" s="445">
        <v>0.38500000000000001</v>
      </c>
      <c r="AE18" s="445">
        <v>0.377</v>
      </c>
      <c r="AF18" s="445">
        <v>0.38500000000000001</v>
      </c>
      <c r="AG18" s="445">
        <v>0.38500000000000001</v>
      </c>
      <c r="AH18" s="445">
        <v>0.38500000000000001</v>
      </c>
      <c r="AI18" s="446">
        <v>0.38500000000000001</v>
      </c>
      <c r="AJ18" s="446">
        <v>0.377</v>
      </c>
      <c r="AK18" s="446">
        <v>0.38500000000000001</v>
      </c>
      <c r="AL18" s="445">
        <v>0.38500000000000001</v>
      </c>
      <c r="AM18" s="312">
        <v>6.3658643943398999E-2</v>
      </c>
      <c r="AN18" s="312"/>
      <c r="AO18" s="313">
        <f t="shared" si="4"/>
        <v>0.377</v>
      </c>
      <c r="AP18" s="313">
        <f t="shared" si="5"/>
        <v>0.377</v>
      </c>
      <c r="AQ18" s="316">
        <f t="shared" si="6"/>
        <v>0.377</v>
      </c>
      <c r="IU18" s="315">
        <f t="shared" si="2"/>
        <v>36739</v>
      </c>
      <c r="IV18" s="298">
        <v>7</v>
      </c>
    </row>
    <row r="19" spans="1:256" x14ac:dyDescent="0.25">
      <c r="A19" s="326"/>
      <c r="B19" s="303">
        <f t="shared" si="3"/>
        <v>36739</v>
      </c>
      <c r="C19" s="301">
        <v>3.105</v>
      </c>
      <c r="D19" s="301">
        <v>0.40250000000000002</v>
      </c>
      <c r="E19" s="301">
        <v>6.4474341076841996E-2</v>
      </c>
      <c r="F19" s="301">
        <v>-0.105</v>
      </c>
      <c r="G19" s="301">
        <v>2.5000000000000001E-2</v>
      </c>
      <c r="H19" s="301">
        <v>-0.105</v>
      </c>
      <c r="I19" s="301">
        <v>5.7500000000000002E-2</v>
      </c>
      <c r="J19" s="301">
        <v>0.16750000000000001</v>
      </c>
      <c r="K19" s="301">
        <v>-5.2499999999999998E-2</v>
      </c>
      <c r="L19" s="301">
        <v>-2.2499999999999999E-2</v>
      </c>
      <c r="M19" s="301">
        <v>-0.3075</v>
      </c>
      <c r="N19" s="301">
        <v>7.4999999999999997E-3</v>
      </c>
      <c r="O19" s="301">
        <v>0</v>
      </c>
      <c r="P19" s="298">
        <v>-2.5000000000000001E-2</v>
      </c>
      <c r="Q19" s="298">
        <v>-5.2499999999999998E-2</v>
      </c>
      <c r="R19" s="298">
        <v>-2.5000000000000001E-2</v>
      </c>
      <c r="S19" s="298">
        <v>-6.5000000000000002E-2</v>
      </c>
      <c r="T19" s="298">
        <v>-0.1125</v>
      </c>
      <c r="U19" s="298">
        <v>0.33</v>
      </c>
      <c r="V19" s="298">
        <v>5.0000000000000001E-3</v>
      </c>
      <c r="W19" s="298">
        <v>-0.22750000000000001</v>
      </c>
      <c r="X19" s="298">
        <v>-2.2499999999999999E-2</v>
      </c>
      <c r="Y19" s="313">
        <v>0.13500000000000001</v>
      </c>
      <c r="Z19" s="313">
        <v>-7.4999999999999997E-3</v>
      </c>
      <c r="AA19" s="445">
        <v>0.40300000000000002</v>
      </c>
      <c r="AB19" s="445">
        <v>0.39400000000000002</v>
      </c>
      <c r="AC19" s="445">
        <v>0.39400000000000002</v>
      </c>
      <c r="AD19" s="445">
        <v>0.40300000000000002</v>
      </c>
      <c r="AE19" s="445">
        <v>0.39400000000000002</v>
      </c>
      <c r="AF19" s="445">
        <v>0.40300000000000002</v>
      </c>
      <c r="AG19" s="445">
        <v>0.40300000000000002</v>
      </c>
      <c r="AH19" s="445">
        <v>0.40300000000000002</v>
      </c>
      <c r="AI19" s="446">
        <v>0.40300000000000002</v>
      </c>
      <c r="AJ19" s="446">
        <v>0.39400000000000002</v>
      </c>
      <c r="AK19" s="446">
        <v>0.40300000000000002</v>
      </c>
      <c r="AL19" s="445">
        <v>0.40300000000000002</v>
      </c>
      <c r="AM19" s="312">
        <v>6.4489326747177E-2</v>
      </c>
      <c r="AN19" s="312"/>
      <c r="AO19" s="313">
        <f t="shared" si="4"/>
        <v>0.39400000000000002</v>
      </c>
      <c r="AP19" s="313">
        <f t="shared" si="5"/>
        <v>0.39400000000000002</v>
      </c>
      <c r="AQ19" s="316">
        <f t="shared" si="6"/>
        <v>0.39400000000000002</v>
      </c>
      <c r="IU19" s="315">
        <f t="shared" si="2"/>
        <v>36770</v>
      </c>
      <c r="IV19" s="298">
        <v>8</v>
      </c>
    </row>
    <row r="20" spans="1:256" x14ac:dyDescent="0.25">
      <c r="A20" s="326"/>
      <c r="B20" s="303">
        <f t="shared" si="3"/>
        <v>36770</v>
      </c>
      <c r="C20" s="301">
        <v>3.0960000000000001</v>
      </c>
      <c r="D20" s="301">
        <v>0.41</v>
      </c>
      <c r="E20" s="301">
        <v>6.5225433954021E-2</v>
      </c>
      <c r="F20" s="301">
        <v>-0.10249999999999999</v>
      </c>
      <c r="G20" s="301">
        <v>0.02</v>
      </c>
      <c r="H20" s="301">
        <v>-0.10249999999999999</v>
      </c>
      <c r="I20" s="301">
        <v>5.2499999999999998E-2</v>
      </c>
      <c r="J20" s="301">
        <v>0.16750000000000001</v>
      </c>
      <c r="K20" s="301">
        <v>-5.5E-2</v>
      </c>
      <c r="L20" s="301">
        <v>-2.5000000000000001E-2</v>
      </c>
      <c r="M20" s="301">
        <v>-0.3075</v>
      </c>
      <c r="N20" s="301">
        <v>5.0000000000000001E-3</v>
      </c>
      <c r="O20" s="301">
        <v>-5.0000000000000001E-3</v>
      </c>
      <c r="P20" s="298">
        <v>-2.5000000000000001E-2</v>
      </c>
      <c r="Q20" s="298">
        <v>-5.2499999999999998E-2</v>
      </c>
      <c r="R20" s="298">
        <v>-2.75E-2</v>
      </c>
      <c r="S20" s="298">
        <v>-7.2499999999999995E-2</v>
      </c>
      <c r="T20" s="298">
        <v>-0.1125</v>
      </c>
      <c r="U20" s="298">
        <v>0.29749999999999999</v>
      </c>
      <c r="V20" s="298">
        <v>5.0000000000000001E-3</v>
      </c>
      <c r="W20" s="298">
        <v>-0.23</v>
      </c>
      <c r="X20" s="298">
        <v>-2.5000000000000001E-2</v>
      </c>
      <c r="Y20" s="313">
        <v>0.1125</v>
      </c>
      <c r="Z20" s="313">
        <v>-7.4999999999999997E-3</v>
      </c>
      <c r="AA20" s="445">
        <v>0.41</v>
      </c>
      <c r="AB20" s="445">
        <v>0.40200000000000002</v>
      </c>
      <c r="AC20" s="445">
        <v>0.40200000000000002</v>
      </c>
      <c r="AD20" s="445">
        <v>0.41</v>
      </c>
      <c r="AE20" s="445">
        <v>0.40200000000000002</v>
      </c>
      <c r="AF20" s="445">
        <v>0.41</v>
      </c>
      <c r="AG20" s="445">
        <v>0.41</v>
      </c>
      <c r="AH20" s="445">
        <v>0.41</v>
      </c>
      <c r="AI20" s="446">
        <v>0.41</v>
      </c>
      <c r="AJ20" s="446">
        <v>0.40200000000000002</v>
      </c>
      <c r="AK20" s="446">
        <v>0.41</v>
      </c>
      <c r="AL20" s="445">
        <v>0.41</v>
      </c>
      <c r="AM20" s="312">
        <v>6.5221317156330005E-2</v>
      </c>
      <c r="AN20" s="312"/>
      <c r="AO20" s="313">
        <f t="shared" si="4"/>
        <v>0.40200000000000002</v>
      </c>
      <c r="AP20" s="313">
        <f t="shared" si="5"/>
        <v>0.40200000000000002</v>
      </c>
      <c r="AQ20" s="316">
        <f t="shared" si="6"/>
        <v>0.40200000000000002</v>
      </c>
      <c r="IU20" s="315">
        <f t="shared" si="2"/>
        <v>36800</v>
      </c>
      <c r="IV20" s="298">
        <v>9</v>
      </c>
    </row>
    <row r="21" spans="1:256" x14ac:dyDescent="0.25">
      <c r="A21" s="326"/>
      <c r="B21" s="303">
        <f t="shared" si="3"/>
        <v>36800</v>
      </c>
      <c r="C21" s="301">
        <v>3.1059999999999999</v>
      </c>
      <c r="D21" s="301">
        <v>0.41249999999999998</v>
      </c>
      <c r="E21" s="301">
        <v>6.5854112767071996E-2</v>
      </c>
      <c r="F21" s="301">
        <v>-0.10249999999999999</v>
      </c>
      <c r="G21" s="301">
        <v>0.01</v>
      </c>
      <c r="H21" s="301">
        <v>-0.10249999999999999</v>
      </c>
      <c r="I21" s="301">
        <v>0.06</v>
      </c>
      <c r="J21" s="301">
        <v>0.16500000000000001</v>
      </c>
      <c r="K21" s="301">
        <v>-5.5E-2</v>
      </c>
      <c r="L21" s="301">
        <v>-2.5000000000000001E-2</v>
      </c>
      <c r="M21" s="301">
        <v>-0.28249999999999997</v>
      </c>
      <c r="N21" s="301">
        <v>5.0000000000000001E-3</v>
      </c>
      <c r="O21" s="301">
        <v>-5.0000000000000001E-3</v>
      </c>
      <c r="P21" s="298">
        <v>-2.5000000000000001E-2</v>
      </c>
      <c r="Q21" s="298">
        <v>-5.2499999999999998E-2</v>
      </c>
      <c r="R21" s="298">
        <v>-2.75E-2</v>
      </c>
      <c r="S21" s="298">
        <v>-7.2499999999999995E-2</v>
      </c>
      <c r="T21" s="298">
        <v>-0.13500000000000001</v>
      </c>
      <c r="U21" s="298">
        <v>0.32250000000000001</v>
      </c>
      <c r="V21" s="298">
        <v>5.0000000000000001E-3</v>
      </c>
      <c r="W21" s="298">
        <v>-0.26500000000000001</v>
      </c>
      <c r="X21" s="298">
        <v>-2.5000000000000001E-2</v>
      </c>
      <c r="Y21" s="313">
        <v>0.06</v>
      </c>
      <c r="Z21" s="313">
        <v>-7.4999999999999997E-3</v>
      </c>
      <c r="AA21" s="445">
        <v>0.41299999999999998</v>
      </c>
      <c r="AB21" s="445">
        <v>0.40400000000000003</v>
      </c>
      <c r="AC21" s="445">
        <v>0.40400000000000003</v>
      </c>
      <c r="AD21" s="445">
        <v>0.41299999999999998</v>
      </c>
      <c r="AE21" s="445">
        <v>0.40400000000000003</v>
      </c>
      <c r="AF21" s="445">
        <v>0.41299999999999998</v>
      </c>
      <c r="AG21" s="445">
        <v>0.41299999999999998</v>
      </c>
      <c r="AH21" s="445">
        <v>0.41299999999999998</v>
      </c>
      <c r="AI21" s="446">
        <v>0.41299999999999998</v>
      </c>
      <c r="AJ21" s="446">
        <v>0.40400000000000003</v>
      </c>
      <c r="AK21" s="446">
        <v>0.41299999999999998</v>
      </c>
      <c r="AL21" s="445">
        <v>0.41299999999999998</v>
      </c>
      <c r="AM21" s="312">
        <v>6.5838099435236996E-2</v>
      </c>
      <c r="AN21" s="312"/>
      <c r="AO21" s="313">
        <f t="shared" si="4"/>
        <v>0.40400000000000003</v>
      </c>
      <c r="AP21" s="313">
        <f t="shared" si="5"/>
        <v>0.40400000000000003</v>
      </c>
      <c r="AQ21" s="316">
        <f t="shared" si="6"/>
        <v>0.40400000000000003</v>
      </c>
      <c r="IU21" s="315">
        <f t="shared" si="2"/>
        <v>36831</v>
      </c>
      <c r="IV21" s="298">
        <v>10</v>
      </c>
    </row>
    <row r="22" spans="1:256" x14ac:dyDescent="0.25">
      <c r="A22" s="326"/>
      <c r="B22" s="303">
        <f t="shared" si="3"/>
        <v>36831</v>
      </c>
      <c r="C22" s="301">
        <v>3.1989999999999998</v>
      </c>
      <c r="D22" s="301">
        <v>0.42249999999999999</v>
      </c>
      <c r="E22" s="301">
        <v>6.6317250099527006E-2</v>
      </c>
      <c r="F22" s="301">
        <v>-0.11</v>
      </c>
      <c r="G22" s="301">
        <v>-2.75E-2</v>
      </c>
      <c r="H22" s="301">
        <v>-0.11</v>
      </c>
      <c r="I22" s="301">
        <v>0.105</v>
      </c>
      <c r="J22" s="301">
        <v>0.19500000000000001</v>
      </c>
      <c r="K22" s="301">
        <v>-6.1499999999999999E-2</v>
      </c>
      <c r="L22" s="301">
        <v>-0.03</v>
      </c>
      <c r="M22" s="301">
        <v>-0.25</v>
      </c>
      <c r="N22" s="301">
        <v>7.4999999999999997E-3</v>
      </c>
      <c r="O22" s="301">
        <v>-5.0000000000000001E-3</v>
      </c>
      <c r="P22" s="298">
        <v>-2.75E-2</v>
      </c>
      <c r="Q22" s="298">
        <v>-6.5000000000000002E-2</v>
      </c>
      <c r="R22" s="298">
        <v>-0.04</v>
      </c>
      <c r="S22" s="298">
        <v>-8.7499999999999994E-2</v>
      </c>
      <c r="T22" s="298">
        <v>-0.16</v>
      </c>
      <c r="U22" s="298">
        <v>0.70750000000000002</v>
      </c>
      <c r="V22" s="298">
        <v>5.0000000000000001E-3</v>
      </c>
      <c r="W22" s="298">
        <v>-0.22750000000000001</v>
      </c>
      <c r="X22" s="298">
        <v>-2.2499999999999999E-2</v>
      </c>
      <c r="Y22" s="313">
        <v>4.7500000000000001E-2</v>
      </c>
      <c r="Z22" s="313">
        <v>-7.4999999999999997E-3</v>
      </c>
      <c r="AA22" s="445">
        <v>0.42299999999999999</v>
      </c>
      <c r="AB22" s="445">
        <v>0.42299999999999999</v>
      </c>
      <c r="AC22" s="445">
        <v>0.42299999999999999</v>
      </c>
      <c r="AD22" s="445">
        <v>0.42299999999999999</v>
      </c>
      <c r="AE22" s="445">
        <v>0.42299999999999999</v>
      </c>
      <c r="AF22" s="445">
        <v>0.42299999999999999</v>
      </c>
      <c r="AG22" s="445">
        <v>0.42299999999999999</v>
      </c>
      <c r="AH22" s="445">
        <v>0.42299999999999999</v>
      </c>
      <c r="AI22" s="446">
        <v>0.42299999999999999</v>
      </c>
      <c r="AJ22" s="446">
        <v>0.42299999999999999</v>
      </c>
      <c r="AK22" s="446">
        <v>0.42299999999999999</v>
      </c>
      <c r="AL22" s="445">
        <v>0.42299999999999999</v>
      </c>
      <c r="AM22" s="312">
        <v>6.6301424716890003E-2</v>
      </c>
      <c r="AN22" s="312"/>
      <c r="AO22" s="313">
        <f t="shared" si="4"/>
        <v>0.42299999999999999</v>
      </c>
      <c r="AP22" s="313">
        <f t="shared" si="5"/>
        <v>0.42299999999999999</v>
      </c>
      <c r="AQ22" s="316">
        <f t="shared" si="6"/>
        <v>0.42299999999999999</v>
      </c>
      <c r="IU22" s="315">
        <f t="shared" si="2"/>
        <v>36861</v>
      </c>
      <c r="IV22" s="298">
        <v>11</v>
      </c>
    </row>
    <row r="23" spans="1:256" x14ac:dyDescent="0.25">
      <c r="A23" s="326"/>
      <c r="B23" s="303">
        <f t="shared" si="3"/>
        <v>36861</v>
      </c>
      <c r="C23" s="301">
        <v>3.2930000000000001</v>
      </c>
      <c r="D23" s="301">
        <v>0.42499999999999999</v>
      </c>
      <c r="E23" s="301">
        <v>6.6765447585680995E-2</v>
      </c>
      <c r="F23" s="301">
        <v>-0.1125</v>
      </c>
      <c r="G23" s="301">
        <v>-5.2499999999999998E-2</v>
      </c>
      <c r="H23" s="301">
        <v>-0.1125</v>
      </c>
      <c r="I23" s="301">
        <v>0.115</v>
      </c>
      <c r="J23" s="301">
        <v>0.27250000000000002</v>
      </c>
      <c r="K23" s="301">
        <v>-6.1499999999999999E-2</v>
      </c>
      <c r="L23" s="301">
        <v>-3.2500000000000001E-2</v>
      </c>
      <c r="M23" s="301">
        <v>-0.22500000000000001</v>
      </c>
      <c r="N23" s="301">
        <v>7.4999999999999997E-3</v>
      </c>
      <c r="O23" s="301">
        <v>-5.0000000000000001E-3</v>
      </c>
      <c r="P23" s="298">
        <v>-2.75E-2</v>
      </c>
      <c r="Q23" s="298">
        <v>-6.5000000000000002E-2</v>
      </c>
      <c r="R23" s="298">
        <v>-0.04</v>
      </c>
      <c r="S23" s="298">
        <v>-0.10249999999999999</v>
      </c>
      <c r="T23" s="298">
        <v>-0.16</v>
      </c>
      <c r="U23" s="298">
        <v>1.2224999999999999</v>
      </c>
      <c r="V23" s="298">
        <v>5.0000000000000001E-3</v>
      </c>
      <c r="W23" s="298">
        <v>-0.22750000000000001</v>
      </c>
      <c r="X23" s="298">
        <v>-2.2499999999999999E-2</v>
      </c>
      <c r="Y23" s="313">
        <v>3.5000000000000003E-2</v>
      </c>
      <c r="Z23" s="313">
        <v>-7.4999999999999997E-3</v>
      </c>
      <c r="AA23" s="445">
        <v>0.42499999999999999</v>
      </c>
      <c r="AB23" s="445">
        <v>0.46800000000000003</v>
      </c>
      <c r="AC23" s="445">
        <v>0.42499999999999999</v>
      </c>
      <c r="AD23" s="445">
        <v>0.42499999999999999</v>
      </c>
      <c r="AE23" s="445">
        <v>0.42499999999999999</v>
      </c>
      <c r="AF23" s="445">
        <v>0.42499999999999999</v>
      </c>
      <c r="AG23" s="445">
        <v>0.42499999999999999</v>
      </c>
      <c r="AH23" s="445">
        <v>0.42499999999999999</v>
      </c>
      <c r="AI23" s="446">
        <v>0.42499999999999999</v>
      </c>
      <c r="AJ23" s="446">
        <v>0.42499999999999999</v>
      </c>
      <c r="AK23" s="446">
        <v>0.42499999999999999</v>
      </c>
      <c r="AL23" s="445">
        <v>0.42499999999999999</v>
      </c>
      <c r="AM23" s="312">
        <v>6.6749804089420994E-2</v>
      </c>
      <c r="AN23" s="312"/>
      <c r="AO23" s="313">
        <f t="shared" si="4"/>
        <v>0.46800000000000003</v>
      </c>
      <c r="AP23" s="313">
        <f t="shared" si="5"/>
        <v>0.46800000000000003</v>
      </c>
      <c r="AQ23" s="316">
        <f t="shared" si="6"/>
        <v>0.46800000000000003</v>
      </c>
      <c r="IU23" s="315">
        <f t="shared" si="2"/>
        <v>36892</v>
      </c>
      <c r="IV23" s="298">
        <v>12</v>
      </c>
    </row>
    <row r="24" spans="1:256" x14ac:dyDescent="0.25">
      <c r="A24" s="326"/>
      <c r="B24" s="303">
        <f t="shared" si="3"/>
        <v>36892</v>
      </c>
      <c r="C24" s="301">
        <v>3.3079999999999998</v>
      </c>
      <c r="D24" s="301">
        <v>0.42749999999999999</v>
      </c>
      <c r="E24" s="301">
        <v>6.7199546407634994E-2</v>
      </c>
      <c r="F24" s="301">
        <v>-0.115</v>
      </c>
      <c r="G24" s="301">
        <v>-5.5E-2</v>
      </c>
      <c r="H24" s="301">
        <v>-0.115</v>
      </c>
      <c r="I24" s="301">
        <v>0.1225</v>
      </c>
      <c r="J24" s="301">
        <v>0.31</v>
      </c>
      <c r="K24" s="301">
        <v>-6.5500000000000003E-2</v>
      </c>
      <c r="L24" s="301">
        <v>-2.6499999999999999E-2</v>
      </c>
      <c r="M24" s="301">
        <v>-0.22500000000000001</v>
      </c>
      <c r="N24" s="301">
        <v>7.4999999999999997E-3</v>
      </c>
      <c r="O24" s="301">
        <v>-5.0000000000000001E-3</v>
      </c>
      <c r="P24" s="298">
        <v>-2.75E-2</v>
      </c>
      <c r="Q24" s="298">
        <v>-6.5000000000000002E-2</v>
      </c>
      <c r="R24" s="298">
        <v>-0.04</v>
      </c>
      <c r="S24" s="298">
        <v>-0.1125</v>
      </c>
      <c r="T24" s="298">
        <v>-0.16</v>
      </c>
      <c r="U24" s="298">
        <v>1.4575</v>
      </c>
      <c r="V24" s="298">
        <v>5.0000000000000001E-3</v>
      </c>
      <c r="W24" s="298">
        <v>-0.2175</v>
      </c>
      <c r="X24" s="298">
        <v>-2.2499999999999999E-2</v>
      </c>
      <c r="Y24" s="313">
        <v>4.2500000000000003E-2</v>
      </c>
      <c r="Z24" s="313">
        <v>-7.4999999999999997E-3</v>
      </c>
      <c r="AA24" s="445">
        <v>0.42799999999999999</v>
      </c>
      <c r="AB24" s="445">
        <v>0.42799999999999999</v>
      </c>
      <c r="AC24" s="445">
        <v>0.42799999999999999</v>
      </c>
      <c r="AD24" s="445">
        <v>0.42799999999999999</v>
      </c>
      <c r="AE24" s="445">
        <v>0.42799999999999999</v>
      </c>
      <c r="AF24" s="445">
        <v>0.42799999999999999</v>
      </c>
      <c r="AG24" s="445">
        <v>0.42799999999999999</v>
      </c>
      <c r="AH24" s="445">
        <v>0.42799999999999999</v>
      </c>
      <c r="AI24" s="446">
        <v>0.42799999999999999</v>
      </c>
      <c r="AJ24" s="446">
        <v>0.42799999999999999</v>
      </c>
      <c r="AK24" s="446">
        <v>0.42799999999999999</v>
      </c>
      <c r="AL24" s="445">
        <v>0.42799999999999999</v>
      </c>
      <c r="AM24" s="312">
        <v>6.7184123019318004E-2</v>
      </c>
      <c r="AN24" s="312"/>
      <c r="AO24" s="313">
        <f t="shared" si="4"/>
        <v>0.42799999999999999</v>
      </c>
      <c r="AP24" s="313">
        <f t="shared" si="5"/>
        <v>0.42799999999999999</v>
      </c>
      <c r="AQ24" s="316">
        <f t="shared" si="6"/>
        <v>0.42799999999999999</v>
      </c>
      <c r="IU24" s="315">
        <f t="shared" si="2"/>
        <v>36923</v>
      </c>
      <c r="IV24" s="298">
        <v>13</v>
      </c>
    </row>
    <row r="25" spans="1:256" x14ac:dyDescent="0.25">
      <c r="A25" s="326"/>
      <c r="B25" s="303">
        <f t="shared" si="3"/>
        <v>36923</v>
      </c>
      <c r="C25" s="301">
        <v>3.1440000000000001</v>
      </c>
      <c r="D25" s="301">
        <v>0.41749999999999998</v>
      </c>
      <c r="E25" s="301">
        <v>6.7587667422978004E-2</v>
      </c>
      <c r="F25" s="301">
        <v>-0.1075</v>
      </c>
      <c r="G25" s="301">
        <v>-3.5000000000000003E-2</v>
      </c>
      <c r="H25" s="301">
        <v>-0.1075</v>
      </c>
      <c r="I25" s="301">
        <v>0.125</v>
      </c>
      <c r="J25" s="301">
        <v>0.31</v>
      </c>
      <c r="K25" s="301">
        <v>-6.1499999999999999E-2</v>
      </c>
      <c r="L25" s="301">
        <v>-3.2500000000000001E-2</v>
      </c>
      <c r="M25" s="301">
        <v>-0.25</v>
      </c>
      <c r="N25" s="301">
        <v>7.4999999999999997E-3</v>
      </c>
      <c r="O25" s="301">
        <v>-5.0000000000000001E-3</v>
      </c>
      <c r="P25" s="298">
        <v>-2.75E-2</v>
      </c>
      <c r="Q25" s="298">
        <v>-6.5000000000000002E-2</v>
      </c>
      <c r="R25" s="298">
        <v>-0.04</v>
      </c>
      <c r="S25" s="298">
        <v>-0.1</v>
      </c>
      <c r="T25" s="298">
        <v>-0.16</v>
      </c>
      <c r="U25" s="298">
        <v>1.43</v>
      </c>
      <c r="V25" s="298">
        <v>5.0000000000000001E-3</v>
      </c>
      <c r="W25" s="298">
        <v>-0.2175</v>
      </c>
      <c r="X25" s="298">
        <v>-2.2499999999999999E-2</v>
      </c>
      <c r="Y25" s="313">
        <v>0.06</v>
      </c>
      <c r="Z25" s="313">
        <v>-7.4999999999999997E-3</v>
      </c>
      <c r="AA25" s="445">
        <v>0.41799999999999998</v>
      </c>
      <c r="AB25" s="445">
        <v>0.45900000000000002</v>
      </c>
      <c r="AC25" s="445">
        <v>0.41799999999999998</v>
      </c>
      <c r="AD25" s="445">
        <v>0.41799999999999998</v>
      </c>
      <c r="AE25" s="445">
        <v>0.41799999999999998</v>
      </c>
      <c r="AF25" s="445">
        <v>0.41799999999999998</v>
      </c>
      <c r="AG25" s="445">
        <v>0.41799999999999998</v>
      </c>
      <c r="AH25" s="445">
        <v>0.41799999999999998</v>
      </c>
      <c r="AI25" s="446">
        <v>0.41799999999999998</v>
      </c>
      <c r="AJ25" s="446">
        <v>0.41799999999999998</v>
      </c>
      <c r="AK25" s="446">
        <v>0.41799999999999998</v>
      </c>
      <c r="AL25" s="445">
        <v>0.41799999999999998</v>
      </c>
      <c r="AM25" s="312">
        <v>6.7572515060498994E-2</v>
      </c>
      <c r="AN25" s="312"/>
      <c r="AO25" s="313">
        <f t="shared" si="4"/>
        <v>0.45900000000000002</v>
      </c>
      <c r="AP25" s="313">
        <f t="shared" si="5"/>
        <v>0.45900000000000002</v>
      </c>
      <c r="AQ25" s="316">
        <f t="shared" si="6"/>
        <v>0.45900000000000002</v>
      </c>
      <c r="IU25" s="315">
        <f t="shared" si="2"/>
        <v>36951</v>
      </c>
      <c r="IV25" s="298">
        <v>14</v>
      </c>
    </row>
    <row r="26" spans="1:256" x14ac:dyDescent="0.25">
      <c r="A26" s="326"/>
      <c r="B26" s="303">
        <f t="shared" si="3"/>
        <v>36951</v>
      </c>
      <c r="C26" s="301">
        <v>2.9750000000000001</v>
      </c>
      <c r="D26" s="301">
        <v>0.37</v>
      </c>
      <c r="E26" s="301">
        <v>6.7938228382925001E-2</v>
      </c>
      <c r="F26" s="301">
        <v>-0.105</v>
      </c>
      <c r="G26" s="301">
        <v>-0.03</v>
      </c>
      <c r="H26" s="301">
        <v>-0.105</v>
      </c>
      <c r="I26" s="301">
        <v>0.13250000000000001</v>
      </c>
      <c r="J26" s="301">
        <v>0.23749999999999999</v>
      </c>
      <c r="K26" s="301">
        <v>-6.3E-2</v>
      </c>
      <c r="L26" s="301">
        <v>-3.5499999999999997E-2</v>
      </c>
      <c r="M26" s="301">
        <v>-0.25</v>
      </c>
      <c r="N26" s="301">
        <v>7.4999999999999997E-3</v>
      </c>
      <c r="O26" s="301">
        <v>-5.0000000000000001E-3</v>
      </c>
      <c r="P26" s="298">
        <v>-2.75E-2</v>
      </c>
      <c r="Q26" s="298">
        <v>-6.5000000000000002E-2</v>
      </c>
      <c r="R26" s="298">
        <v>-0.04</v>
      </c>
      <c r="S26" s="298">
        <v>-8.7499999999999994E-2</v>
      </c>
      <c r="T26" s="298">
        <v>-0.16</v>
      </c>
      <c r="U26" s="298">
        <v>0.995</v>
      </c>
      <c r="V26" s="298">
        <v>5.0000000000000001E-3</v>
      </c>
      <c r="W26" s="298">
        <v>-0.2175</v>
      </c>
      <c r="X26" s="298">
        <v>-2.2499999999999999E-2</v>
      </c>
      <c r="Y26" s="313">
        <v>0.06</v>
      </c>
      <c r="Z26" s="313">
        <v>-7.4999999999999997E-3</v>
      </c>
      <c r="AA26" s="445">
        <v>0.37</v>
      </c>
      <c r="AB26" s="445">
        <v>0.40699999999999997</v>
      </c>
      <c r="AC26" s="445">
        <v>0.37</v>
      </c>
      <c r="AD26" s="445">
        <v>0.37</v>
      </c>
      <c r="AE26" s="445">
        <v>0.37</v>
      </c>
      <c r="AF26" s="445">
        <v>0.37</v>
      </c>
      <c r="AG26" s="445">
        <v>0.37</v>
      </c>
      <c r="AH26" s="445">
        <v>0.37</v>
      </c>
      <c r="AI26" s="446">
        <v>0.37</v>
      </c>
      <c r="AJ26" s="446">
        <v>0.37</v>
      </c>
      <c r="AK26" s="446">
        <v>0.37</v>
      </c>
      <c r="AL26" s="445">
        <v>0.37</v>
      </c>
      <c r="AM26" s="312">
        <v>6.7923320818036995E-2</v>
      </c>
      <c r="AN26" s="312"/>
      <c r="AO26" s="313">
        <f t="shared" si="4"/>
        <v>0.40699999999999997</v>
      </c>
      <c r="AP26" s="313">
        <f t="shared" si="5"/>
        <v>0.40699999999999997</v>
      </c>
      <c r="AQ26" s="316">
        <f t="shared" si="6"/>
        <v>0.40699999999999997</v>
      </c>
      <c r="IU26" s="315">
        <f t="shared" si="2"/>
        <v>36982</v>
      </c>
      <c r="IV26" s="298">
        <v>15</v>
      </c>
    </row>
    <row r="27" spans="1:256" x14ac:dyDescent="0.25">
      <c r="A27" s="326"/>
      <c r="B27" s="303">
        <f t="shared" si="3"/>
        <v>36982</v>
      </c>
      <c r="C27" s="301">
        <v>2.8250000000000002</v>
      </c>
      <c r="D27" s="301">
        <v>0.29749999999999999</v>
      </c>
      <c r="E27" s="301">
        <v>6.8276243673053003E-2</v>
      </c>
      <c r="F27" s="301">
        <v>-0.1075</v>
      </c>
      <c r="G27" s="301">
        <v>1.4999999999999999E-2</v>
      </c>
      <c r="H27" s="301">
        <v>-0.1075</v>
      </c>
      <c r="I27" s="301">
        <v>6.7500000000000004E-2</v>
      </c>
      <c r="J27" s="301">
        <v>0.16500000000000001</v>
      </c>
      <c r="K27" s="301">
        <v>-7.8E-2</v>
      </c>
      <c r="L27" s="301">
        <v>-4.8000000000000001E-2</v>
      </c>
      <c r="M27" s="301">
        <v>-0.28749999999999998</v>
      </c>
      <c r="N27" s="301">
        <v>5.0000000000000001E-3</v>
      </c>
      <c r="O27" s="301">
        <v>-7.4999999999999997E-3</v>
      </c>
      <c r="P27" s="298">
        <v>-2.75E-2</v>
      </c>
      <c r="Q27" s="298">
        <v>-5.5E-2</v>
      </c>
      <c r="R27" s="298">
        <v>-2.7699999999999999E-2</v>
      </c>
      <c r="S27" s="298">
        <v>-7.2499999999999995E-2</v>
      </c>
      <c r="T27" s="298">
        <v>-0.115</v>
      </c>
      <c r="U27" s="298">
        <v>0.37</v>
      </c>
      <c r="V27" s="298">
        <v>5.0000000000000001E-3</v>
      </c>
      <c r="W27" s="298">
        <v>-0.20250000000000001</v>
      </c>
      <c r="X27" s="298">
        <v>-2.2499999999999999E-2</v>
      </c>
      <c r="Y27" s="313">
        <v>4.2500000000000003E-2</v>
      </c>
      <c r="Z27" s="313">
        <v>5.0000000000000001E-3</v>
      </c>
      <c r="AA27" s="445">
        <v>0.29799999999999999</v>
      </c>
      <c r="AB27" s="445">
        <v>0.29199999999999998</v>
      </c>
      <c r="AC27" s="445">
        <v>0.29799999999999999</v>
      </c>
      <c r="AD27" s="445">
        <v>0.29799999999999999</v>
      </c>
      <c r="AE27" s="445">
        <v>0.29199999999999998</v>
      </c>
      <c r="AF27" s="445">
        <v>0.29799999999999999</v>
      </c>
      <c r="AG27" s="445">
        <v>0.29799999999999999</v>
      </c>
      <c r="AH27" s="445">
        <v>0.29799999999999999</v>
      </c>
      <c r="AI27" s="446">
        <v>0.29799999999999999</v>
      </c>
      <c r="AJ27" s="446">
        <v>0.29799999999999999</v>
      </c>
      <c r="AK27" s="446">
        <v>0.29799999999999999</v>
      </c>
      <c r="AL27" s="445">
        <v>0.29799999999999999</v>
      </c>
      <c r="AM27" s="312">
        <v>6.8261744467950997E-2</v>
      </c>
      <c r="AN27" s="312"/>
      <c r="AO27" s="313">
        <f t="shared" si="4"/>
        <v>0.29199999999999998</v>
      </c>
      <c r="AP27" s="313">
        <f t="shared" si="5"/>
        <v>0.29199999999999998</v>
      </c>
      <c r="AQ27" s="316">
        <f t="shared" si="6"/>
        <v>0.29199999999999998</v>
      </c>
      <c r="IU27" s="315">
        <f t="shared" si="2"/>
        <v>37012</v>
      </c>
      <c r="IV27" s="298">
        <v>16</v>
      </c>
    </row>
    <row r="28" spans="1:256" x14ac:dyDescent="0.25">
      <c r="A28" s="326"/>
      <c r="B28" s="303">
        <f t="shared" si="3"/>
        <v>37012</v>
      </c>
      <c r="C28" s="301">
        <v>2.774</v>
      </c>
      <c r="D28" s="301">
        <v>0.26250000000000001</v>
      </c>
      <c r="E28" s="301">
        <v>6.8516498196470002E-2</v>
      </c>
      <c r="F28" s="301">
        <v>-0.1075</v>
      </c>
      <c r="G28" s="301">
        <v>1.4999999999999999E-2</v>
      </c>
      <c r="H28" s="301">
        <v>-0.1075</v>
      </c>
      <c r="I28" s="301">
        <v>5.5E-2</v>
      </c>
      <c r="J28" s="301">
        <v>0.16</v>
      </c>
      <c r="K28" s="301">
        <v>-5.2999999999999999E-2</v>
      </c>
      <c r="L28" s="301">
        <v>-2.3E-2</v>
      </c>
      <c r="M28" s="301">
        <v>-0.28749999999999998</v>
      </c>
      <c r="N28" s="301">
        <v>5.0000000000000001E-3</v>
      </c>
      <c r="O28" s="301">
        <v>-7.4999999999999997E-3</v>
      </c>
      <c r="P28" s="298">
        <v>-2.75E-2</v>
      </c>
      <c r="Q28" s="298">
        <v>-5.5E-2</v>
      </c>
      <c r="R28" s="298">
        <v>-2.775E-2</v>
      </c>
      <c r="S28" s="298">
        <v>-7.2499999999999995E-2</v>
      </c>
      <c r="T28" s="298">
        <v>-0.115</v>
      </c>
      <c r="U28" s="298">
        <v>0.2525</v>
      </c>
      <c r="V28" s="298">
        <v>5.0000000000000001E-3</v>
      </c>
      <c r="W28" s="298">
        <v>-0.20250000000000001</v>
      </c>
      <c r="X28" s="298">
        <v>-1.9E-2</v>
      </c>
      <c r="Y28" s="313">
        <v>5.2499999999999998E-2</v>
      </c>
      <c r="Z28" s="313">
        <v>5.0000000000000001E-3</v>
      </c>
      <c r="AA28" s="445">
        <v>0.26300000000000001</v>
      </c>
      <c r="AB28" s="445">
        <v>0.25700000000000001</v>
      </c>
      <c r="AC28" s="445">
        <v>0.26300000000000001</v>
      </c>
      <c r="AD28" s="445">
        <v>0.26300000000000001</v>
      </c>
      <c r="AE28" s="445">
        <v>0.25700000000000001</v>
      </c>
      <c r="AF28" s="445">
        <v>0.26300000000000001</v>
      </c>
      <c r="AG28" s="445">
        <v>0.26300000000000001</v>
      </c>
      <c r="AH28" s="445">
        <v>0.26300000000000001</v>
      </c>
      <c r="AI28" s="446">
        <v>0.26300000000000001</v>
      </c>
      <c r="AJ28" s="446">
        <v>0.26300000000000001</v>
      </c>
      <c r="AK28" s="446">
        <v>0.26300000000000001</v>
      </c>
      <c r="AL28" s="445">
        <v>0.26300000000000001</v>
      </c>
      <c r="AM28" s="312">
        <v>6.8502619990057995E-2</v>
      </c>
      <c r="AN28" s="312"/>
      <c r="AO28" s="313">
        <f t="shared" si="4"/>
        <v>0.25700000000000001</v>
      </c>
      <c r="AP28" s="313">
        <f t="shared" si="5"/>
        <v>0.25700000000000001</v>
      </c>
      <c r="AQ28" s="316">
        <f t="shared" si="6"/>
        <v>0.25700000000000001</v>
      </c>
      <c r="IU28" s="315">
        <f t="shared" si="2"/>
        <v>37043</v>
      </c>
      <c r="IV28" s="298">
        <v>17</v>
      </c>
    </row>
    <row r="29" spans="1:256" x14ac:dyDescent="0.25">
      <c r="A29" s="326"/>
      <c r="B29" s="303">
        <f t="shared" si="3"/>
        <v>37043</v>
      </c>
      <c r="C29" s="301">
        <v>2.7759999999999998</v>
      </c>
      <c r="D29" s="301">
        <v>0.255</v>
      </c>
      <c r="E29" s="301">
        <v>6.8764761224065996E-2</v>
      </c>
      <c r="F29" s="301">
        <v>-0.1075</v>
      </c>
      <c r="G29" s="301">
        <v>0.02</v>
      </c>
      <c r="H29" s="301">
        <v>-0.1075</v>
      </c>
      <c r="I29" s="301">
        <v>0.05</v>
      </c>
      <c r="J29" s="301">
        <v>0.16</v>
      </c>
      <c r="K29" s="301">
        <v>-5.0500000000000003E-2</v>
      </c>
      <c r="L29" s="301">
        <v>-2.0500000000000001E-2</v>
      </c>
      <c r="M29" s="301">
        <v>-0.28749999999999998</v>
      </c>
      <c r="N29" s="301">
        <v>5.0000000000000001E-3</v>
      </c>
      <c r="O29" s="301">
        <v>-7.4999999999999997E-3</v>
      </c>
      <c r="P29" s="298">
        <v>-2.5000000000000001E-2</v>
      </c>
      <c r="Q29" s="298">
        <v>-5.5E-2</v>
      </c>
      <c r="R29" s="298">
        <v>-2.775E-2</v>
      </c>
      <c r="S29" s="298">
        <v>-6.5000000000000002E-2</v>
      </c>
      <c r="T29" s="298">
        <v>-0.115</v>
      </c>
      <c r="U29" s="298">
        <v>0.2525</v>
      </c>
      <c r="V29" s="298">
        <v>5.0000000000000001E-3</v>
      </c>
      <c r="W29" s="298">
        <v>-0.20250000000000001</v>
      </c>
      <c r="X29" s="298">
        <v>-2.1499999999999998E-2</v>
      </c>
      <c r="Y29" s="313">
        <v>7.4999999999999997E-2</v>
      </c>
      <c r="Z29" s="313">
        <v>5.0000000000000001E-3</v>
      </c>
      <c r="AA29" s="445">
        <v>0.255</v>
      </c>
      <c r="AB29" s="445">
        <v>0.25</v>
      </c>
      <c r="AC29" s="445">
        <v>0.255</v>
      </c>
      <c r="AD29" s="445">
        <v>0.255</v>
      </c>
      <c r="AE29" s="445">
        <v>0.25</v>
      </c>
      <c r="AF29" s="445">
        <v>0.255</v>
      </c>
      <c r="AG29" s="445">
        <v>0.255</v>
      </c>
      <c r="AH29" s="445">
        <v>0.255</v>
      </c>
      <c r="AI29" s="446">
        <v>0.255</v>
      </c>
      <c r="AJ29" s="446">
        <v>0.255</v>
      </c>
      <c r="AK29" s="446">
        <v>0.255</v>
      </c>
      <c r="AL29" s="445">
        <v>0.255</v>
      </c>
      <c r="AM29" s="312">
        <v>6.8751524716404999E-2</v>
      </c>
      <c r="AN29" s="312"/>
      <c r="AO29" s="313">
        <f t="shared" si="4"/>
        <v>0.25</v>
      </c>
      <c r="AP29" s="313">
        <f t="shared" si="5"/>
        <v>0.25</v>
      </c>
      <c r="AQ29" s="316">
        <f t="shared" si="6"/>
        <v>0.25</v>
      </c>
      <c r="IU29" s="315">
        <f t="shared" si="2"/>
        <v>37073</v>
      </c>
      <c r="IV29" s="298">
        <v>18</v>
      </c>
    </row>
    <row r="30" spans="1:256" x14ac:dyDescent="0.25">
      <c r="A30" s="326"/>
      <c r="B30" s="303">
        <f t="shared" si="3"/>
        <v>37073</v>
      </c>
      <c r="C30" s="301">
        <v>2.7770000000000001</v>
      </c>
      <c r="D30" s="301">
        <v>0.2525</v>
      </c>
      <c r="E30" s="301">
        <v>6.9000464437051004E-2</v>
      </c>
      <c r="F30" s="301">
        <v>-0.1075</v>
      </c>
      <c r="G30" s="301">
        <v>2.2499999999999999E-2</v>
      </c>
      <c r="H30" s="301">
        <v>-0.1075</v>
      </c>
      <c r="I30" s="301">
        <v>4.2500000000000003E-2</v>
      </c>
      <c r="J30" s="301">
        <v>0.16</v>
      </c>
      <c r="K30" s="301">
        <v>-5.0500000000000003E-2</v>
      </c>
      <c r="L30" s="301">
        <v>-2.0500000000000001E-2</v>
      </c>
      <c r="M30" s="301">
        <v>-0.28749999999999998</v>
      </c>
      <c r="N30" s="301">
        <v>5.0000000000000001E-3</v>
      </c>
      <c r="O30" s="301">
        <v>-7.4999999999999997E-3</v>
      </c>
      <c r="P30" s="298">
        <v>-2.5000000000000001E-2</v>
      </c>
      <c r="Q30" s="298">
        <v>-5.5E-2</v>
      </c>
      <c r="R30" s="298">
        <v>-2.775E-2</v>
      </c>
      <c r="S30" s="298">
        <v>-6.5000000000000002E-2</v>
      </c>
      <c r="T30" s="298">
        <v>-0.115</v>
      </c>
      <c r="U30" s="298">
        <v>0.25750000000000001</v>
      </c>
      <c r="V30" s="298">
        <v>5.0000000000000001E-3</v>
      </c>
      <c r="W30" s="298">
        <v>-0.20250000000000001</v>
      </c>
      <c r="X30" s="298">
        <v>-2.1499999999999998E-2</v>
      </c>
      <c r="Y30" s="313">
        <v>0.19</v>
      </c>
      <c r="Z30" s="313">
        <v>5.0000000000000001E-3</v>
      </c>
      <c r="AA30" s="445">
        <v>0.253</v>
      </c>
      <c r="AB30" s="445">
        <v>0.247</v>
      </c>
      <c r="AC30" s="445">
        <v>0.253</v>
      </c>
      <c r="AD30" s="445">
        <v>0.253</v>
      </c>
      <c r="AE30" s="445">
        <v>0.247</v>
      </c>
      <c r="AF30" s="445">
        <v>0.253</v>
      </c>
      <c r="AG30" s="445">
        <v>0.253</v>
      </c>
      <c r="AH30" s="445">
        <v>0.253</v>
      </c>
      <c r="AI30" s="446">
        <v>0.253</v>
      </c>
      <c r="AJ30" s="446">
        <v>0.253</v>
      </c>
      <c r="AK30" s="446">
        <v>0.253</v>
      </c>
      <c r="AL30" s="445">
        <v>0.253</v>
      </c>
      <c r="AM30" s="312">
        <v>6.8979340885644003E-2</v>
      </c>
      <c r="AN30" s="312"/>
      <c r="AO30" s="313">
        <f t="shared" si="4"/>
        <v>0.247</v>
      </c>
      <c r="AP30" s="313">
        <f t="shared" si="5"/>
        <v>0.247</v>
      </c>
      <c r="AQ30" s="316">
        <f t="shared" si="6"/>
        <v>0.247</v>
      </c>
      <c r="IU30" s="315">
        <f t="shared" si="2"/>
        <v>37104</v>
      </c>
      <c r="IV30" s="298">
        <v>19</v>
      </c>
    </row>
    <row r="31" spans="1:256" x14ac:dyDescent="0.25">
      <c r="A31" s="326"/>
      <c r="B31" s="303">
        <f t="shared" si="3"/>
        <v>37104</v>
      </c>
      <c r="C31" s="301">
        <v>2.7789999999999999</v>
      </c>
      <c r="D31" s="301">
        <v>0.2525</v>
      </c>
      <c r="E31" s="301">
        <v>6.9235449822753994E-2</v>
      </c>
      <c r="F31" s="301">
        <v>-0.1075</v>
      </c>
      <c r="G31" s="301">
        <v>2.5000000000000001E-2</v>
      </c>
      <c r="H31" s="301">
        <v>-0.1075</v>
      </c>
      <c r="I31" s="301">
        <v>0.04</v>
      </c>
      <c r="J31" s="301">
        <v>0.16</v>
      </c>
      <c r="K31" s="301">
        <v>-5.0500000000000003E-2</v>
      </c>
      <c r="L31" s="301">
        <v>-2.0500000000000001E-2</v>
      </c>
      <c r="M31" s="301">
        <v>-0.28749999999999998</v>
      </c>
      <c r="N31" s="301">
        <v>5.0000000000000001E-3</v>
      </c>
      <c r="O31" s="301">
        <v>-7.4999999999999997E-3</v>
      </c>
      <c r="P31" s="298">
        <v>-2.5000000000000001E-2</v>
      </c>
      <c r="Q31" s="298">
        <v>-5.5E-2</v>
      </c>
      <c r="R31" s="298">
        <v>-2.775E-2</v>
      </c>
      <c r="S31" s="298">
        <v>-6.5000000000000002E-2</v>
      </c>
      <c r="T31" s="298">
        <v>-0.115</v>
      </c>
      <c r="U31" s="298">
        <v>0.25750000000000001</v>
      </c>
      <c r="V31" s="298">
        <v>5.0000000000000001E-3</v>
      </c>
      <c r="W31" s="298">
        <v>-0.20250000000000001</v>
      </c>
      <c r="X31" s="298">
        <v>-2.1499999999999998E-2</v>
      </c>
      <c r="Y31" s="313">
        <v>0.25</v>
      </c>
      <c r="Z31" s="313">
        <v>5.0000000000000001E-3</v>
      </c>
      <c r="AA31" s="445">
        <v>0.253</v>
      </c>
      <c r="AB31" s="445">
        <v>0.247</v>
      </c>
      <c r="AC31" s="445">
        <v>0.253</v>
      </c>
      <c r="AD31" s="445">
        <v>0.253</v>
      </c>
      <c r="AE31" s="445">
        <v>0.247</v>
      </c>
      <c r="AF31" s="445">
        <v>0.253</v>
      </c>
      <c r="AG31" s="445">
        <v>0.253</v>
      </c>
      <c r="AH31" s="445">
        <v>0.253</v>
      </c>
      <c r="AI31" s="446">
        <v>0.253</v>
      </c>
      <c r="AJ31" s="446">
        <v>0.253</v>
      </c>
      <c r="AK31" s="446">
        <v>0.253</v>
      </c>
      <c r="AL31" s="445">
        <v>0.253</v>
      </c>
      <c r="AM31" s="312">
        <v>6.9190093529796007E-2</v>
      </c>
      <c r="AN31" s="312"/>
      <c r="AO31" s="313">
        <f t="shared" si="4"/>
        <v>0.247</v>
      </c>
      <c r="AP31" s="313">
        <f t="shared" si="5"/>
        <v>0.247</v>
      </c>
      <c r="AQ31" s="316">
        <f t="shared" si="6"/>
        <v>0.247</v>
      </c>
      <c r="IU31" s="315">
        <f t="shared" si="2"/>
        <v>37135</v>
      </c>
      <c r="IV31" s="298">
        <v>20</v>
      </c>
    </row>
    <row r="32" spans="1:256" x14ac:dyDescent="0.25">
      <c r="A32" s="326"/>
      <c r="B32" s="303">
        <f t="shared" si="3"/>
        <v>37135</v>
      </c>
      <c r="C32" s="301">
        <v>2.7829999999999999</v>
      </c>
      <c r="D32" s="301">
        <v>0.255</v>
      </c>
      <c r="E32" s="301">
        <v>6.9470435226721999E-2</v>
      </c>
      <c r="F32" s="301">
        <v>-0.1075</v>
      </c>
      <c r="G32" s="301">
        <v>1.7500000000000002E-2</v>
      </c>
      <c r="H32" s="301">
        <v>-0.1075</v>
      </c>
      <c r="I32" s="301">
        <v>0.04</v>
      </c>
      <c r="J32" s="301">
        <v>0.155</v>
      </c>
      <c r="K32" s="301">
        <v>-5.2999999999999999E-2</v>
      </c>
      <c r="L32" s="301">
        <v>-2.3E-2</v>
      </c>
      <c r="M32" s="301">
        <v>-0.28749999999999998</v>
      </c>
      <c r="N32" s="301">
        <v>5.0000000000000001E-3</v>
      </c>
      <c r="O32" s="301">
        <v>-7.4999999999999997E-3</v>
      </c>
      <c r="P32" s="298">
        <v>-2.5000000000000001E-2</v>
      </c>
      <c r="Q32" s="298">
        <v>-5.5E-2</v>
      </c>
      <c r="R32" s="298">
        <v>-2.5250000000000002E-2</v>
      </c>
      <c r="S32" s="298">
        <v>-7.2499999999999995E-2</v>
      </c>
      <c r="T32" s="298">
        <v>-0.115</v>
      </c>
      <c r="U32" s="298">
        <v>0.2525</v>
      </c>
      <c r="V32" s="298">
        <v>5.0000000000000001E-3</v>
      </c>
      <c r="W32" s="298">
        <v>-0.20250000000000001</v>
      </c>
      <c r="X32" s="298">
        <v>-2.4E-2</v>
      </c>
      <c r="Y32" s="313">
        <v>0.22</v>
      </c>
      <c r="Z32" s="313">
        <v>5.0000000000000001E-3</v>
      </c>
      <c r="AA32" s="445">
        <v>0.255</v>
      </c>
      <c r="AB32" s="445">
        <v>0.25</v>
      </c>
      <c r="AC32" s="445">
        <v>0.255</v>
      </c>
      <c r="AD32" s="445">
        <v>0.255</v>
      </c>
      <c r="AE32" s="445">
        <v>0.25</v>
      </c>
      <c r="AF32" s="445">
        <v>0.255</v>
      </c>
      <c r="AG32" s="445">
        <v>0.255</v>
      </c>
      <c r="AH32" s="445">
        <v>0.255</v>
      </c>
      <c r="AI32" s="446">
        <v>0.255</v>
      </c>
      <c r="AJ32" s="446">
        <v>0.255</v>
      </c>
      <c r="AK32" s="446">
        <v>0.255</v>
      </c>
      <c r="AL32" s="445">
        <v>0.255</v>
      </c>
      <c r="AM32" s="312">
        <v>6.9400846188639995E-2</v>
      </c>
      <c r="AN32" s="312"/>
      <c r="AO32" s="313">
        <f t="shared" si="4"/>
        <v>0.25</v>
      </c>
      <c r="AP32" s="313">
        <f t="shared" si="5"/>
        <v>0.25</v>
      </c>
      <c r="AQ32" s="316">
        <f t="shared" si="6"/>
        <v>0.25</v>
      </c>
      <c r="IU32" s="315">
        <f t="shared" si="2"/>
        <v>37165</v>
      </c>
      <c r="IV32" s="298">
        <v>21</v>
      </c>
    </row>
    <row r="33" spans="1:256" x14ac:dyDescent="0.25">
      <c r="A33" s="326"/>
      <c r="B33" s="303">
        <f t="shared" si="3"/>
        <v>37165</v>
      </c>
      <c r="C33" s="301">
        <v>2.8029999999999999</v>
      </c>
      <c r="D33" s="301">
        <v>0.26</v>
      </c>
      <c r="E33" s="301">
        <v>6.9672448481415003E-2</v>
      </c>
      <c r="F33" s="301">
        <v>-0.1075</v>
      </c>
      <c r="G33" s="301">
        <v>7.4999999999999997E-3</v>
      </c>
      <c r="H33" s="301">
        <v>-0.1075</v>
      </c>
      <c r="I33" s="301">
        <v>5.5E-2</v>
      </c>
      <c r="J33" s="301">
        <v>0.16</v>
      </c>
      <c r="K33" s="301">
        <v>-5.2999999999999999E-2</v>
      </c>
      <c r="L33" s="301">
        <v>-2.3E-2</v>
      </c>
      <c r="M33" s="301">
        <v>-0.28749999999999998</v>
      </c>
      <c r="N33" s="301">
        <v>5.0000000000000001E-3</v>
      </c>
      <c r="O33" s="301">
        <v>-7.4999999999999997E-3</v>
      </c>
      <c r="P33" s="298">
        <v>-2.5000000000000001E-2</v>
      </c>
      <c r="Q33" s="298">
        <v>-5.5E-2</v>
      </c>
      <c r="R33" s="298">
        <v>-2.5250000000000002E-2</v>
      </c>
      <c r="S33" s="298">
        <v>-7.2499999999999995E-2</v>
      </c>
      <c r="T33" s="298">
        <v>-0.115</v>
      </c>
      <c r="U33" s="298">
        <v>0.255</v>
      </c>
      <c r="V33" s="298">
        <v>5.0000000000000001E-3</v>
      </c>
      <c r="W33" s="298">
        <v>-0.20250000000000001</v>
      </c>
      <c r="X33" s="298">
        <v>-2.4E-2</v>
      </c>
      <c r="Y33" s="313">
        <v>0.1525</v>
      </c>
      <c r="Z33" s="313">
        <v>5.0000000000000001E-3</v>
      </c>
      <c r="AA33" s="445">
        <v>0.26</v>
      </c>
      <c r="AB33" s="445">
        <v>0.255</v>
      </c>
      <c r="AC33" s="445">
        <v>0.26</v>
      </c>
      <c r="AD33" s="445">
        <v>0.26</v>
      </c>
      <c r="AE33" s="445">
        <v>0.255</v>
      </c>
      <c r="AF33" s="445">
        <v>0.26</v>
      </c>
      <c r="AG33" s="445">
        <v>0.26</v>
      </c>
      <c r="AH33" s="445">
        <v>0.26</v>
      </c>
      <c r="AI33" s="446">
        <v>0.26</v>
      </c>
      <c r="AJ33" s="446">
        <v>0.26</v>
      </c>
      <c r="AK33" s="446">
        <v>0.26</v>
      </c>
      <c r="AL33" s="445">
        <v>0.26</v>
      </c>
      <c r="AM33" s="312">
        <v>6.9584129126051997E-2</v>
      </c>
      <c r="AN33" s="312"/>
      <c r="AO33" s="313">
        <f t="shared" si="4"/>
        <v>0.255</v>
      </c>
      <c r="AP33" s="313">
        <f t="shared" si="5"/>
        <v>0.255</v>
      </c>
      <c r="AQ33" s="316">
        <f t="shared" si="6"/>
        <v>0.255</v>
      </c>
      <c r="IU33" s="315">
        <f t="shared" si="2"/>
        <v>37196</v>
      </c>
      <c r="IV33" s="298">
        <v>22</v>
      </c>
    </row>
    <row r="34" spans="1:256" x14ac:dyDescent="0.25">
      <c r="B34" s="303">
        <f t="shared" si="3"/>
        <v>37196</v>
      </c>
      <c r="C34" s="301">
        <v>2.9119999999999999</v>
      </c>
      <c r="D34" s="301">
        <v>0.26400000000000001</v>
      </c>
      <c r="E34" s="301">
        <v>6.9839496181280006E-2</v>
      </c>
      <c r="F34" s="301">
        <v>-0.12</v>
      </c>
      <c r="G34" s="301">
        <v>-3.2500000000000001E-2</v>
      </c>
      <c r="H34" s="301">
        <v>-0.12</v>
      </c>
      <c r="I34" s="301">
        <v>9.7500000000000003E-2</v>
      </c>
      <c r="J34" s="301">
        <v>0.22750000000000001</v>
      </c>
      <c r="K34" s="301">
        <v>-6.6500000000000004E-2</v>
      </c>
      <c r="L34" s="301">
        <v>-2.8000000000000001E-2</v>
      </c>
      <c r="M34" s="301">
        <v>-0.23499999999999999</v>
      </c>
      <c r="N34" s="301">
        <v>7.4999999999999997E-3</v>
      </c>
      <c r="O34" s="301">
        <v>-5.0000000000000001E-3</v>
      </c>
      <c r="P34" s="298">
        <v>-2.8000000000000001E-2</v>
      </c>
      <c r="Q34" s="298">
        <v>-6.25E-2</v>
      </c>
      <c r="R34" s="298">
        <v>-4.2500000000000003E-2</v>
      </c>
      <c r="S34" s="298">
        <v>-8.7499999999999994E-2</v>
      </c>
      <c r="T34" s="298">
        <v>-0.155</v>
      </c>
      <c r="U34" s="298">
        <v>0.71250000000000002</v>
      </c>
      <c r="V34" s="298">
        <v>5.0000000000000001E-3</v>
      </c>
      <c r="W34" s="298">
        <v>-0.20250000000000001</v>
      </c>
      <c r="X34" s="298">
        <v>-2.1499999999999998E-2</v>
      </c>
      <c r="Y34" s="313">
        <v>7.4999999999999997E-2</v>
      </c>
      <c r="Z34" s="313">
        <v>1.4500000000000001E-2</v>
      </c>
      <c r="AA34" s="445">
        <v>0.26400000000000001</v>
      </c>
      <c r="AB34" s="445">
        <v>0.28999999999999998</v>
      </c>
      <c r="AC34" s="445">
        <v>0.26400000000000001</v>
      </c>
      <c r="AD34" s="445">
        <v>0.26400000000000001</v>
      </c>
      <c r="AE34" s="445">
        <v>0.26400000000000001</v>
      </c>
      <c r="AF34" s="445">
        <v>0.26400000000000001</v>
      </c>
      <c r="AG34" s="445">
        <v>0.26400000000000001</v>
      </c>
      <c r="AH34" s="445">
        <v>0.26400000000000001</v>
      </c>
      <c r="AI34" s="446">
        <v>0.26400000000000001</v>
      </c>
      <c r="AJ34" s="446">
        <v>0.26400000000000001</v>
      </c>
      <c r="AK34" s="446">
        <v>0.26400000000000001</v>
      </c>
      <c r="AL34" s="445">
        <v>0.26400000000000001</v>
      </c>
      <c r="AM34" s="312">
        <v>6.9739573936796001E-2</v>
      </c>
      <c r="AN34" s="312"/>
      <c r="AO34" s="313">
        <f t="shared" si="4"/>
        <v>0.28999999999999998</v>
      </c>
      <c r="AP34" s="313">
        <f t="shared" si="5"/>
        <v>0.28999999999999998</v>
      </c>
      <c r="AQ34" s="316">
        <f t="shared" si="6"/>
        <v>0.28999999999999998</v>
      </c>
      <c r="IU34" s="315">
        <f t="shared" si="2"/>
        <v>37226</v>
      </c>
      <c r="IV34" s="298">
        <v>23</v>
      </c>
    </row>
    <row r="35" spans="1:256" x14ac:dyDescent="0.25">
      <c r="B35" s="303">
        <f t="shared" si="3"/>
        <v>37226</v>
      </c>
      <c r="C35" s="301">
        <v>3.0139999999999998</v>
      </c>
      <c r="D35" s="301">
        <v>0.26900000000000002</v>
      </c>
      <c r="E35" s="301">
        <v>7.0001155254449998E-2</v>
      </c>
      <c r="F35" s="301">
        <v>-0.1225</v>
      </c>
      <c r="G35" s="301">
        <v>-5.5E-2</v>
      </c>
      <c r="H35" s="301">
        <v>-0.1225</v>
      </c>
      <c r="I35" s="301">
        <v>0.13750000000000001</v>
      </c>
      <c r="J35" s="301">
        <v>0.28499999999999998</v>
      </c>
      <c r="K35" s="301">
        <v>-6.6500000000000004E-2</v>
      </c>
      <c r="L35" s="301">
        <v>-3.0499999999999999E-2</v>
      </c>
      <c r="M35" s="301">
        <v>-0.23499999999999999</v>
      </c>
      <c r="N35" s="301">
        <v>7.4999999999999997E-3</v>
      </c>
      <c r="O35" s="301">
        <v>-5.0000000000000001E-3</v>
      </c>
      <c r="P35" s="298">
        <v>-2.5499999999999998E-2</v>
      </c>
      <c r="Q35" s="298">
        <v>-6.25E-2</v>
      </c>
      <c r="R35" s="298">
        <v>-4.2500000000000003E-2</v>
      </c>
      <c r="S35" s="298">
        <v>-0.10249999999999999</v>
      </c>
      <c r="T35" s="298">
        <v>-0.155</v>
      </c>
      <c r="U35" s="298">
        <v>1.2</v>
      </c>
      <c r="V35" s="298">
        <v>5.0000000000000001E-3</v>
      </c>
      <c r="W35" s="298">
        <v>-0.20250000000000001</v>
      </c>
      <c r="X35" s="298">
        <v>-2.1499999999999998E-2</v>
      </c>
      <c r="Y35" s="313">
        <v>7.4999999999999997E-2</v>
      </c>
      <c r="Z35" s="313">
        <v>1.4500000000000001E-2</v>
      </c>
      <c r="AA35" s="445">
        <v>0.26900000000000002</v>
      </c>
      <c r="AB35" s="445">
        <v>0.29599999999999999</v>
      </c>
      <c r="AC35" s="445">
        <v>0.26900000000000002</v>
      </c>
      <c r="AD35" s="445">
        <v>0.26900000000000002</v>
      </c>
      <c r="AE35" s="445">
        <v>0.26900000000000002</v>
      </c>
      <c r="AF35" s="445">
        <v>0.26900000000000002</v>
      </c>
      <c r="AG35" s="445">
        <v>0.26900000000000002</v>
      </c>
      <c r="AH35" s="445">
        <v>0.26900000000000002</v>
      </c>
      <c r="AI35" s="446">
        <v>0.26900000000000002</v>
      </c>
      <c r="AJ35" s="446">
        <v>0.26900000000000002</v>
      </c>
      <c r="AK35" s="446">
        <v>0.26900000000000002</v>
      </c>
      <c r="AL35" s="445">
        <v>0.26900000000000002</v>
      </c>
      <c r="AM35" s="312">
        <v>6.9890004406414005E-2</v>
      </c>
      <c r="AN35" s="312"/>
      <c r="AO35" s="313">
        <f t="shared" si="4"/>
        <v>0.29599999999999999</v>
      </c>
      <c r="AP35" s="313">
        <f t="shared" si="5"/>
        <v>0.29599999999999999</v>
      </c>
      <c r="AQ35" s="316">
        <f t="shared" si="6"/>
        <v>0.29599999999999999</v>
      </c>
      <c r="IU35" s="315">
        <f t="shared" si="2"/>
        <v>37257</v>
      </c>
      <c r="IV35" s="298">
        <v>24</v>
      </c>
    </row>
    <row r="36" spans="1:256" x14ac:dyDescent="0.25">
      <c r="B36" s="303">
        <f t="shared" si="3"/>
        <v>37257</v>
      </c>
      <c r="C36" s="301">
        <v>3.0369999999999999</v>
      </c>
      <c r="D36" s="301">
        <v>0.27150000000000002</v>
      </c>
      <c r="E36" s="301">
        <v>7.0157483229356998E-2</v>
      </c>
      <c r="F36" s="301">
        <v>-0.125</v>
      </c>
      <c r="G36" s="301">
        <v>-5.7500000000000002E-2</v>
      </c>
      <c r="H36" s="301">
        <v>-0.125</v>
      </c>
      <c r="I36" s="301">
        <v>0.15</v>
      </c>
      <c r="J36" s="301">
        <v>0.34</v>
      </c>
      <c r="K36" s="301">
        <v>-7.0499999999999993E-2</v>
      </c>
      <c r="L36" s="301">
        <v>-2.4500000000000001E-2</v>
      </c>
      <c r="M36" s="301">
        <v>-0.23499999999999999</v>
      </c>
      <c r="N36" s="301">
        <v>7.4999999999999997E-3</v>
      </c>
      <c r="O36" s="301">
        <v>-5.0000000000000001E-3</v>
      </c>
      <c r="P36" s="298">
        <v>-2.5499999999999998E-2</v>
      </c>
      <c r="Q36" s="298">
        <v>-6.25E-2</v>
      </c>
      <c r="R36" s="298">
        <v>-4.2500000000000003E-2</v>
      </c>
      <c r="S36" s="298">
        <v>-0.1125</v>
      </c>
      <c r="T36" s="298">
        <v>-0.155</v>
      </c>
      <c r="U36" s="298">
        <v>1.4</v>
      </c>
      <c r="V36" s="298">
        <v>5.0000000000000001E-3</v>
      </c>
      <c r="W36" s="298">
        <v>-0.20250000000000001</v>
      </c>
      <c r="X36" s="298">
        <v>-2.1499999999999998E-2</v>
      </c>
      <c r="Y36" s="313">
        <v>7.4999999999999997E-2</v>
      </c>
      <c r="Z36" s="313">
        <v>1.4500000000000001E-2</v>
      </c>
      <c r="AA36" s="445">
        <v>0.27200000000000002</v>
      </c>
      <c r="AB36" s="445">
        <v>0.27200000000000002</v>
      </c>
      <c r="AC36" s="445">
        <v>0.27200000000000002</v>
      </c>
      <c r="AD36" s="445">
        <v>0.27200000000000002</v>
      </c>
      <c r="AE36" s="445">
        <v>0.27200000000000002</v>
      </c>
      <c r="AF36" s="445">
        <v>0.27200000000000002</v>
      </c>
      <c r="AG36" s="445">
        <v>0.27200000000000002</v>
      </c>
      <c r="AH36" s="445">
        <v>0.27200000000000002</v>
      </c>
      <c r="AI36" s="446">
        <v>0.27200000000000002</v>
      </c>
      <c r="AJ36" s="446">
        <v>0.27200000000000002</v>
      </c>
      <c r="AK36" s="446">
        <v>0.27200000000000002</v>
      </c>
      <c r="AL36" s="445">
        <v>0.27200000000000002</v>
      </c>
      <c r="AM36" s="312">
        <v>7.0035973725353001E-2</v>
      </c>
      <c r="AN36" s="312"/>
      <c r="AO36" s="313">
        <f t="shared" si="4"/>
        <v>0.27200000000000002</v>
      </c>
      <c r="AP36" s="313">
        <f t="shared" si="5"/>
        <v>0.27200000000000002</v>
      </c>
      <c r="AQ36" s="316">
        <f t="shared" si="6"/>
        <v>0.27200000000000002</v>
      </c>
      <c r="IU36" s="315">
        <f t="shared" si="2"/>
        <v>37288</v>
      </c>
      <c r="IV36" s="298">
        <v>25</v>
      </c>
    </row>
    <row r="37" spans="1:256" x14ac:dyDescent="0.25">
      <c r="B37" s="303">
        <f t="shared" si="3"/>
        <v>37288</v>
      </c>
      <c r="C37" s="301">
        <v>2.9180000000000001</v>
      </c>
      <c r="D37" s="301">
        <v>0.26650000000000001</v>
      </c>
      <c r="E37" s="301">
        <v>7.0298968490405997E-2</v>
      </c>
      <c r="F37" s="301">
        <v>-0.1275</v>
      </c>
      <c r="G37" s="301">
        <v>-0.04</v>
      </c>
      <c r="H37" s="301">
        <v>-0.1275</v>
      </c>
      <c r="I37" s="301">
        <v>0.1275</v>
      </c>
      <c r="J37" s="301">
        <v>0.33750000000000002</v>
      </c>
      <c r="K37" s="301">
        <v>-6.6500000000000004E-2</v>
      </c>
      <c r="L37" s="301">
        <v>-3.0499999999999999E-2</v>
      </c>
      <c r="M37" s="301">
        <v>-0.23499999999999999</v>
      </c>
      <c r="N37" s="301">
        <v>7.4999999999999997E-3</v>
      </c>
      <c r="O37" s="301">
        <v>-5.0000000000000001E-3</v>
      </c>
      <c r="P37" s="298">
        <v>-2.5499999999999998E-2</v>
      </c>
      <c r="Q37" s="298">
        <v>-6.25E-2</v>
      </c>
      <c r="R37" s="298">
        <v>-4.2500000000000003E-2</v>
      </c>
      <c r="S37" s="298">
        <v>-0.1</v>
      </c>
      <c r="T37" s="298">
        <v>-0.155</v>
      </c>
      <c r="U37" s="298">
        <v>1.415</v>
      </c>
      <c r="V37" s="298">
        <v>5.0000000000000001E-3</v>
      </c>
      <c r="W37" s="298">
        <v>-0.20250000000000001</v>
      </c>
      <c r="X37" s="298">
        <v>-2.1499999999999998E-2</v>
      </c>
      <c r="Y37" s="313">
        <v>7.4999999999999997E-2</v>
      </c>
      <c r="Z37" s="313">
        <v>1.4500000000000001E-2</v>
      </c>
      <c r="AA37" s="445">
        <v>0.26700000000000002</v>
      </c>
      <c r="AB37" s="445">
        <v>0.29299999999999998</v>
      </c>
      <c r="AC37" s="445">
        <v>0.26700000000000002</v>
      </c>
      <c r="AD37" s="445">
        <v>0.26700000000000002</v>
      </c>
      <c r="AE37" s="445">
        <v>0.26700000000000002</v>
      </c>
      <c r="AF37" s="445">
        <v>0.26700000000000002</v>
      </c>
      <c r="AG37" s="445">
        <v>0.26700000000000002</v>
      </c>
      <c r="AH37" s="445">
        <v>0.26700000000000002</v>
      </c>
      <c r="AI37" s="446">
        <v>0.26700000000000002</v>
      </c>
      <c r="AJ37" s="446">
        <v>0.26700000000000002</v>
      </c>
      <c r="AK37" s="446">
        <v>0.26700000000000002</v>
      </c>
      <c r="AL37" s="445">
        <v>0.26700000000000002</v>
      </c>
      <c r="AM37" s="312">
        <v>7.0168823117254003E-2</v>
      </c>
      <c r="AN37" s="312"/>
      <c r="AO37" s="313">
        <f t="shared" si="4"/>
        <v>0.29299999999999998</v>
      </c>
      <c r="AP37" s="313">
        <f t="shared" si="5"/>
        <v>0.29299999999999998</v>
      </c>
      <c r="AQ37" s="316">
        <f t="shared" si="6"/>
        <v>0.29299999999999998</v>
      </c>
      <c r="IU37" s="315">
        <f t="shared" si="2"/>
        <v>37316</v>
      </c>
      <c r="IV37" s="298">
        <v>26</v>
      </c>
    </row>
    <row r="38" spans="1:256" x14ac:dyDescent="0.25">
      <c r="B38" s="303">
        <f t="shared" si="3"/>
        <v>37316</v>
      </c>
      <c r="C38" s="301">
        <v>2.78</v>
      </c>
      <c r="D38" s="301">
        <v>0.24399999999999999</v>
      </c>
      <c r="E38" s="301">
        <v>7.0426761635106E-2</v>
      </c>
      <c r="F38" s="301">
        <v>-0.13</v>
      </c>
      <c r="G38" s="301">
        <v>-2.75E-2</v>
      </c>
      <c r="H38" s="301">
        <v>-0.13</v>
      </c>
      <c r="I38" s="301">
        <v>0.125</v>
      </c>
      <c r="J38" s="301">
        <v>0.2475</v>
      </c>
      <c r="K38" s="301">
        <v>-6.8000000000000005E-2</v>
      </c>
      <c r="L38" s="301">
        <v>-3.3500000000000002E-2</v>
      </c>
      <c r="M38" s="301">
        <v>-0.23499999999999999</v>
      </c>
      <c r="N38" s="301">
        <v>7.4999999999999997E-3</v>
      </c>
      <c r="O38" s="301">
        <v>-5.0000000000000001E-3</v>
      </c>
      <c r="P38" s="298">
        <v>-2.5499999999999998E-2</v>
      </c>
      <c r="Q38" s="298">
        <v>-6.25E-2</v>
      </c>
      <c r="R38" s="298">
        <v>-4.2500000000000003E-2</v>
      </c>
      <c r="S38" s="298">
        <v>-8.7499999999999994E-2</v>
      </c>
      <c r="T38" s="298">
        <v>-0.155</v>
      </c>
      <c r="U38" s="298">
        <v>0.875</v>
      </c>
      <c r="V38" s="298">
        <v>5.0000000000000001E-3</v>
      </c>
      <c r="W38" s="298">
        <v>-0.20250000000000001</v>
      </c>
      <c r="X38" s="298">
        <v>-2.1499999999999998E-2</v>
      </c>
      <c r="Y38" s="313">
        <v>7.4999999999999997E-2</v>
      </c>
      <c r="Z38" s="313">
        <v>1.4500000000000001E-2</v>
      </c>
      <c r="AA38" s="445">
        <v>0.24399999999999999</v>
      </c>
      <c r="AB38" s="445">
        <v>0.26800000000000002</v>
      </c>
      <c r="AC38" s="445">
        <v>0.24399999999999999</v>
      </c>
      <c r="AD38" s="445">
        <v>0.24399999999999999</v>
      </c>
      <c r="AE38" s="445">
        <v>0.24399999999999999</v>
      </c>
      <c r="AF38" s="445">
        <v>0.24399999999999999</v>
      </c>
      <c r="AG38" s="445">
        <v>0.24399999999999999</v>
      </c>
      <c r="AH38" s="445">
        <v>0.24399999999999999</v>
      </c>
      <c r="AI38" s="446">
        <v>0.24399999999999999</v>
      </c>
      <c r="AJ38" s="446">
        <v>0.24399999999999999</v>
      </c>
      <c r="AK38" s="446">
        <v>0.24399999999999999</v>
      </c>
      <c r="AL38" s="445">
        <v>0.24399999999999999</v>
      </c>
      <c r="AM38" s="312">
        <v>7.0288816121405001E-2</v>
      </c>
      <c r="AN38" s="312"/>
      <c r="AO38" s="313">
        <f t="shared" si="4"/>
        <v>0.26800000000000002</v>
      </c>
      <c r="AP38" s="313">
        <f t="shared" si="5"/>
        <v>0.26800000000000002</v>
      </c>
      <c r="AQ38" s="316">
        <f t="shared" si="6"/>
        <v>0.26800000000000002</v>
      </c>
      <c r="IU38" s="315">
        <f t="shared" si="2"/>
        <v>37347</v>
      </c>
      <c r="IV38" s="298">
        <v>27</v>
      </c>
    </row>
    <row r="39" spans="1:256" x14ac:dyDescent="0.25">
      <c r="B39" s="303">
        <f t="shared" si="3"/>
        <v>37347</v>
      </c>
      <c r="C39" s="301">
        <v>2.6840000000000002</v>
      </c>
      <c r="D39" s="301">
        <v>0.21299999999999999</v>
      </c>
      <c r="E39" s="301">
        <v>7.0544040739159999E-2</v>
      </c>
      <c r="F39" s="301">
        <v>-0.12</v>
      </c>
      <c r="G39" s="301">
        <v>1.4999999999999999E-2</v>
      </c>
      <c r="H39" s="301">
        <v>-0.12</v>
      </c>
      <c r="I39" s="301">
        <v>6.25E-2</v>
      </c>
      <c r="J39" s="301">
        <v>0.17</v>
      </c>
      <c r="K39" s="301">
        <v>-7.8E-2</v>
      </c>
      <c r="L39" s="301">
        <v>-4.5999999999999999E-2</v>
      </c>
      <c r="M39" s="301">
        <v>-0.29249999999999998</v>
      </c>
      <c r="N39" s="301">
        <v>6.0000000000000001E-3</v>
      </c>
      <c r="O39" s="301">
        <v>-7.4999999999999997E-3</v>
      </c>
      <c r="P39" s="298">
        <v>-2.75E-2</v>
      </c>
      <c r="Q39" s="298">
        <v>-0.06</v>
      </c>
      <c r="R39" s="298">
        <v>-2.52E-2</v>
      </c>
      <c r="S39" s="298">
        <v>-7.0000000000000007E-2</v>
      </c>
      <c r="T39" s="298">
        <v>-0.1125</v>
      </c>
      <c r="U39" s="298">
        <v>0.37</v>
      </c>
      <c r="V39" s="298">
        <v>6.0000000000000001E-3</v>
      </c>
      <c r="W39" s="298">
        <v>-0.18</v>
      </c>
      <c r="X39" s="298">
        <v>-2.1499999999999998E-2</v>
      </c>
      <c r="Y39" s="313">
        <v>0.18</v>
      </c>
      <c r="Z39" s="313">
        <v>7.0000000000000001E-3</v>
      </c>
      <c r="AA39" s="445">
        <v>0.21299999999999999</v>
      </c>
      <c r="AB39" s="445">
        <v>0.20899999999999999</v>
      </c>
      <c r="AC39" s="445">
        <v>0.21299999999999999</v>
      </c>
      <c r="AD39" s="445">
        <v>0.21299999999999999</v>
      </c>
      <c r="AE39" s="445">
        <v>0.20899999999999999</v>
      </c>
      <c r="AF39" s="445">
        <v>0.21299999999999999</v>
      </c>
      <c r="AG39" s="445">
        <v>0.21299999999999999</v>
      </c>
      <c r="AH39" s="445">
        <v>0.21299999999999999</v>
      </c>
      <c r="AI39" s="446">
        <v>0.21299999999999999</v>
      </c>
      <c r="AJ39" s="446">
        <v>0.21299999999999999</v>
      </c>
      <c r="AK39" s="446">
        <v>0.21299999999999999</v>
      </c>
      <c r="AL39" s="445">
        <v>0.21299999999999999</v>
      </c>
      <c r="AM39" s="312">
        <v>7.0398295512428002E-2</v>
      </c>
      <c r="AN39" s="312"/>
      <c r="AO39" s="313">
        <f t="shared" si="4"/>
        <v>0.20899999999999999</v>
      </c>
      <c r="AP39" s="313">
        <f t="shared" si="5"/>
        <v>0.20899999999999999</v>
      </c>
      <c r="AQ39" s="316">
        <f t="shared" si="6"/>
        <v>0.20899999999999999</v>
      </c>
      <c r="IU39" s="315">
        <f t="shared" si="2"/>
        <v>37377</v>
      </c>
      <c r="IV39" s="298">
        <v>28</v>
      </c>
    </row>
    <row r="40" spans="1:256" x14ac:dyDescent="0.25">
      <c r="B40" s="303">
        <f t="shared" si="3"/>
        <v>37377</v>
      </c>
      <c r="C40" s="301">
        <v>2.657</v>
      </c>
      <c r="D40" s="301">
        <v>0.21</v>
      </c>
      <c r="E40" s="301">
        <v>7.0622178627959997E-2</v>
      </c>
      <c r="F40" s="301">
        <v>-0.12</v>
      </c>
      <c r="G40" s="301">
        <v>1.4999999999999999E-2</v>
      </c>
      <c r="H40" s="301">
        <v>-0.12</v>
      </c>
      <c r="I40" s="301">
        <v>5.2499999999999998E-2</v>
      </c>
      <c r="J40" s="301">
        <v>0.155</v>
      </c>
      <c r="K40" s="301">
        <v>-5.2999999999999999E-2</v>
      </c>
      <c r="L40" s="301">
        <v>-2.1000000000000001E-2</v>
      </c>
      <c r="M40" s="301">
        <v>-0.29249999999999998</v>
      </c>
      <c r="N40" s="301">
        <v>6.0000000000000001E-3</v>
      </c>
      <c r="O40" s="301">
        <v>-7.4999999999999997E-3</v>
      </c>
      <c r="P40" s="298">
        <v>-2.75E-2</v>
      </c>
      <c r="Q40" s="298">
        <v>-0.06</v>
      </c>
      <c r="R40" s="298">
        <v>-2.5250000000000002E-2</v>
      </c>
      <c r="S40" s="298">
        <v>-7.2499999999999995E-2</v>
      </c>
      <c r="T40" s="298">
        <v>-0.1125</v>
      </c>
      <c r="U40" s="298">
        <v>0.2525</v>
      </c>
      <c r="V40" s="298">
        <v>6.0000000000000001E-3</v>
      </c>
      <c r="W40" s="298">
        <v>-0.18</v>
      </c>
      <c r="X40" s="298">
        <v>-1.7999999999999999E-2</v>
      </c>
      <c r="Y40" s="313">
        <v>0.18</v>
      </c>
      <c r="Z40" s="313">
        <v>7.0000000000000001E-3</v>
      </c>
      <c r="AA40" s="445">
        <v>0.21</v>
      </c>
      <c r="AB40" s="445">
        <v>0.20599999999999999</v>
      </c>
      <c r="AC40" s="445">
        <v>0.21</v>
      </c>
      <c r="AD40" s="445">
        <v>0.21</v>
      </c>
      <c r="AE40" s="445">
        <v>0.20599999999999999</v>
      </c>
      <c r="AF40" s="445">
        <v>0.21</v>
      </c>
      <c r="AG40" s="445">
        <v>0.21</v>
      </c>
      <c r="AH40" s="445">
        <v>0.21</v>
      </c>
      <c r="AI40" s="446">
        <v>0.21</v>
      </c>
      <c r="AJ40" s="446">
        <v>0.21</v>
      </c>
      <c r="AK40" s="446">
        <v>0.21</v>
      </c>
      <c r="AL40" s="445">
        <v>0.21</v>
      </c>
      <c r="AM40" s="312">
        <v>7.047009147826E-2</v>
      </c>
      <c r="AN40" s="312"/>
      <c r="AO40" s="313">
        <f t="shared" si="4"/>
        <v>0.20599999999999999</v>
      </c>
      <c r="AP40" s="313">
        <f t="shared" si="5"/>
        <v>0.20599999999999999</v>
      </c>
      <c r="AQ40" s="316">
        <f t="shared" si="6"/>
        <v>0.20599999999999999</v>
      </c>
      <c r="IU40" s="315">
        <f t="shared" si="2"/>
        <v>37408</v>
      </c>
      <c r="IV40" s="298">
        <v>29</v>
      </c>
    </row>
    <row r="41" spans="1:256" x14ac:dyDescent="0.25">
      <c r="A41" s="325"/>
      <c r="B41" s="303">
        <f t="shared" si="3"/>
        <v>37408</v>
      </c>
      <c r="C41" s="301">
        <v>2.6640000000000001</v>
      </c>
      <c r="D41" s="301">
        <v>0.20899999999999999</v>
      </c>
      <c r="E41" s="301">
        <v>7.0702921115172998E-2</v>
      </c>
      <c r="F41" s="301">
        <v>-0.12</v>
      </c>
      <c r="G41" s="301">
        <v>0.02</v>
      </c>
      <c r="H41" s="301">
        <v>-0.12</v>
      </c>
      <c r="I41" s="301">
        <v>4.7500000000000001E-2</v>
      </c>
      <c r="J41" s="301">
        <v>0.155</v>
      </c>
      <c r="K41" s="301">
        <v>-5.0500000000000003E-2</v>
      </c>
      <c r="L41" s="301">
        <v>-1.8499999999999999E-2</v>
      </c>
      <c r="M41" s="301">
        <v>-0.29249999999999998</v>
      </c>
      <c r="N41" s="301">
        <v>6.0000000000000001E-3</v>
      </c>
      <c r="O41" s="301">
        <v>-7.4999999999999997E-3</v>
      </c>
      <c r="P41" s="298">
        <v>-2.5000000000000001E-2</v>
      </c>
      <c r="Q41" s="298">
        <v>-0.06</v>
      </c>
      <c r="R41" s="298">
        <v>-2.5250000000000002E-2</v>
      </c>
      <c r="S41" s="298">
        <v>-6.25E-2</v>
      </c>
      <c r="T41" s="298">
        <v>-0.1125</v>
      </c>
      <c r="U41" s="298">
        <v>0.2525</v>
      </c>
      <c r="V41" s="298">
        <v>6.0000000000000001E-3</v>
      </c>
      <c r="W41" s="298">
        <v>-0.18</v>
      </c>
      <c r="X41" s="298">
        <v>-2.0500000000000001E-2</v>
      </c>
      <c r="Y41" s="313">
        <v>0.18</v>
      </c>
      <c r="Z41" s="313">
        <v>7.0000000000000001E-3</v>
      </c>
      <c r="AA41" s="445">
        <v>0.20899999999999999</v>
      </c>
      <c r="AB41" s="445">
        <v>0.20499999999999999</v>
      </c>
      <c r="AC41" s="445">
        <v>0.20899999999999999</v>
      </c>
      <c r="AD41" s="445">
        <v>0.20899999999999999</v>
      </c>
      <c r="AE41" s="445">
        <v>0.20499999999999999</v>
      </c>
      <c r="AF41" s="445">
        <v>0.20899999999999999</v>
      </c>
      <c r="AG41" s="445">
        <v>0.20899999999999999</v>
      </c>
      <c r="AH41" s="445">
        <v>0.20899999999999999</v>
      </c>
      <c r="AI41" s="446">
        <v>0.20899999999999999</v>
      </c>
      <c r="AJ41" s="446">
        <v>0.20899999999999999</v>
      </c>
      <c r="AK41" s="446">
        <v>0.20899999999999999</v>
      </c>
      <c r="AL41" s="445">
        <v>0.20899999999999999</v>
      </c>
      <c r="AM41" s="312">
        <v>7.0544280644742996E-2</v>
      </c>
      <c r="AN41" s="312"/>
      <c r="AO41" s="313">
        <f t="shared" si="4"/>
        <v>0.20499999999999999</v>
      </c>
      <c r="AP41" s="313">
        <f t="shared" si="5"/>
        <v>0.20499999999999999</v>
      </c>
      <c r="AQ41" s="316">
        <f t="shared" si="6"/>
        <v>0.20499999999999999</v>
      </c>
      <c r="IU41" s="315">
        <f t="shared" si="2"/>
        <v>37438</v>
      </c>
      <c r="IV41" s="298">
        <v>30</v>
      </c>
    </row>
    <row r="42" spans="1:256" x14ac:dyDescent="0.25">
      <c r="A42" s="326"/>
      <c r="B42" s="303">
        <f t="shared" si="3"/>
        <v>37438</v>
      </c>
      <c r="C42" s="301">
        <v>2.6669999999999998</v>
      </c>
      <c r="D42" s="301">
        <v>0.20799999999999999</v>
      </c>
      <c r="E42" s="301">
        <v>7.0772972634964001E-2</v>
      </c>
      <c r="F42" s="301">
        <v>-0.12</v>
      </c>
      <c r="G42" s="301">
        <v>2.2499999999999999E-2</v>
      </c>
      <c r="H42" s="301">
        <v>-0.12</v>
      </c>
      <c r="I42" s="301">
        <v>3.7499999999999999E-2</v>
      </c>
      <c r="J42" s="301">
        <v>0.155</v>
      </c>
      <c r="K42" s="301">
        <v>-5.0500000000000003E-2</v>
      </c>
      <c r="L42" s="301">
        <v>-1.8499999999999999E-2</v>
      </c>
      <c r="M42" s="301">
        <v>-0.29249999999999998</v>
      </c>
      <c r="N42" s="301">
        <v>6.0000000000000001E-3</v>
      </c>
      <c r="O42" s="301">
        <v>-7.4999999999999997E-3</v>
      </c>
      <c r="P42" s="298">
        <v>-2.5000000000000001E-2</v>
      </c>
      <c r="Q42" s="298">
        <v>-0.06</v>
      </c>
      <c r="R42" s="298">
        <v>-2.5250000000000002E-2</v>
      </c>
      <c r="S42" s="298">
        <v>-6.25E-2</v>
      </c>
      <c r="T42" s="298">
        <v>-0.1125</v>
      </c>
      <c r="U42" s="298">
        <v>0.25750000000000001</v>
      </c>
      <c r="V42" s="298">
        <v>6.0000000000000001E-3</v>
      </c>
      <c r="W42" s="298">
        <v>-0.18</v>
      </c>
      <c r="X42" s="298">
        <v>-2.0500000000000001E-2</v>
      </c>
      <c r="Y42" s="313">
        <v>0.18</v>
      </c>
      <c r="Z42" s="313">
        <v>7.0000000000000001E-3</v>
      </c>
      <c r="AA42" s="445">
        <v>0.20799999999999999</v>
      </c>
      <c r="AB42" s="445">
        <v>0.20399999999999999</v>
      </c>
      <c r="AC42" s="445">
        <v>0.20799999999999999</v>
      </c>
      <c r="AD42" s="445">
        <v>0.20799999999999999</v>
      </c>
      <c r="AE42" s="445">
        <v>0.20399999999999999</v>
      </c>
      <c r="AF42" s="445">
        <v>0.20799999999999999</v>
      </c>
      <c r="AG42" s="445">
        <v>0.20799999999999999</v>
      </c>
      <c r="AH42" s="445">
        <v>0.20799999999999999</v>
      </c>
      <c r="AI42" s="446">
        <v>0.20799999999999999</v>
      </c>
      <c r="AJ42" s="446">
        <v>0.20799999999999999</v>
      </c>
      <c r="AK42" s="446">
        <v>0.20799999999999999</v>
      </c>
      <c r="AL42" s="445">
        <v>0.20799999999999999</v>
      </c>
      <c r="AM42" s="312">
        <v>7.0607138324170995E-2</v>
      </c>
      <c r="AN42" s="312"/>
      <c r="AO42" s="313">
        <f t="shared" si="4"/>
        <v>0.20399999999999999</v>
      </c>
      <c r="AP42" s="313">
        <f t="shared" si="5"/>
        <v>0.20399999999999999</v>
      </c>
      <c r="AQ42" s="316">
        <f t="shared" si="6"/>
        <v>0.20399999999999999</v>
      </c>
      <c r="IU42" s="315">
        <f t="shared" si="2"/>
        <v>37469</v>
      </c>
      <c r="IV42" s="298">
        <v>31</v>
      </c>
    </row>
    <row r="43" spans="1:256" x14ac:dyDescent="0.25">
      <c r="A43" s="326"/>
      <c r="B43" s="303">
        <f t="shared" si="3"/>
        <v>37469</v>
      </c>
      <c r="C43" s="301">
        <v>2.673</v>
      </c>
      <c r="D43" s="301">
        <v>0.20699999999999999</v>
      </c>
      <c r="E43" s="301">
        <v>7.0832031380218999E-2</v>
      </c>
      <c r="F43" s="301">
        <v>-0.12</v>
      </c>
      <c r="G43" s="301">
        <v>2.5000000000000001E-2</v>
      </c>
      <c r="H43" s="301">
        <v>-0.12</v>
      </c>
      <c r="I43" s="301">
        <v>3.5000000000000003E-2</v>
      </c>
      <c r="J43" s="301">
        <v>0.155</v>
      </c>
      <c r="K43" s="301">
        <v>-5.0500000000000003E-2</v>
      </c>
      <c r="L43" s="301">
        <v>-1.8499999999999999E-2</v>
      </c>
      <c r="M43" s="301">
        <v>-0.29249999999999998</v>
      </c>
      <c r="N43" s="301">
        <v>6.0000000000000001E-3</v>
      </c>
      <c r="O43" s="301">
        <v>-7.4999999999999997E-3</v>
      </c>
      <c r="P43" s="298">
        <v>-2.5000000000000001E-2</v>
      </c>
      <c r="Q43" s="298">
        <v>-0.06</v>
      </c>
      <c r="R43" s="298">
        <v>-2.5250000000000002E-2</v>
      </c>
      <c r="S43" s="298">
        <v>-6.25E-2</v>
      </c>
      <c r="T43" s="298">
        <v>-0.1125</v>
      </c>
      <c r="U43" s="298">
        <v>0.25750000000000001</v>
      </c>
      <c r="V43" s="298">
        <v>6.0000000000000001E-3</v>
      </c>
      <c r="W43" s="298">
        <v>-0.18</v>
      </c>
      <c r="X43" s="298">
        <v>-2.0500000000000001E-2</v>
      </c>
      <c r="Y43" s="313">
        <v>0.18</v>
      </c>
      <c r="Z43" s="313">
        <v>7.0000000000000001E-3</v>
      </c>
      <c r="AA43" s="445">
        <v>0.20699999999999999</v>
      </c>
      <c r="AB43" s="445">
        <v>0.20300000000000001</v>
      </c>
      <c r="AC43" s="445">
        <v>0.20699999999999999</v>
      </c>
      <c r="AD43" s="445">
        <v>0.20699999999999999</v>
      </c>
      <c r="AE43" s="445">
        <v>0.20300000000000001</v>
      </c>
      <c r="AF43" s="445">
        <v>0.20699999999999999</v>
      </c>
      <c r="AG43" s="445">
        <v>0.20699999999999999</v>
      </c>
      <c r="AH43" s="445">
        <v>0.20699999999999999</v>
      </c>
      <c r="AI43" s="446">
        <v>0.20699999999999999</v>
      </c>
      <c r="AJ43" s="446">
        <v>0.20699999999999999</v>
      </c>
      <c r="AK43" s="446">
        <v>0.20699999999999999</v>
      </c>
      <c r="AL43" s="445">
        <v>0.20699999999999999</v>
      </c>
      <c r="AM43" s="312">
        <v>7.0657357079530997E-2</v>
      </c>
      <c r="AN43" s="312"/>
      <c r="AO43" s="313">
        <f t="shared" si="4"/>
        <v>0.20300000000000001</v>
      </c>
      <c r="AP43" s="313">
        <f t="shared" si="5"/>
        <v>0.20300000000000001</v>
      </c>
      <c r="AQ43" s="316">
        <f t="shared" si="6"/>
        <v>0.20300000000000001</v>
      </c>
      <c r="IU43" s="315">
        <f t="shared" si="2"/>
        <v>37500</v>
      </c>
      <c r="IV43" s="298">
        <v>32</v>
      </c>
    </row>
    <row r="44" spans="1:256" x14ac:dyDescent="0.25">
      <c r="A44" s="326"/>
      <c r="B44" s="303">
        <f t="shared" si="3"/>
        <v>37500</v>
      </c>
      <c r="C44" s="301">
        <v>2.677</v>
      </c>
      <c r="D44" s="301">
        <v>0.20599999999999999</v>
      </c>
      <c r="E44" s="301">
        <v>7.0891090126628004E-2</v>
      </c>
      <c r="F44" s="301">
        <v>-0.12</v>
      </c>
      <c r="G44" s="301">
        <v>1.7500000000000002E-2</v>
      </c>
      <c r="H44" s="301">
        <v>-0.12</v>
      </c>
      <c r="I44" s="301">
        <v>3.2500000000000001E-2</v>
      </c>
      <c r="J44" s="301">
        <v>0.155</v>
      </c>
      <c r="K44" s="301">
        <v>-5.2999999999999999E-2</v>
      </c>
      <c r="L44" s="301">
        <v>-2.1000000000000001E-2</v>
      </c>
      <c r="M44" s="301">
        <v>-0.29249999999999998</v>
      </c>
      <c r="N44" s="301">
        <v>6.0000000000000001E-3</v>
      </c>
      <c r="O44" s="301">
        <v>-7.4999999999999997E-3</v>
      </c>
      <c r="P44" s="298">
        <v>-2.5000000000000001E-2</v>
      </c>
      <c r="Q44" s="298">
        <v>-0.06</v>
      </c>
      <c r="R44" s="298">
        <v>-2.2749999999999999E-2</v>
      </c>
      <c r="S44" s="298">
        <v>-7.0000000000000007E-2</v>
      </c>
      <c r="T44" s="298">
        <v>-0.1125</v>
      </c>
      <c r="U44" s="298">
        <v>0.2525</v>
      </c>
      <c r="V44" s="298">
        <v>6.0000000000000001E-3</v>
      </c>
      <c r="W44" s="298">
        <v>-0.18</v>
      </c>
      <c r="X44" s="298">
        <v>-2.3E-2</v>
      </c>
      <c r="Y44" s="313">
        <v>0.18</v>
      </c>
      <c r="Z44" s="313">
        <v>7.0000000000000001E-3</v>
      </c>
      <c r="AA44" s="445">
        <v>0.20599999999999999</v>
      </c>
      <c r="AB44" s="445">
        <v>0.20200000000000001</v>
      </c>
      <c r="AC44" s="445">
        <v>0.20599999999999999</v>
      </c>
      <c r="AD44" s="445">
        <v>0.20599999999999999</v>
      </c>
      <c r="AE44" s="445">
        <v>0.20200000000000001</v>
      </c>
      <c r="AF44" s="445">
        <v>0.20599999999999999</v>
      </c>
      <c r="AG44" s="445">
        <v>0.20599999999999999</v>
      </c>
      <c r="AH44" s="445">
        <v>0.20599999999999999</v>
      </c>
      <c r="AI44" s="446">
        <v>0.20599999999999999</v>
      </c>
      <c r="AJ44" s="446">
        <v>0.20599999999999999</v>
      </c>
      <c r="AK44" s="446">
        <v>0.20599999999999999</v>
      </c>
      <c r="AL44" s="445">
        <v>0.20599999999999999</v>
      </c>
      <c r="AM44" s="312">
        <v>7.0707575835724998E-2</v>
      </c>
      <c r="AN44" s="312"/>
      <c r="AO44" s="313">
        <f t="shared" si="4"/>
        <v>0.20200000000000001</v>
      </c>
      <c r="AP44" s="313">
        <f t="shared" si="5"/>
        <v>0.20200000000000001</v>
      </c>
      <c r="AQ44" s="316">
        <f t="shared" si="6"/>
        <v>0.20200000000000001</v>
      </c>
      <c r="IU44" s="315">
        <f t="shared" si="2"/>
        <v>37530</v>
      </c>
      <c r="IV44" s="298">
        <v>33</v>
      </c>
    </row>
    <row r="45" spans="1:256" x14ac:dyDescent="0.25">
      <c r="A45" s="326"/>
      <c r="B45" s="303">
        <f t="shared" si="3"/>
        <v>37530</v>
      </c>
      <c r="C45" s="301">
        <v>2.7040000000000002</v>
      </c>
      <c r="D45" s="301">
        <v>0.20699999999999999</v>
      </c>
      <c r="E45" s="301">
        <v>7.0939885012366005E-2</v>
      </c>
      <c r="F45" s="301">
        <v>-0.12</v>
      </c>
      <c r="G45" s="301">
        <v>7.4999999999999997E-3</v>
      </c>
      <c r="H45" s="301">
        <v>-0.12</v>
      </c>
      <c r="I45" s="301">
        <v>4.7500000000000001E-2</v>
      </c>
      <c r="J45" s="301">
        <v>0.1575</v>
      </c>
      <c r="K45" s="301">
        <v>-5.2999999999999999E-2</v>
      </c>
      <c r="L45" s="301">
        <v>-2.1000000000000001E-2</v>
      </c>
      <c r="M45" s="301">
        <v>-0.29249999999999998</v>
      </c>
      <c r="N45" s="301">
        <v>6.0000000000000001E-3</v>
      </c>
      <c r="O45" s="301">
        <v>-7.4999999999999997E-3</v>
      </c>
      <c r="P45" s="298">
        <v>-2.5000000000000001E-2</v>
      </c>
      <c r="Q45" s="298">
        <v>-0.06</v>
      </c>
      <c r="R45" s="298">
        <v>-2.2749999999999999E-2</v>
      </c>
      <c r="S45" s="298">
        <v>-7.0000000000000007E-2</v>
      </c>
      <c r="T45" s="298">
        <v>-0.1125</v>
      </c>
      <c r="U45" s="298">
        <v>0.255</v>
      </c>
      <c r="V45" s="298">
        <v>6.0000000000000001E-3</v>
      </c>
      <c r="W45" s="298">
        <v>-0.18</v>
      </c>
      <c r="X45" s="298">
        <v>-2.3E-2</v>
      </c>
      <c r="Y45" s="313">
        <v>0.18</v>
      </c>
      <c r="Z45" s="313">
        <v>7.0000000000000001E-3</v>
      </c>
      <c r="AA45" s="445">
        <v>0.20699999999999999</v>
      </c>
      <c r="AB45" s="445">
        <v>0.20300000000000001</v>
      </c>
      <c r="AC45" s="445">
        <v>0.20699999999999999</v>
      </c>
      <c r="AD45" s="445">
        <v>0.20699999999999999</v>
      </c>
      <c r="AE45" s="445">
        <v>0.20300000000000001</v>
      </c>
      <c r="AF45" s="445">
        <v>0.20699999999999999</v>
      </c>
      <c r="AG45" s="445">
        <v>0.20699999999999999</v>
      </c>
      <c r="AH45" s="445">
        <v>0.20699999999999999</v>
      </c>
      <c r="AI45" s="446">
        <v>0.20699999999999999</v>
      </c>
      <c r="AJ45" s="446">
        <v>0.20699999999999999</v>
      </c>
      <c r="AK45" s="446">
        <v>0.20699999999999999</v>
      </c>
      <c r="AL45" s="445">
        <v>0.20699999999999999</v>
      </c>
      <c r="AM45" s="312">
        <v>7.0749832618778E-2</v>
      </c>
      <c r="AN45" s="312"/>
      <c r="AO45" s="313">
        <f t="shared" si="4"/>
        <v>0.20300000000000001</v>
      </c>
      <c r="AP45" s="313">
        <f t="shared" si="5"/>
        <v>0.20300000000000001</v>
      </c>
      <c r="AQ45" s="316">
        <f t="shared" si="6"/>
        <v>0.20300000000000001</v>
      </c>
      <c r="IU45" s="315">
        <f t="shared" si="2"/>
        <v>37561</v>
      </c>
      <c r="IV45" s="298">
        <v>34</v>
      </c>
    </row>
    <row r="46" spans="1:256" x14ac:dyDescent="0.25">
      <c r="A46" s="326"/>
      <c r="B46" s="303">
        <f t="shared" si="3"/>
        <v>37561</v>
      </c>
      <c r="C46" s="301">
        <v>2.8370000000000002</v>
      </c>
      <c r="D46" s="301">
        <v>0.20749999999999999</v>
      </c>
      <c r="E46" s="301">
        <v>7.0978298251152996E-2</v>
      </c>
      <c r="F46" s="301">
        <v>-0.125</v>
      </c>
      <c r="G46" s="301">
        <v>-3.2500000000000001E-2</v>
      </c>
      <c r="H46" s="301">
        <v>-0.125</v>
      </c>
      <c r="I46" s="301">
        <v>0.1075</v>
      </c>
      <c r="J46" s="301">
        <v>0.24</v>
      </c>
      <c r="K46" s="301">
        <v>-6.4500000000000002E-2</v>
      </c>
      <c r="L46" s="301">
        <v>-2.5999999999999999E-2</v>
      </c>
      <c r="M46" s="301">
        <v>-0.24249999999999999</v>
      </c>
      <c r="N46" s="301">
        <v>7.4999999999999997E-3</v>
      </c>
      <c r="O46" s="301">
        <v>-3.0000000000000001E-3</v>
      </c>
      <c r="P46" s="298">
        <v>-2.8000000000000001E-2</v>
      </c>
      <c r="Q46" s="298">
        <v>-0.06</v>
      </c>
      <c r="R46" s="298">
        <v>-4.2500000000000003E-2</v>
      </c>
      <c r="S46" s="298">
        <v>-8.5000000000000006E-2</v>
      </c>
      <c r="T46" s="298">
        <v>-0.1525</v>
      </c>
      <c r="U46" s="298">
        <v>0.72</v>
      </c>
      <c r="V46" s="298">
        <v>6.0000000000000001E-3</v>
      </c>
      <c r="W46" s="298">
        <v>-0.1925</v>
      </c>
      <c r="X46" s="298">
        <v>-2.0500000000000001E-2</v>
      </c>
      <c r="Y46" s="313">
        <v>8.5000000000000006E-2</v>
      </c>
      <c r="Z46" s="313">
        <v>1.6500000000000001E-2</v>
      </c>
      <c r="AA46" s="445">
        <v>0.20799999999999999</v>
      </c>
      <c r="AB46" s="445">
        <v>0.22800000000000001</v>
      </c>
      <c r="AC46" s="445">
        <v>0.20799999999999999</v>
      </c>
      <c r="AD46" s="445">
        <v>0.20799999999999999</v>
      </c>
      <c r="AE46" s="445">
        <v>0.20799999999999999</v>
      </c>
      <c r="AF46" s="445">
        <v>0.20799999999999999</v>
      </c>
      <c r="AG46" s="445">
        <v>0.20799999999999999</v>
      </c>
      <c r="AH46" s="445">
        <v>0.20799999999999999</v>
      </c>
      <c r="AI46" s="446">
        <v>0.20799999999999999</v>
      </c>
      <c r="AJ46" s="446">
        <v>0.20799999999999999</v>
      </c>
      <c r="AK46" s="446">
        <v>0.20799999999999999</v>
      </c>
      <c r="AL46" s="445">
        <v>0.20799999999999999</v>
      </c>
      <c r="AM46" s="312">
        <v>7.0784386975935004E-2</v>
      </c>
      <c r="AN46" s="312"/>
      <c r="AO46" s="313">
        <f t="shared" si="4"/>
        <v>0.22800000000000001</v>
      </c>
      <c r="AP46" s="313">
        <f t="shared" si="5"/>
        <v>0.22800000000000001</v>
      </c>
      <c r="AQ46" s="316">
        <f t="shared" si="6"/>
        <v>0.22800000000000001</v>
      </c>
      <c r="IU46" s="315">
        <f t="shared" si="2"/>
        <v>37591</v>
      </c>
      <c r="IV46" s="298">
        <v>35</v>
      </c>
    </row>
    <row r="47" spans="1:256" x14ac:dyDescent="0.25">
      <c r="A47" s="326"/>
      <c r="B47" s="303">
        <f t="shared" si="3"/>
        <v>37591</v>
      </c>
      <c r="C47" s="301">
        <v>2.96</v>
      </c>
      <c r="D47" s="301">
        <v>0.21</v>
      </c>
      <c r="E47" s="301">
        <v>7.1015472353670006E-2</v>
      </c>
      <c r="F47" s="301">
        <v>-0.1275</v>
      </c>
      <c r="G47" s="301">
        <v>-5.5E-2</v>
      </c>
      <c r="H47" s="301">
        <v>-0.1275</v>
      </c>
      <c r="I47" s="301">
        <v>0.14749999999999999</v>
      </c>
      <c r="J47" s="301">
        <v>0.29499999999999998</v>
      </c>
      <c r="K47" s="301">
        <v>-6.4500000000000002E-2</v>
      </c>
      <c r="L47" s="301">
        <v>-2.8500000000000001E-2</v>
      </c>
      <c r="M47" s="301">
        <v>-0.24249999999999999</v>
      </c>
      <c r="N47" s="301">
        <v>7.4999999999999997E-3</v>
      </c>
      <c r="O47" s="301">
        <v>-3.0000000000000001E-3</v>
      </c>
      <c r="P47" s="298">
        <v>-2.8000000000000001E-2</v>
      </c>
      <c r="Q47" s="298">
        <v>-0.06</v>
      </c>
      <c r="R47" s="298">
        <v>-4.2500000000000003E-2</v>
      </c>
      <c r="S47" s="298">
        <v>-0.1</v>
      </c>
      <c r="T47" s="298">
        <v>-0.1525</v>
      </c>
      <c r="U47" s="298">
        <v>1.1625000000000001</v>
      </c>
      <c r="V47" s="298">
        <v>6.0000000000000001E-3</v>
      </c>
      <c r="W47" s="298">
        <v>-0.1925</v>
      </c>
      <c r="X47" s="298">
        <v>-2.0500000000000001E-2</v>
      </c>
      <c r="Y47" s="313">
        <v>8.5000000000000006E-2</v>
      </c>
      <c r="Z47" s="313">
        <v>1.6500000000000001E-2</v>
      </c>
      <c r="AA47" s="445">
        <v>0.21</v>
      </c>
      <c r="AB47" s="445">
        <v>0.23100000000000001</v>
      </c>
      <c r="AC47" s="445">
        <v>0.21</v>
      </c>
      <c r="AD47" s="445">
        <v>0.21</v>
      </c>
      <c r="AE47" s="445">
        <v>0.21</v>
      </c>
      <c r="AF47" s="445">
        <v>0.21</v>
      </c>
      <c r="AG47" s="445">
        <v>0.21</v>
      </c>
      <c r="AH47" s="445">
        <v>0.21</v>
      </c>
      <c r="AI47" s="446">
        <v>0.21</v>
      </c>
      <c r="AJ47" s="446">
        <v>0.21</v>
      </c>
      <c r="AK47" s="446">
        <v>0.21</v>
      </c>
      <c r="AL47" s="445">
        <v>0.21</v>
      </c>
      <c r="AM47" s="312">
        <v>7.0817826676785003E-2</v>
      </c>
      <c r="AN47" s="312"/>
      <c r="AO47" s="313">
        <f t="shared" si="4"/>
        <v>0.23100000000000001</v>
      </c>
      <c r="AP47" s="313">
        <f t="shared" si="5"/>
        <v>0.23100000000000001</v>
      </c>
      <c r="AQ47" s="316">
        <f t="shared" si="6"/>
        <v>0.23100000000000001</v>
      </c>
      <c r="IU47" s="315">
        <f t="shared" si="2"/>
        <v>37622</v>
      </c>
      <c r="IV47" s="298">
        <v>36</v>
      </c>
    </row>
    <row r="48" spans="1:256" x14ac:dyDescent="0.25">
      <c r="A48" s="326"/>
      <c r="B48" s="303">
        <f t="shared" si="3"/>
        <v>37622</v>
      </c>
      <c r="C48" s="301">
        <v>2.99</v>
      </c>
      <c r="D48" s="301">
        <v>0.21299999999999999</v>
      </c>
      <c r="E48" s="301">
        <v>7.1054325431098006E-2</v>
      </c>
      <c r="F48" s="301">
        <v>-0.13</v>
      </c>
      <c r="G48" s="301">
        <v>-5.7500000000000002E-2</v>
      </c>
      <c r="H48" s="301">
        <v>-0.13</v>
      </c>
      <c r="I48" s="301">
        <v>0.16</v>
      </c>
      <c r="J48" s="301">
        <v>0.34250000000000003</v>
      </c>
      <c r="K48" s="301">
        <v>-6.8500000000000005E-2</v>
      </c>
      <c r="L48" s="301">
        <v>-2.2499999999999999E-2</v>
      </c>
      <c r="M48" s="301">
        <v>-0.24249999999999999</v>
      </c>
      <c r="N48" s="301">
        <v>7.4999999999999997E-3</v>
      </c>
      <c r="O48" s="301">
        <v>-3.0000000000000001E-3</v>
      </c>
      <c r="P48" s="298">
        <v>-2.5499999999999998E-2</v>
      </c>
      <c r="Q48" s="298">
        <v>-0.06</v>
      </c>
      <c r="R48" s="298">
        <v>-4.2500000000000003E-2</v>
      </c>
      <c r="S48" s="298">
        <v>-0.11</v>
      </c>
      <c r="T48" s="298">
        <v>-0.1525</v>
      </c>
      <c r="U48" s="298">
        <v>1.39</v>
      </c>
      <c r="V48" s="298">
        <v>5.0000000000000001E-3</v>
      </c>
      <c r="W48" s="298">
        <v>-0.1925</v>
      </c>
      <c r="X48" s="298">
        <v>-2.0500000000000001E-2</v>
      </c>
      <c r="Y48" s="313">
        <v>8.5000000000000006E-2</v>
      </c>
      <c r="Z48" s="313">
        <v>1.6500000000000001E-2</v>
      </c>
      <c r="AA48" s="445">
        <v>0.21299999999999999</v>
      </c>
      <c r="AB48" s="445">
        <v>0.21299999999999999</v>
      </c>
      <c r="AC48" s="445">
        <v>0.21299999999999999</v>
      </c>
      <c r="AD48" s="445">
        <v>0.21299999999999999</v>
      </c>
      <c r="AE48" s="445">
        <v>0.21299999999999999</v>
      </c>
      <c r="AF48" s="445">
        <v>0.21299999999999999</v>
      </c>
      <c r="AG48" s="445">
        <v>0.21299999999999999</v>
      </c>
      <c r="AH48" s="445">
        <v>0.21299999999999999</v>
      </c>
      <c r="AI48" s="446">
        <v>0.21299999999999999</v>
      </c>
      <c r="AJ48" s="446">
        <v>0.21299999999999999</v>
      </c>
      <c r="AK48" s="446">
        <v>0.21299999999999999</v>
      </c>
      <c r="AL48" s="445">
        <v>0.21299999999999999</v>
      </c>
      <c r="AM48" s="312">
        <v>7.0853105346134995E-2</v>
      </c>
      <c r="AN48" s="312"/>
      <c r="AO48" s="313">
        <f t="shared" si="4"/>
        <v>0.21299999999999999</v>
      </c>
      <c r="AP48" s="313">
        <f t="shared" si="5"/>
        <v>0.21299999999999999</v>
      </c>
      <c r="AQ48" s="316">
        <f t="shared" si="6"/>
        <v>0.21299999999999999</v>
      </c>
      <c r="IU48" s="315">
        <f t="shared" si="2"/>
        <v>37653</v>
      </c>
      <c r="IV48" s="298">
        <v>37</v>
      </c>
    </row>
    <row r="49" spans="1:256" x14ac:dyDescent="0.25">
      <c r="A49" s="326"/>
      <c r="B49" s="303">
        <f t="shared" ref="B49:B80" si="7">EOMONTH(B48,0)+1</f>
        <v>37653</v>
      </c>
      <c r="C49" s="301">
        <v>2.8769999999999998</v>
      </c>
      <c r="D49" s="301">
        <v>0.21</v>
      </c>
      <c r="E49" s="301">
        <v>7.1093712597645006E-2</v>
      </c>
      <c r="F49" s="301">
        <v>-0.13250000000000001</v>
      </c>
      <c r="G49" s="301">
        <v>-0.04</v>
      </c>
      <c r="H49" s="301">
        <v>-0.13250000000000001</v>
      </c>
      <c r="I49" s="301">
        <v>0.13750000000000001</v>
      </c>
      <c r="J49" s="301">
        <v>0.33750000000000002</v>
      </c>
      <c r="K49" s="301">
        <v>-6.4500000000000002E-2</v>
      </c>
      <c r="L49" s="301">
        <v>-2.8500000000000001E-2</v>
      </c>
      <c r="M49" s="301">
        <v>-0.24249999999999999</v>
      </c>
      <c r="N49" s="301">
        <v>7.4999999999999997E-3</v>
      </c>
      <c r="O49" s="301">
        <v>-3.0000000000000001E-3</v>
      </c>
      <c r="P49" s="298">
        <v>-2.5499999999999998E-2</v>
      </c>
      <c r="Q49" s="298">
        <v>-0.06</v>
      </c>
      <c r="R49" s="298">
        <v>-4.2500000000000003E-2</v>
      </c>
      <c r="S49" s="298">
        <v>-9.7500000000000003E-2</v>
      </c>
      <c r="T49" s="298">
        <v>-0.1525</v>
      </c>
      <c r="U49" s="298">
        <v>1.37</v>
      </c>
      <c r="V49" s="298">
        <v>5.0000000000000001E-3</v>
      </c>
      <c r="W49" s="298">
        <v>-0.1925</v>
      </c>
      <c r="X49" s="298">
        <v>-2.0500000000000001E-2</v>
      </c>
      <c r="Y49" s="313">
        <v>8.5000000000000006E-2</v>
      </c>
      <c r="Z49" s="313">
        <v>1.6500000000000001E-2</v>
      </c>
      <c r="AA49" s="445">
        <v>0.21</v>
      </c>
      <c r="AB49" s="445">
        <v>0.23100000000000001</v>
      </c>
      <c r="AC49" s="445">
        <v>0.21</v>
      </c>
      <c r="AD49" s="445">
        <v>0.21</v>
      </c>
      <c r="AE49" s="445">
        <v>0.21</v>
      </c>
      <c r="AF49" s="445">
        <v>0.21</v>
      </c>
      <c r="AG49" s="445">
        <v>0.21</v>
      </c>
      <c r="AH49" s="445">
        <v>0.21</v>
      </c>
      <c r="AI49" s="446">
        <v>0.21</v>
      </c>
      <c r="AJ49" s="446">
        <v>0.21</v>
      </c>
      <c r="AK49" s="446">
        <v>0.21</v>
      </c>
      <c r="AL49" s="445">
        <v>0.21</v>
      </c>
      <c r="AM49" s="312">
        <v>7.0889263536912994E-2</v>
      </c>
      <c r="AN49" s="312"/>
      <c r="AO49" s="313">
        <f t="shared" si="4"/>
        <v>0.23100000000000001</v>
      </c>
      <c r="AP49" s="313">
        <f t="shared" si="5"/>
        <v>0.23100000000000001</v>
      </c>
      <c r="AQ49" s="316">
        <f t="shared" si="6"/>
        <v>0.23100000000000001</v>
      </c>
      <c r="IU49" s="315">
        <f t="shared" si="2"/>
        <v>37681</v>
      </c>
      <c r="IV49" s="298">
        <v>38</v>
      </c>
    </row>
    <row r="50" spans="1:256" x14ac:dyDescent="0.25">
      <c r="A50" s="326"/>
      <c r="B50" s="303">
        <f t="shared" si="7"/>
        <v>37681</v>
      </c>
      <c r="C50" s="301">
        <v>2.762</v>
      </c>
      <c r="D50" s="301">
        <v>0.2</v>
      </c>
      <c r="E50" s="301">
        <v>7.1129288103354005E-2</v>
      </c>
      <c r="F50" s="301">
        <v>-0.13500000000000001</v>
      </c>
      <c r="G50" s="301">
        <v>-2.75E-2</v>
      </c>
      <c r="H50" s="301">
        <v>-0.13500000000000001</v>
      </c>
      <c r="I50" s="301">
        <v>0.13500000000000001</v>
      </c>
      <c r="J50" s="301">
        <v>0.26</v>
      </c>
      <c r="K50" s="301">
        <v>-6.6000000000000003E-2</v>
      </c>
      <c r="L50" s="301">
        <v>-3.15E-2</v>
      </c>
      <c r="M50" s="301">
        <v>-0.24249999999999999</v>
      </c>
      <c r="N50" s="301">
        <v>7.4999999999999997E-3</v>
      </c>
      <c r="O50" s="301">
        <v>-3.0000000000000001E-3</v>
      </c>
      <c r="P50" s="298">
        <v>-2.5499999999999998E-2</v>
      </c>
      <c r="Q50" s="298">
        <v>-0.06</v>
      </c>
      <c r="R50" s="298">
        <v>-4.2500000000000003E-2</v>
      </c>
      <c r="S50" s="298">
        <v>-8.5000000000000006E-2</v>
      </c>
      <c r="T50" s="298">
        <v>-0.1525</v>
      </c>
      <c r="U50" s="298">
        <v>0.85750000000000004</v>
      </c>
      <c r="V50" s="298">
        <v>5.0000000000000001E-3</v>
      </c>
      <c r="W50" s="298">
        <v>-0.1925</v>
      </c>
      <c r="X50" s="298">
        <v>-2.0500000000000001E-2</v>
      </c>
      <c r="Y50" s="313">
        <v>8.5000000000000006E-2</v>
      </c>
      <c r="Z50" s="313">
        <v>1.6500000000000001E-2</v>
      </c>
      <c r="AA50" s="445">
        <v>0.2</v>
      </c>
      <c r="AB50" s="445">
        <v>0.22</v>
      </c>
      <c r="AC50" s="445">
        <v>0.2</v>
      </c>
      <c r="AD50" s="445">
        <v>0.2</v>
      </c>
      <c r="AE50" s="445">
        <v>0.2</v>
      </c>
      <c r="AF50" s="445">
        <v>0.2</v>
      </c>
      <c r="AG50" s="445">
        <v>0.2</v>
      </c>
      <c r="AH50" s="445">
        <v>0.2</v>
      </c>
      <c r="AI50" s="446">
        <v>0.2</v>
      </c>
      <c r="AJ50" s="446">
        <v>0.2</v>
      </c>
      <c r="AK50" s="446">
        <v>0.2</v>
      </c>
      <c r="AL50" s="445">
        <v>0.2</v>
      </c>
      <c r="AM50" s="312">
        <v>7.0921922548310007E-2</v>
      </c>
      <c r="AN50" s="312"/>
      <c r="AO50" s="313">
        <f t="shared" si="4"/>
        <v>0.22</v>
      </c>
      <c r="AP50" s="313">
        <f t="shared" si="5"/>
        <v>0.22</v>
      </c>
      <c r="AQ50" s="316">
        <f t="shared" si="6"/>
        <v>0.22</v>
      </c>
      <c r="IU50" s="315">
        <f t="shared" si="2"/>
        <v>37712</v>
      </c>
      <c r="IV50" s="298">
        <v>39</v>
      </c>
    </row>
    <row r="51" spans="1:256" x14ac:dyDescent="0.25">
      <c r="A51" s="326"/>
      <c r="B51" s="303">
        <f t="shared" si="7"/>
        <v>37712</v>
      </c>
      <c r="C51" s="301">
        <v>2.6619999999999999</v>
      </c>
      <c r="D51" s="301">
        <v>0.19800000000000001</v>
      </c>
      <c r="E51" s="301">
        <v>7.1157629247845994E-2</v>
      </c>
      <c r="F51" s="301">
        <v>-0.19500000000000001</v>
      </c>
      <c r="G51" s="301">
        <v>1.4999999999999999E-2</v>
      </c>
      <c r="H51" s="301">
        <v>-0.19500000000000001</v>
      </c>
      <c r="I51" s="301">
        <v>5.7500000000000002E-2</v>
      </c>
      <c r="J51" s="301">
        <v>0.17</v>
      </c>
      <c r="K51" s="301">
        <v>-7.5999999999999998E-2</v>
      </c>
      <c r="L51" s="301">
        <v>-4.3999999999999997E-2</v>
      </c>
      <c r="M51" s="301">
        <v>-0.29249999999999998</v>
      </c>
      <c r="N51" s="301">
        <v>6.0000000000000001E-3</v>
      </c>
      <c r="O51" s="301">
        <v>-5.4999999999999997E-3</v>
      </c>
      <c r="P51" s="298">
        <v>-2.75E-2</v>
      </c>
      <c r="Q51" s="298">
        <v>-5.7500000000000002E-2</v>
      </c>
      <c r="R51" s="298">
        <v>-2.2700000000000001E-2</v>
      </c>
      <c r="S51" s="298">
        <v>-6.7500000000000004E-2</v>
      </c>
      <c r="T51" s="298">
        <v>-0.11</v>
      </c>
      <c r="U51" s="298">
        <v>0.37</v>
      </c>
      <c r="V51" s="298">
        <v>5.0000000000000001E-3</v>
      </c>
      <c r="W51" s="298">
        <v>-0.17</v>
      </c>
      <c r="X51" s="298">
        <v>-2.0500000000000001E-2</v>
      </c>
      <c r="Y51" s="313">
        <v>0.19</v>
      </c>
      <c r="Z51" s="313">
        <v>8.9999999999999993E-3</v>
      </c>
      <c r="AA51" s="445">
        <v>0.19800000000000001</v>
      </c>
      <c r="AB51" s="445">
        <v>0.19400000000000001</v>
      </c>
      <c r="AC51" s="445">
        <v>0.19800000000000001</v>
      </c>
      <c r="AD51" s="445">
        <v>0.19800000000000001</v>
      </c>
      <c r="AE51" s="445">
        <v>0.19400000000000001</v>
      </c>
      <c r="AF51" s="445">
        <v>0.19800000000000001</v>
      </c>
      <c r="AG51" s="445">
        <v>0.19800000000000001</v>
      </c>
      <c r="AH51" s="445">
        <v>0.19800000000000001</v>
      </c>
      <c r="AI51" s="446">
        <v>0.19800000000000001</v>
      </c>
      <c r="AJ51" s="446">
        <v>0.19800000000000001</v>
      </c>
      <c r="AK51" s="446">
        <v>0.19800000000000001</v>
      </c>
      <c r="AL51" s="445">
        <v>0.19800000000000001</v>
      </c>
      <c r="AM51" s="312">
        <v>7.0947245774875003E-2</v>
      </c>
      <c r="AN51" s="312"/>
      <c r="AO51" s="313">
        <f t="shared" si="4"/>
        <v>0.19400000000000001</v>
      </c>
      <c r="AP51" s="313">
        <f t="shared" si="5"/>
        <v>0.19400000000000001</v>
      </c>
      <c r="AQ51" s="316">
        <f t="shared" si="6"/>
        <v>0.19400000000000001</v>
      </c>
      <c r="IU51" s="315">
        <f t="shared" si="2"/>
        <v>37742</v>
      </c>
      <c r="IV51" s="298">
        <v>40</v>
      </c>
    </row>
    <row r="52" spans="1:256" x14ac:dyDescent="0.25">
      <c r="A52" s="326"/>
      <c r="B52" s="303">
        <f t="shared" si="7"/>
        <v>37742</v>
      </c>
      <c r="C52" s="301">
        <v>2.6844999999999999</v>
      </c>
      <c r="D52" s="301">
        <v>0.19700000000000001</v>
      </c>
      <c r="E52" s="301">
        <v>7.1170719102353994E-2</v>
      </c>
      <c r="F52" s="301">
        <v>-0.19500000000000001</v>
      </c>
      <c r="G52" s="301">
        <v>1.4999999999999999E-2</v>
      </c>
      <c r="H52" s="301">
        <v>-0.19500000000000001</v>
      </c>
      <c r="I52" s="301">
        <v>4.7500000000000001E-2</v>
      </c>
      <c r="J52" s="301">
        <v>0.155</v>
      </c>
      <c r="K52" s="301">
        <v>-5.0999999999999997E-2</v>
      </c>
      <c r="L52" s="301">
        <v>-1.9E-2</v>
      </c>
      <c r="M52" s="301">
        <v>-0.29249999999999998</v>
      </c>
      <c r="N52" s="301">
        <v>6.0000000000000001E-3</v>
      </c>
      <c r="O52" s="301">
        <v>-5.4999999999999997E-3</v>
      </c>
      <c r="P52" s="298">
        <v>-2.75E-2</v>
      </c>
      <c r="Q52" s="298">
        <v>-5.7500000000000002E-2</v>
      </c>
      <c r="R52" s="298">
        <v>-2.2749999999999999E-2</v>
      </c>
      <c r="S52" s="298">
        <v>-7.0000000000000007E-2</v>
      </c>
      <c r="T52" s="298">
        <v>-0.11</v>
      </c>
      <c r="U52" s="298">
        <v>0.2525</v>
      </c>
      <c r="V52" s="298">
        <v>5.0000000000000001E-3</v>
      </c>
      <c r="W52" s="298">
        <v>-0.17</v>
      </c>
      <c r="X52" s="298">
        <v>-1.7000000000000001E-2</v>
      </c>
      <c r="Y52" s="313">
        <v>0.19</v>
      </c>
      <c r="Z52" s="313">
        <v>8.9999999999999993E-3</v>
      </c>
      <c r="AA52" s="445">
        <v>0.19700000000000001</v>
      </c>
      <c r="AB52" s="445">
        <v>0.193</v>
      </c>
      <c r="AC52" s="445">
        <v>0.19700000000000001</v>
      </c>
      <c r="AD52" s="445">
        <v>0.19700000000000001</v>
      </c>
      <c r="AE52" s="445">
        <v>0.193</v>
      </c>
      <c r="AF52" s="445">
        <v>0.19700000000000001</v>
      </c>
      <c r="AG52" s="445">
        <v>0.19700000000000001</v>
      </c>
      <c r="AH52" s="445">
        <v>0.19700000000000001</v>
      </c>
      <c r="AI52" s="446">
        <v>0.19700000000000001</v>
      </c>
      <c r="AJ52" s="446">
        <v>0.19700000000000001</v>
      </c>
      <c r="AK52" s="446">
        <v>0.19700000000000001</v>
      </c>
      <c r="AL52" s="445">
        <v>0.19700000000000001</v>
      </c>
      <c r="AM52" s="312">
        <v>7.0957691615828003E-2</v>
      </c>
      <c r="AN52" s="312"/>
      <c r="AO52" s="313">
        <f t="shared" si="4"/>
        <v>0.193</v>
      </c>
      <c r="AP52" s="313">
        <f t="shared" si="5"/>
        <v>0.193</v>
      </c>
      <c r="AQ52" s="316">
        <f t="shared" si="6"/>
        <v>0.193</v>
      </c>
      <c r="IU52" s="315">
        <f t="shared" si="2"/>
        <v>37773</v>
      </c>
      <c r="IV52" s="298">
        <v>41</v>
      </c>
    </row>
    <row r="53" spans="1:256" x14ac:dyDescent="0.25">
      <c r="A53" s="326"/>
      <c r="B53" s="303">
        <f t="shared" si="7"/>
        <v>37773</v>
      </c>
      <c r="C53" s="301">
        <v>2.6915</v>
      </c>
      <c r="D53" s="301">
        <v>0.19700000000000001</v>
      </c>
      <c r="E53" s="301">
        <v>7.1184245285405998E-2</v>
      </c>
      <c r="F53" s="301">
        <v>-0.19500000000000001</v>
      </c>
      <c r="G53" s="301">
        <v>0.02</v>
      </c>
      <c r="H53" s="301">
        <v>-0.19500000000000001</v>
      </c>
      <c r="I53" s="301">
        <v>4.2500000000000003E-2</v>
      </c>
      <c r="J53" s="301">
        <v>0.155</v>
      </c>
      <c r="K53" s="301">
        <v>-4.8500000000000001E-2</v>
      </c>
      <c r="L53" s="301">
        <v>-1.6500000000000001E-2</v>
      </c>
      <c r="M53" s="301">
        <v>-0.29249999999999998</v>
      </c>
      <c r="N53" s="301">
        <v>6.0000000000000001E-3</v>
      </c>
      <c r="O53" s="301">
        <v>-5.4999999999999997E-3</v>
      </c>
      <c r="P53" s="298">
        <v>-2.5000000000000001E-2</v>
      </c>
      <c r="Q53" s="298">
        <v>-5.7500000000000002E-2</v>
      </c>
      <c r="R53" s="298">
        <v>-2.2749999999999999E-2</v>
      </c>
      <c r="S53" s="298">
        <v>-0.06</v>
      </c>
      <c r="T53" s="298">
        <v>-0.11</v>
      </c>
      <c r="U53" s="298">
        <v>0.2525</v>
      </c>
      <c r="V53" s="298">
        <v>5.0000000000000001E-3</v>
      </c>
      <c r="W53" s="298">
        <v>-0.17</v>
      </c>
      <c r="X53" s="298">
        <v>-1.95E-2</v>
      </c>
      <c r="Y53" s="313">
        <v>0.19</v>
      </c>
      <c r="Z53" s="313">
        <v>8.9999999999999993E-3</v>
      </c>
      <c r="AA53" s="445">
        <v>0.19700000000000001</v>
      </c>
      <c r="AB53" s="445">
        <v>0.193</v>
      </c>
      <c r="AC53" s="445">
        <v>0.19700000000000001</v>
      </c>
      <c r="AD53" s="445">
        <v>0.19700000000000001</v>
      </c>
      <c r="AE53" s="445">
        <v>0.193</v>
      </c>
      <c r="AF53" s="445">
        <v>0.19700000000000001</v>
      </c>
      <c r="AG53" s="445">
        <v>0.19700000000000001</v>
      </c>
      <c r="AH53" s="445">
        <v>0.19700000000000001</v>
      </c>
      <c r="AI53" s="446">
        <v>0.19700000000000001</v>
      </c>
      <c r="AJ53" s="446">
        <v>0.19700000000000001</v>
      </c>
      <c r="AK53" s="446">
        <v>0.19700000000000001</v>
      </c>
      <c r="AL53" s="445">
        <v>0.19700000000000001</v>
      </c>
      <c r="AM53" s="312">
        <v>7.0968485651517005E-2</v>
      </c>
      <c r="AN53" s="312"/>
      <c r="AO53" s="313">
        <f t="shared" si="4"/>
        <v>0.193</v>
      </c>
      <c r="AP53" s="313">
        <f t="shared" si="5"/>
        <v>0.193</v>
      </c>
      <c r="AQ53" s="316">
        <f t="shared" si="6"/>
        <v>0.193</v>
      </c>
      <c r="IU53" s="315">
        <f t="shared" si="2"/>
        <v>37803</v>
      </c>
      <c r="IV53" s="298">
        <v>42</v>
      </c>
    </row>
    <row r="54" spans="1:256" x14ac:dyDescent="0.25">
      <c r="A54" s="326"/>
      <c r="B54" s="303">
        <f t="shared" si="7"/>
        <v>37803</v>
      </c>
      <c r="C54" s="301">
        <v>2.6945000000000001</v>
      </c>
      <c r="D54" s="301">
        <v>0.19700000000000001</v>
      </c>
      <c r="E54" s="301">
        <v>7.1194130868950004E-2</v>
      </c>
      <c r="F54" s="301">
        <v>-0.19500000000000001</v>
      </c>
      <c r="G54" s="301">
        <v>2.2499999999999999E-2</v>
      </c>
      <c r="H54" s="301">
        <v>-0.19500000000000001</v>
      </c>
      <c r="I54" s="301">
        <v>3.2500000000000001E-2</v>
      </c>
      <c r="J54" s="301">
        <v>0.155</v>
      </c>
      <c r="K54" s="301">
        <v>-4.8500000000000001E-2</v>
      </c>
      <c r="L54" s="301">
        <v>-1.6500000000000001E-2</v>
      </c>
      <c r="M54" s="301">
        <v>-0.29249999999999998</v>
      </c>
      <c r="N54" s="301">
        <v>6.0000000000000001E-3</v>
      </c>
      <c r="O54" s="301">
        <v>-5.4999999999999997E-3</v>
      </c>
      <c r="P54" s="298">
        <v>-2.5000000000000001E-2</v>
      </c>
      <c r="Q54" s="298">
        <v>-5.7500000000000002E-2</v>
      </c>
      <c r="R54" s="298">
        <v>-2.2749999999999999E-2</v>
      </c>
      <c r="S54" s="298">
        <v>-0.06</v>
      </c>
      <c r="T54" s="298">
        <v>-0.11</v>
      </c>
      <c r="U54" s="298">
        <v>0.25750000000000001</v>
      </c>
      <c r="V54" s="298">
        <v>5.0000000000000001E-3</v>
      </c>
      <c r="W54" s="298">
        <v>-0.17</v>
      </c>
      <c r="X54" s="298">
        <v>-1.95E-2</v>
      </c>
      <c r="Y54" s="313">
        <v>0.19</v>
      </c>
      <c r="Z54" s="313">
        <v>8.9999999999999993E-3</v>
      </c>
      <c r="AA54" s="445">
        <v>0.19700000000000001</v>
      </c>
      <c r="AB54" s="445">
        <v>0.193</v>
      </c>
      <c r="AC54" s="445">
        <v>0.19700000000000001</v>
      </c>
      <c r="AD54" s="445">
        <v>0.19700000000000001</v>
      </c>
      <c r="AE54" s="445">
        <v>0.193</v>
      </c>
      <c r="AF54" s="445">
        <v>0.19700000000000001</v>
      </c>
      <c r="AG54" s="445">
        <v>0.19700000000000001</v>
      </c>
      <c r="AH54" s="445">
        <v>0.19700000000000001</v>
      </c>
      <c r="AI54" s="446">
        <v>0.19700000000000001</v>
      </c>
      <c r="AJ54" s="446">
        <v>0.19700000000000001</v>
      </c>
      <c r="AK54" s="446">
        <v>0.19700000000000001</v>
      </c>
      <c r="AL54" s="445">
        <v>0.19700000000000001</v>
      </c>
      <c r="AM54" s="312">
        <v>7.0978503184167999E-2</v>
      </c>
      <c r="AN54" s="312"/>
      <c r="AO54" s="313">
        <f t="shared" si="4"/>
        <v>0.193</v>
      </c>
      <c r="AP54" s="313">
        <f t="shared" si="5"/>
        <v>0.193</v>
      </c>
      <c r="AQ54" s="316">
        <f t="shared" si="6"/>
        <v>0.193</v>
      </c>
      <c r="IU54" s="315">
        <f t="shared" si="2"/>
        <v>37834</v>
      </c>
      <c r="IV54" s="298">
        <v>43</v>
      </c>
    </row>
    <row r="55" spans="1:256" x14ac:dyDescent="0.25">
      <c r="A55" s="326"/>
      <c r="B55" s="303">
        <f t="shared" si="7"/>
        <v>37834</v>
      </c>
      <c r="C55" s="301">
        <v>2.7004999999999999</v>
      </c>
      <c r="D55" s="301">
        <v>0.19700000000000001</v>
      </c>
      <c r="E55" s="301">
        <v>7.119973570523E-2</v>
      </c>
      <c r="F55" s="301">
        <v>-0.19500000000000001</v>
      </c>
      <c r="G55" s="301">
        <v>2.5000000000000001E-2</v>
      </c>
      <c r="H55" s="301">
        <v>-0.19500000000000001</v>
      </c>
      <c r="I55" s="301">
        <v>0.03</v>
      </c>
      <c r="J55" s="301">
        <v>0.155</v>
      </c>
      <c r="K55" s="301">
        <v>-4.8500000000000001E-2</v>
      </c>
      <c r="L55" s="301">
        <v>-1.6500000000000001E-2</v>
      </c>
      <c r="M55" s="301">
        <v>-0.29249999999999998</v>
      </c>
      <c r="N55" s="301">
        <v>6.0000000000000001E-3</v>
      </c>
      <c r="O55" s="301">
        <v>-5.4999999999999997E-3</v>
      </c>
      <c r="P55" s="298">
        <v>-2.5000000000000001E-2</v>
      </c>
      <c r="Q55" s="298">
        <v>-5.7500000000000002E-2</v>
      </c>
      <c r="R55" s="298">
        <v>-2.2749999999999999E-2</v>
      </c>
      <c r="S55" s="298">
        <v>-0.06</v>
      </c>
      <c r="T55" s="298">
        <v>-0.11</v>
      </c>
      <c r="U55" s="298">
        <v>0.25750000000000001</v>
      </c>
      <c r="V55" s="298">
        <v>5.0000000000000001E-3</v>
      </c>
      <c r="W55" s="298">
        <v>-0.17</v>
      </c>
      <c r="X55" s="298">
        <v>-1.95E-2</v>
      </c>
      <c r="Y55" s="313">
        <v>0.19</v>
      </c>
      <c r="Z55" s="313">
        <v>8.9999999999999993E-3</v>
      </c>
      <c r="AA55" s="445">
        <v>0.19700000000000001</v>
      </c>
      <c r="AB55" s="445">
        <v>0.193</v>
      </c>
      <c r="AC55" s="445">
        <v>0.19700000000000001</v>
      </c>
      <c r="AD55" s="445">
        <v>0.19700000000000001</v>
      </c>
      <c r="AE55" s="445">
        <v>0.193</v>
      </c>
      <c r="AF55" s="445">
        <v>0.19700000000000001</v>
      </c>
      <c r="AG55" s="445">
        <v>0.19700000000000001</v>
      </c>
      <c r="AH55" s="445">
        <v>0.19700000000000001</v>
      </c>
      <c r="AI55" s="446">
        <v>0.19700000000000001</v>
      </c>
      <c r="AJ55" s="446">
        <v>0.19700000000000001</v>
      </c>
      <c r="AK55" s="446">
        <v>0.19700000000000001</v>
      </c>
      <c r="AL55" s="445">
        <v>0.19700000000000001</v>
      </c>
      <c r="AM55" s="312">
        <v>7.0988238767577996E-2</v>
      </c>
      <c r="AN55" s="312"/>
      <c r="AO55" s="313">
        <f t="shared" si="4"/>
        <v>0.193</v>
      </c>
      <c r="AP55" s="313">
        <f t="shared" si="5"/>
        <v>0.193</v>
      </c>
      <c r="AQ55" s="316">
        <f t="shared" si="6"/>
        <v>0.193</v>
      </c>
      <c r="IU55" s="315">
        <f t="shared" si="2"/>
        <v>37865</v>
      </c>
      <c r="IV55" s="298">
        <v>44</v>
      </c>
    </row>
    <row r="56" spans="1:256" x14ac:dyDescent="0.25">
      <c r="A56" s="326"/>
      <c r="B56" s="303">
        <f t="shared" si="7"/>
        <v>37865</v>
      </c>
      <c r="C56" s="301">
        <v>2.7044999999999999</v>
      </c>
      <c r="D56" s="301">
        <v>0.19700000000000001</v>
      </c>
      <c r="E56" s="301">
        <v>7.1205340541522E-2</v>
      </c>
      <c r="F56" s="301">
        <v>-0.19500000000000001</v>
      </c>
      <c r="G56" s="301">
        <v>1.7500000000000002E-2</v>
      </c>
      <c r="H56" s="301">
        <v>-0.19500000000000001</v>
      </c>
      <c r="I56" s="301">
        <v>2.75E-2</v>
      </c>
      <c r="J56" s="301">
        <v>0.155</v>
      </c>
      <c r="K56" s="301">
        <v>-5.0999999999999997E-2</v>
      </c>
      <c r="L56" s="301">
        <v>-1.9E-2</v>
      </c>
      <c r="M56" s="301">
        <v>-0.29249999999999998</v>
      </c>
      <c r="N56" s="301">
        <v>6.0000000000000001E-3</v>
      </c>
      <c r="O56" s="301">
        <v>-5.4999999999999997E-3</v>
      </c>
      <c r="P56" s="298">
        <v>-2.5000000000000001E-2</v>
      </c>
      <c r="Q56" s="298">
        <v>-5.7500000000000002E-2</v>
      </c>
      <c r="R56" s="298">
        <v>-2.0250000000000001E-2</v>
      </c>
      <c r="S56" s="298">
        <v>-6.7500000000000004E-2</v>
      </c>
      <c r="T56" s="298">
        <v>-0.11</v>
      </c>
      <c r="U56" s="298">
        <v>0.2525</v>
      </c>
      <c r="V56" s="298">
        <v>5.0000000000000001E-3</v>
      </c>
      <c r="W56" s="298">
        <v>-0.17</v>
      </c>
      <c r="X56" s="298">
        <v>-2.1999999999999999E-2</v>
      </c>
      <c r="Y56" s="313">
        <v>0.19</v>
      </c>
      <c r="Z56" s="313">
        <v>8.9999999999999993E-3</v>
      </c>
      <c r="AA56" s="445">
        <v>0.19700000000000001</v>
      </c>
      <c r="AB56" s="445">
        <v>0.193</v>
      </c>
      <c r="AC56" s="445">
        <v>0.19700000000000001</v>
      </c>
      <c r="AD56" s="445">
        <v>0.19700000000000001</v>
      </c>
      <c r="AE56" s="445">
        <v>0.193</v>
      </c>
      <c r="AF56" s="445">
        <v>0.19700000000000001</v>
      </c>
      <c r="AG56" s="445">
        <v>0.19700000000000001</v>
      </c>
      <c r="AH56" s="445">
        <v>0.19700000000000001</v>
      </c>
      <c r="AI56" s="446">
        <v>0.19700000000000001</v>
      </c>
      <c r="AJ56" s="446">
        <v>0.19700000000000001</v>
      </c>
      <c r="AK56" s="446">
        <v>0.19700000000000001</v>
      </c>
      <c r="AL56" s="445">
        <v>0.19700000000000001</v>
      </c>
      <c r="AM56" s="312">
        <v>7.0997974351019996E-2</v>
      </c>
      <c r="AN56" s="312"/>
      <c r="AO56" s="313">
        <f t="shared" si="4"/>
        <v>0.193</v>
      </c>
      <c r="AP56" s="313">
        <f t="shared" si="5"/>
        <v>0.193</v>
      </c>
      <c r="AQ56" s="316">
        <f t="shared" si="6"/>
        <v>0.193</v>
      </c>
      <c r="IU56" s="315">
        <f t="shared" si="2"/>
        <v>37895</v>
      </c>
      <c r="IV56" s="298">
        <v>45</v>
      </c>
    </row>
    <row r="57" spans="1:256" x14ac:dyDescent="0.25">
      <c r="A57" s="326"/>
      <c r="B57" s="303">
        <f t="shared" si="7"/>
        <v>37895</v>
      </c>
      <c r="C57" s="301">
        <v>2.7315</v>
      </c>
      <c r="D57" s="301">
        <v>0.19700000000000001</v>
      </c>
      <c r="E57" s="301">
        <v>7.1210306360383002E-2</v>
      </c>
      <c r="F57" s="301">
        <v>-0.19500000000000001</v>
      </c>
      <c r="G57" s="301">
        <v>7.4999999999999997E-3</v>
      </c>
      <c r="H57" s="301">
        <v>-0.19500000000000001</v>
      </c>
      <c r="I57" s="301">
        <v>4.2500000000000003E-2</v>
      </c>
      <c r="J57" s="301">
        <v>0.1575</v>
      </c>
      <c r="K57" s="301">
        <v>-5.0999999999999997E-2</v>
      </c>
      <c r="L57" s="301">
        <v>-1.9E-2</v>
      </c>
      <c r="M57" s="301">
        <v>-0.29249999999999998</v>
      </c>
      <c r="N57" s="301">
        <v>6.0000000000000001E-3</v>
      </c>
      <c r="O57" s="301">
        <v>-5.4999999999999997E-3</v>
      </c>
      <c r="P57" s="298">
        <v>-2.5000000000000001E-2</v>
      </c>
      <c r="Q57" s="298">
        <v>-5.7500000000000002E-2</v>
      </c>
      <c r="R57" s="298">
        <v>-2.0250000000000001E-2</v>
      </c>
      <c r="S57" s="298">
        <v>-6.7500000000000004E-2</v>
      </c>
      <c r="T57" s="298">
        <v>-0.11</v>
      </c>
      <c r="U57" s="298">
        <v>0.255</v>
      </c>
      <c r="V57" s="298">
        <v>5.0000000000000001E-3</v>
      </c>
      <c r="W57" s="298">
        <v>-0.17</v>
      </c>
      <c r="X57" s="298">
        <v>-2.1999999999999999E-2</v>
      </c>
      <c r="Y57" s="313">
        <v>0.19</v>
      </c>
      <c r="Z57" s="313">
        <v>8.9999999999999993E-3</v>
      </c>
      <c r="AA57" s="445">
        <v>0.19700000000000001</v>
      </c>
      <c r="AB57" s="445">
        <v>0.193</v>
      </c>
      <c r="AC57" s="445">
        <v>0.19700000000000001</v>
      </c>
      <c r="AD57" s="445">
        <v>0.19700000000000001</v>
      </c>
      <c r="AE57" s="445">
        <v>0.193</v>
      </c>
      <c r="AF57" s="445">
        <v>0.19700000000000001</v>
      </c>
      <c r="AG57" s="445">
        <v>0.19700000000000001</v>
      </c>
      <c r="AH57" s="445">
        <v>0.19700000000000001</v>
      </c>
      <c r="AI57" s="446">
        <v>0.19700000000000001</v>
      </c>
      <c r="AJ57" s="446">
        <v>0.19700000000000001</v>
      </c>
      <c r="AK57" s="446">
        <v>0.19700000000000001</v>
      </c>
      <c r="AL57" s="445">
        <v>0.19700000000000001</v>
      </c>
      <c r="AM57" s="312">
        <v>7.1006679172951004E-2</v>
      </c>
      <c r="AN57" s="312"/>
      <c r="AO57" s="313">
        <f t="shared" si="4"/>
        <v>0.193</v>
      </c>
      <c r="AP57" s="313">
        <f t="shared" si="5"/>
        <v>0.193</v>
      </c>
      <c r="AQ57" s="316">
        <f t="shared" si="6"/>
        <v>0.193</v>
      </c>
      <c r="IU57" s="315">
        <f t="shared" si="2"/>
        <v>37926</v>
      </c>
      <c r="IV57" s="298">
        <v>46</v>
      </c>
    </row>
    <row r="58" spans="1:256" x14ac:dyDescent="0.25">
      <c r="A58" s="326"/>
      <c r="B58" s="303">
        <f t="shared" si="7"/>
        <v>37926</v>
      </c>
      <c r="C58" s="301">
        <v>2.8645</v>
      </c>
      <c r="D58" s="301">
        <v>0.19700000000000001</v>
      </c>
      <c r="E58" s="301">
        <v>7.1214861806738999E-2</v>
      </c>
      <c r="F58" s="301">
        <v>-0.19</v>
      </c>
      <c r="G58" s="301">
        <v>-3.2500000000000001E-2</v>
      </c>
      <c r="H58" s="301">
        <v>-0.19</v>
      </c>
      <c r="I58" s="301">
        <v>0.105</v>
      </c>
      <c r="J58" s="301">
        <v>0.24</v>
      </c>
      <c r="K58" s="301">
        <v>-6.25E-2</v>
      </c>
      <c r="L58" s="301">
        <v>-2.4E-2</v>
      </c>
      <c r="M58" s="301">
        <v>-0.24249999999999999</v>
      </c>
      <c r="N58" s="301">
        <v>7.4999999999999997E-3</v>
      </c>
      <c r="O58" s="301">
        <v>-1E-3</v>
      </c>
      <c r="P58" s="298">
        <v>-2.8000000000000001E-2</v>
      </c>
      <c r="Q58" s="298">
        <v>-5.7500000000000002E-2</v>
      </c>
      <c r="R58" s="298">
        <v>-3.6999999999999998E-2</v>
      </c>
      <c r="S58" s="298">
        <v>-8.2500000000000004E-2</v>
      </c>
      <c r="T58" s="298">
        <v>-0.15</v>
      </c>
      <c r="U58" s="298">
        <v>0.71499999999999997</v>
      </c>
      <c r="V58" s="298">
        <v>5.0000000000000001E-3</v>
      </c>
      <c r="W58" s="298">
        <v>-0.1925</v>
      </c>
      <c r="X58" s="298">
        <v>-1.95E-2</v>
      </c>
      <c r="Y58" s="313">
        <v>9.5000000000000001E-2</v>
      </c>
      <c r="Z58" s="313">
        <v>1.8499999999999999E-2</v>
      </c>
      <c r="AA58" s="445">
        <v>0.19700000000000001</v>
      </c>
      <c r="AB58" s="445">
        <v>0.217</v>
      </c>
      <c r="AC58" s="445">
        <v>0.19700000000000001</v>
      </c>
      <c r="AD58" s="445">
        <v>0.19700000000000001</v>
      </c>
      <c r="AE58" s="445">
        <v>0.19700000000000001</v>
      </c>
      <c r="AF58" s="445">
        <v>0.19700000000000001</v>
      </c>
      <c r="AG58" s="445">
        <v>0.19700000000000001</v>
      </c>
      <c r="AH58" s="445">
        <v>0.19700000000000001</v>
      </c>
      <c r="AI58" s="446">
        <v>0.19700000000000001</v>
      </c>
      <c r="AJ58" s="446">
        <v>0.19700000000000001</v>
      </c>
      <c r="AK58" s="446">
        <v>0.19700000000000001</v>
      </c>
      <c r="AL58" s="445">
        <v>0.19700000000000001</v>
      </c>
      <c r="AM58" s="312">
        <v>7.1014773368977005E-2</v>
      </c>
      <c r="AN58" s="312"/>
      <c r="AO58" s="313">
        <f t="shared" si="4"/>
        <v>0.217</v>
      </c>
      <c r="AP58" s="313">
        <f t="shared" si="5"/>
        <v>0.217</v>
      </c>
      <c r="AQ58" s="316">
        <f t="shared" si="6"/>
        <v>0.217</v>
      </c>
      <c r="IU58" s="315">
        <f t="shared" si="2"/>
        <v>37956</v>
      </c>
      <c r="IV58" s="298">
        <v>47</v>
      </c>
    </row>
    <row r="59" spans="1:256" x14ac:dyDescent="0.25">
      <c r="A59" s="326"/>
      <c r="B59" s="303">
        <f t="shared" si="7"/>
        <v>37956</v>
      </c>
      <c r="C59" s="301">
        <v>2.9874999999999998</v>
      </c>
      <c r="D59" s="301">
        <v>0.19700000000000001</v>
      </c>
      <c r="E59" s="301">
        <v>7.1219270303219007E-2</v>
      </c>
      <c r="F59" s="301">
        <v>-0.19750000000000001</v>
      </c>
      <c r="G59" s="301">
        <v>-5.5E-2</v>
      </c>
      <c r="H59" s="301">
        <v>-0.19750000000000001</v>
      </c>
      <c r="I59" s="301">
        <v>0.14499999999999999</v>
      </c>
      <c r="J59" s="301">
        <v>0.29499999999999998</v>
      </c>
      <c r="K59" s="301">
        <v>-6.25E-2</v>
      </c>
      <c r="L59" s="301">
        <v>-2.6499999999999999E-2</v>
      </c>
      <c r="M59" s="301">
        <v>-0.24249999999999999</v>
      </c>
      <c r="N59" s="301">
        <v>7.4999999999999997E-3</v>
      </c>
      <c r="O59" s="301">
        <v>-1E-3</v>
      </c>
      <c r="P59" s="298">
        <v>-2.8000000000000001E-2</v>
      </c>
      <c r="Q59" s="298">
        <v>-5.7500000000000002E-2</v>
      </c>
      <c r="R59" s="298">
        <v>-3.6999999999999998E-2</v>
      </c>
      <c r="S59" s="298">
        <v>-9.7500000000000003E-2</v>
      </c>
      <c r="T59" s="298">
        <v>-0.15</v>
      </c>
      <c r="U59" s="298">
        <v>1.0249999999999999</v>
      </c>
      <c r="V59" s="298">
        <v>5.0000000000000001E-3</v>
      </c>
      <c r="W59" s="298">
        <v>-0.1925</v>
      </c>
      <c r="X59" s="298">
        <v>-1.95E-2</v>
      </c>
      <c r="Y59" s="313">
        <v>9.5000000000000001E-2</v>
      </c>
      <c r="Z59" s="313">
        <v>1.8499999999999999E-2</v>
      </c>
      <c r="AA59" s="445">
        <v>0.19700000000000001</v>
      </c>
      <c r="AB59" s="445">
        <v>0.217</v>
      </c>
      <c r="AC59" s="445">
        <v>0.19700000000000001</v>
      </c>
      <c r="AD59" s="445">
        <v>0.19700000000000001</v>
      </c>
      <c r="AE59" s="445">
        <v>0.19700000000000001</v>
      </c>
      <c r="AF59" s="445">
        <v>0.19700000000000001</v>
      </c>
      <c r="AG59" s="445">
        <v>0.19700000000000001</v>
      </c>
      <c r="AH59" s="445">
        <v>0.19700000000000001</v>
      </c>
      <c r="AI59" s="446">
        <v>0.19700000000000001</v>
      </c>
      <c r="AJ59" s="446">
        <v>0.19700000000000001</v>
      </c>
      <c r="AK59" s="446">
        <v>0.19700000000000001</v>
      </c>
      <c r="AL59" s="445">
        <v>0.19700000000000001</v>
      </c>
      <c r="AM59" s="312">
        <v>7.1022606461925E-2</v>
      </c>
      <c r="AN59" s="312"/>
      <c r="AO59" s="313">
        <f t="shared" si="4"/>
        <v>0.217</v>
      </c>
      <c r="AP59" s="313">
        <f t="shared" si="5"/>
        <v>0.217</v>
      </c>
      <c r="AQ59" s="316">
        <f t="shared" si="6"/>
        <v>0.217</v>
      </c>
      <c r="IU59" s="315">
        <f t="shared" si="2"/>
        <v>37987</v>
      </c>
      <c r="IV59" s="298">
        <v>48</v>
      </c>
    </row>
    <row r="60" spans="1:256" x14ac:dyDescent="0.25">
      <c r="B60" s="303">
        <f t="shared" si="7"/>
        <v>37987</v>
      </c>
      <c r="C60" s="301">
        <v>3.0169999999999999</v>
      </c>
      <c r="D60" s="301">
        <v>0.19800000000000001</v>
      </c>
      <c r="E60" s="301">
        <v>7.1228087168141996E-2</v>
      </c>
      <c r="F60" s="301">
        <v>-0.2</v>
      </c>
      <c r="G60" s="301">
        <v>-5.7500000000000002E-2</v>
      </c>
      <c r="H60" s="301">
        <v>-0.2</v>
      </c>
      <c r="I60" s="301">
        <v>0.18</v>
      </c>
      <c r="J60" s="301">
        <v>0.34250000000000003</v>
      </c>
      <c r="K60" s="301">
        <v>-6.6500000000000004E-2</v>
      </c>
      <c r="L60" s="301">
        <v>-2.0500000000000001E-2</v>
      </c>
      <c r="M60" s="301">
        <v>-0.24249999999999999</v>
      </c>
      <c r="N60" s="301">
        <v>7.4999999999999997E-3</v>
      </c>
      <c r="O60" s="301">
        <v>-1E-3</v>
      </c>
      <c r="P60" s="298">
        <v>-2.8000000000000001E-2</v>
      </c>
      <c r="Q60" s="298">
        <v>-5.7500000000000002E-2</v>
      </c>
      <c r="R60" s="298">
        <v>-3.6999999999999998E-2</v>
      </c>
      <c r="S60" s="298">
        <v>-0.1075</v>
      </c>
      <c r="T60" s="298">
        <v>-0.15</v>
      </c>
      <c r="U60" s="298">
        <v>1.49</v>
      </c>
      <c r="V60" s="298">
        <v>5.0000000000000001E-3</v>
      </c>
      <c r="W60" s="298">
        <v>-0.1925</v>
      </c>
      <c r="X60" s="298">
        <v>-1.95E-2</v>
      </c>
      <c r="Y60" s="313">
        <v>9.5000000000000001E-2</v>
      </c>
      <c r="Z60" s="313">
        <v>1.8499999999999999E-2</v>
      </c>
      <c r="AA60" s="445">
        <v>0.19800000000000001</v>
      </c>
      <c r="AB60" s="445">
        <v>0.19800000000000001</v>
      </c>
      <c r="AC60" s="445">
        <v>0.19800000000000001</v>
      </c>
      <c r="AD60" s="445">
        <v>0.19800000000000001</v>
      </c>
      <c r="AE60" s="445">
        <v>0.19800000000000001</v>
      </c>
      <c r="AF60" s="445">
        <v>0.19800000000000001</v>
      </c>
      <c r="AG60" s="445">
        <v>0.19800000000000001</v>
      </c>
      <c r="AH60" s="445">
        <v>0.19800000000000001</v>
      </c>
      <c r="AI60" s="446">
        <v>0.19800000000000001</v>
      </c>
      <c r="AJ60" s="446">
        <v>0.19800000000000001</v>
      </c>
      <c r="AK60" s="446">
        <v>0.19800000000000001</v>
      </c>
      <c r="AL60" s="445">
        <v>0.19800000000000001</v>
      </c>
      <c r="AM60" s="312">
        <v>7.1034742735328005E-2</v>
      </c>
      <c r="AN60" s="312"/>
      <c r="AO60" s="313">
        <f t="shared" si="4"/>
        <v>0.19800000000000001</v>
      </c>
      <c r="AP60" s="313">
        <f t="shared" si="5"/>
        <v>0.19800000000000001</v>
      </c>
      <c r="AQ60" s="316">
        <f t="shared" si="6"/>
        <v>0.19800000000000001</v>
      </c>
      <c r="IU60" s="315">
        <f t="shared" si="2"/>
        <v>38018</v>
      </c>
      <c r="IV60" s="298">
        <v>49</v>
      </c>
    </row>
    <row r="61" spans="1:256" x14ac:dyDescent="0.25">
      <c r="B61" s="303">
        <f t="shared" si="7"/>
        <v>38018</v>
      </c>
      <c r="C61" s="301">
        <v>2.9079999999999999</v>
      </c>
      <c r="D61" s="301">
        <v>0.19700000000000001</v>
      </c>
      <c r="E61" s="301">
        <v>7.1241449546235E-2</v>
      </c>
      <c r="F61" s="301">
        <v>-0.20250000000000001</v>
      </c>
      <c r="G61" s="301">
        <v>-0.04</v>
      </c>
      <c r="H61" s="301">
        <v>-0.20250000000000001</v>
      </c>
      <c r="I61" s="301">
        <v>0.155</v>
      </c>
      <c r="J61" s="301">
        <v>0.33750000000000002</v>
      </c>
      <c r="K61" s="301">
        <v>-6.25E-2</v>
      </c>
      <c r="L61" s="301">
        <v>-2.6499999999999999E-2</v>
      </c>
      <c r="M61" s="301">
        <v>-0.24249999999999999</v>
      </c>
      <c r="N61" s="301">
        <v>7.4999999999999997E-3</v>
      </c>
      <c r="O61" s="301">
        <v>-1E-3</v>
      </c>
      <c r="P61" s="298">
        <v>-2.8000000000000001E-2</v>
      </c>
      <c r="Q61" s="298">
        <v>-5.7500000000000002E-2</v>
      </c>
      <c r="R61" s="298">
        <v>-3.6999999999999998E-2</v>
      </c>
      <c r="S61" s="298">
        <v>-9.5000000000000001E-2</v>
      </c>
      <c r="T61" s="298">
        <v>-0.15</v>
      </c>
      <c r="U61" s="298">
        <v>1.37</v>
      </c>
      <c r="V61" s="298">
        <v>5.0000000000000001E-3</v>
      </c>
      <c r="W61" s="298">
        <v>-0.1925</v>
      </c>
      <c r="X61" s="298">
        <v>-1.95E-2</v>
      </c>
      <c r="Y61" s="313">
        <v>9.5000000000000001E-2</v>
      </c>
      <c r="Z61" s="313">
        <v>1.8499999999999999E-2</v>
      </c>
      <c r="AA61" s="445">
        <v>0.19700000000000001</v>
      </c>
      <c r="AB61" s="445">
        <v>0.217</v>
      </c>
      <c r="AC61" s="445">
        <v>0.19700000000000001</v>
      </c>
      <c r="AD61" s="445">
        <v>0.19700000000000001</v>
      </c>
      <c r="AE61" s="445">
        <v>0.19700000000000001</v>
      </c>
      <c r="AF61" s="445">
        <v>0.19700000000000001</v>
      </c>
      <c r="AG61" s="445">
        <v>0.19700000000000001</v>
      </c>
      <c r="AH61" s="445">
        <v>0.19700000000000001</v>
      </c>
      <c r="AI61" s="446">
        <v>0.19700000000000001</v>
      </c>
      <c r="AJ61" s="446">
        <v>0.19700000000000001</v>
      </c>
      <c r="AK61" s="446">
        <v>0.19700000000000001</v>
      </c>
      <c r="AL61" s="445">
        <v>0.19700000000000001</v>
      </c>
      <c r="AM61" s="312">
        <v>7.1051190557957999E-2</v>
      </c>
      <c r="AN61" s="312"/>
      <c r="AO61" s="313">
        <f t="shared" si="4"/>
        <v>0.217</v>
      </c>
      <c r="AP61" s="313">
        <f t="shared" si="5"/>
        <v>0.217</v>
      </c>
      <c r="AQ61" s="316">
        <f t="shared" si="6"/>
        <v>0.217</v>
      </c>
      <c r="IU61" s="315">
        <f t="shared" si="2"/>
        <v>38047</v>
      </c>
      <c r="IV61" s="298">
        <v>50</v>
      </c>
    </row>
    <row r="62" spans="1:256" x14ac:dyDescent="0.25">
      <c r="B62" s="303">
        <f t="shared" si="7"/>
        <v>38047</v>
      </c>
      <c r="C62" s="301">
        <v>2.7959999999999998</v>
      </c>
      <c r="D62" s="301">
        <v>0.19500000000000001</v>
      </c>
      <c r="E62" s="301">
        <v>7.1253949835471994E-2</v>
      </c>
      <c r="F62" s="301">
        <v>-0.20499999999999999</v>
      </c>
      <c r="G62" s="301">
        <v>-2.75E-2</v>
      </c>
      <c r="H62" s="301">
        <v>-0.20499999999999999</v>
      </c>
      <c r="I62" s="301">
        <v>0.1525</v>
      </c>
      <c r="J62" s="301">
        <v>0.26</v>
      </c>
      <c r="K62" s="301">
        <v>-6.4000000000000001E-2</v>
      </c>
      <c r="L62" s="301">
        <v>-2.9499999999999998E-2</v>
      </c>
      <c r="M62" s="301">
        <v>-0.24249999999999999</v>
      </c>
      <c r="N62" s="301">
        <v>7.4999999999999997E-3</v>
      </c>
      <c r="O62" s="301">
        <v>-1E-3</v>
      </c>
      <c r="P62" s="298">
        <v>-2.8000000000000001E-2</v>
      </c>
      <c r="Q62" s="298">
        <v>-5.7500000000000002E-2</v>
      </c>
      <c r="R62" s="298">
        <v>-3.6999999999999998E-2</v>
      </c>
      <c r="S62" s="298">
        <v>-8.2500000000000004E-2</v>
      </c>
      <c r="T62" s="298">
        <v>-0.15</v>
      </c>
      <c r="U62" s="298">
        <v>0.87</v>
      </c>
      <c r="V62" s="298">
        <v>5.0000000000000001E-3</v>
      </c>
      <c r="W62" s="298">
        <v>-0.1925</v>
      </c>
      <c r="X62" s="298">
        <v>-1.95E-2</v>
      </c>
      <c r="Y62" s="313">
        <v>9.5000000000000001E-2</v>
      </c>
      <c r="Z62" s="313">
        <v>1.8499999999999999E-2</v>
      </c>
      <c r="AA62" s="445">
        <v>0.19500000000000001</v>
      </c>
      <c r="AB62" s="445">
        <v>0.215</v>
      </c>
      <c r="AC62" s="445">
        <v>0.19500000000000001</v>
      </c>
      <c r="AD62" s="445">
        <v>0.19500000000000001</v>
      </c>
      <c r="AE62" s="445">
        <v>0.19500000000000001</v>
      </c>
      <c r="AF62" s="445">
        <v>0.19500000000000001</v>
      </c>
      <c r="AG62" s="445">
        <v>0.19500000000000001</v>
      </c>
      <c r="AH62" s="445">
        <v>0.19500000000000001</v>
      </c>
      <c r="AI62" s="446">
        <v>0.19500000000000001</v>
      </c>
      <c r="AJ62" s="446">
        <v>0.19500000000000001</v>
      </c>
      <c r="AK62" s="446">
        <v>0.19500000000000001</v>
      </c>
      <c r="AL62" s="445">
        <v>0.19500000000000001</v>
      </c>
      <c r="AM62" s="312">
        <v>7.1066577230822006E-2</v>
      </c>
      <c r="AN62" s="312"/>
      <c r="AO62" s="313">
        <f t="shared" si="4"/>
        <v>0.215</v>
      </c>
      <c r="AP62" s="313">
        <f t="shared" si="5"/>
        <v>0.215</v>
      </c>
      <c r="AQ62" s="316">
        <f t="shared" si="6"/>
        <v>0.215</v>
      </c>
      <c r="IU62" s="315">
        <f t="shared" si="2"/>
        <v>38078</v>
      </c>
      <c r="IV62" s="298">
        <v>51</v>
      </c>
    </row>
    <row r="63" spans="1:256" x14ac:dyDescent="0.25">
      <c r="B63" s="303">
        <f t="shared" si="7"/>
        <v>38078</v>
      </c>
      <c r="C63" s="301">
        <v>2.6989999999999998</v>
      </c>
      <c r="D63" s="301">
        <v>0.191</v>
      </c>
      <c r="E63" s="301">
        <v>7.1250104958005003E-2</v>
      </c>
      <c r="F63" s="301">
        <v>-0.19500000000000001</v>
      </c>
      <c r="G63" s="301">
        <v>1.4999999999999999E-2</v>
      </c>
      <c r="H63" s="301">
        <v>-0.19500000000000001</v>
      </c>
      <c r="I63" s="301">
        <v>5.7500000000000002E-2</v>
      </c>
      <c r="J63" s="301">
        <v>0.17</v>
      </c>
      <c r="K63" s="301">
        <v>-7.3999999999999996E-2</v>
      </c>
      <c r="L63" s="301">
        <v>-4.2000000000000003E-2</v>
      </c>
      <c r="M63" s="301">
        <v>-0.29249999999999998</v>
      </c>
      <c r="N63" s="301">
        <v>6.0000000000000001E-3</v>
      </c>
      <c r="O63" s="301">
        <v>-3.5000000000000001E-3</v>
      </c>
      <c r="P63" s="298">
        <v>-0.03</v>
      </c>
      <c r="Q63" s="298">
        <v>-5.5E-2</v>
      </c>
      <c r="R63" s="298">
        <v>-1.6199999999999999E-2</v>
      </c>
      <c r="S63" s="298">
        <v>-6.5000000000000002E-2</v>
      </c>
      <c r="T63" s="298">
        <v>-0.1075</v>
      </c>
      <c r="U63" s="298">
        <v>0.37</v>
      </c>
      <c r="V63" s="298">
        <v>5.0000000000000001E-3</v>
      </c>
      <c r="W63" s="298">
        <v>-0.17</v>
      </c>
      <c r="X63" s="298">
        <v>-1.95E-2</v>
      </c>
      <c r="Y63" s="313">
        <v>0.20499999999999999</v>
      </c>
      <c r="Z63" s="313">
        <v>1.0999999999999999E-2</v>
      </c>
      <c r="AA63" s="445">
        <v>0.191</v>
      </c>
      <c r="AB63" s="445">
        <v>0.187</v>
      </c>
      <c r="AC63" s="445">
        <v>0.191</v>
      </c>
      <c r="AD63" s="445">
        <v>0.191</v>
      </c>
      <c r="AE63" s="445">
        <v>0.187</v>
      </c>
      <c r="AF63" s="445">
        <v>0.191</v>
      </c>
      <c r="AG63" s="445">
        <v>0.191</v>
      </c>
      <c r="AH63" s="445">
        <v>0.191</v>
      </c>
      <c r="AI63" s="446">
        <v>0.191</v>
      </c>
      <c r="AJ63" s="446">
        <v>0.191</v>
      </c>
      <c r="AK63" s="446">
        <v>0.191</v>
      </c>
      <c r="AL63" s="445">
        <v>0.191</v>
      </c>
      <c r="AM63" s="312">
        <v>7.1087301463576003E-2</v>
      </c>
      <c r="AN63" s="312"/>
      <c r="AO63" s="313">
        <f t="shared" si="4"/>
        <v>0.187</v>
      </c>
      <c r="AP63" s="313">
        <f t="shared" si="5"/>
        <v>0.187</v>
      </c>
      <c r="AQ63" s="316">
        <f t="shared" si="6"/>
        <v>0.187</v>
      </c>
      <c r="IU63" s="315">
        <f t="shared" si="2"/>
        <v>38108</v>
      </c>
      <c r="IV63" s="298">
        <v>52</v>
      </c>
    </row>
    <row r="64" spans="1:256" x14ac:dyDescent="0.25">
      <c r="B64" s="303">
        <f t="shared" si="7"/>
        <v>38108</v>
      </c>
      <c r="C64" s="301">
        <v>2.7225000000000001</v>
      </c>
      <c r="D64" s="301">
        <v>0.191</v>
      </c>
      <c r="E64" s="301">
        <v>7.1228621780536003E-2</v>
      </c>
      <c r="F64" s="301">
        <v>-0.19500000000000001</v>
      </c>
      <c r="G64" s="301">
        <v>1.4999999999999999E-2</v>
      </c>
      <c r="H64" s="301">
        <v>-0.19500000000000001</v>
      </c>
      <c r="I64" s="301">
        <v>4.7500000000000001E-2</v>
      </c>
      <c r="J64" s="301">
        <v>0.155</v>
      </c>
      <c r="K64" s="301">
        <v>-4.9000000000000002E-2</v>
      </c>
      <c r="L64" s="301">
        <v>-1.7000000000000001E-2</v>
      </c>
      <c r="M64" s="301">
        <v>-0.29249999999999998</v>
      </c>
      <c r="N64" s="301">
        <v>6.0000000000000001E-3</v>
      </c>
      <c r="O64" s="301">
        <v>-3.5000000000000001E-3</v>
      </c>
      <c r="P64" s="298">
        <v>-0.03</v>
      </c>
      <c r="Q64" s="298">
        <v>-5.5E-2</v>
      </c>
      <c r="R64" s="298">
        <v>-1.6250000000000001E-2</v>
      </c>
      <c r="S64" s="298">
        <v>-6.7500000000000004E-2</v>
      </c>
      <c r="T64" s="298">
        <v>-0.1075</v>
      </c>
      <c r="U64" s="298">
        <v>0.2525</v>
      </c>
      <c r="V64" s="298">
        <v>5.0000000000000001E-3</v>
      </c>
      <c r="W64" s="298">
        <v>-0.17</v>
      </c>
      <c r="X64" s="298">
        <v>-1.6E-2</v>
      </c>
      <c r="Y64" s="313">
        <v>0.20499999999999999</v>
      </c>
      <c r="Z64" s="313">
        <v>1.0999999999999999E-2</v>
      </c>
      <c r="AA64" s="445">
        <v>0.191</v>
      </c>
      <c r="AB64" s="445">
        <v>0.187</v>
      </c>
      <c r="AC64" s="445">
        <v>0.191</v>
      </c>
      <c r="AD64" s="445">
        <v>0.191</v>
      </c>
      <c r="AE64" s="445">
        <v>0.187</v>
      </c>
      <c r="AF64" s="445">
        <v>0.191</v>
      </c>
      <c r="AG64" s="445">
        <v>0.191</v>
      </c>
      <c r="AH64" s="445">
        <v>0.191</v>
      </c>
      <c r="AI64" s="446">
        <v>0.191</v>
      </c>
      <c r="AJ64" s="446">
        <v>0.191</v>
      </c>
      <c r="AK64" s="446">
        <v>0.191</v>
      </c>
      <c r="AL64" s="445">
        <v>0.191</v>
      </c>
      <c r="AM64" s="312">
        <v>7.1111771531521997E-2</v>
      </c>
      <c r="AN64" s="312"/>
      <c r="AO64" s="313">
        <f t="shared" si="4"/>
        <v>0.187</v>
      </c>
      <c r="AP64" s="313">
        <f t="shared" si="5"/>
        <v>0.187</v>
      </c>
      <c r="AQ64" s="316">
        <f t="shared" si="6"/>
        <v>0.187</v>
      </c>
      <c r="IU64" s="315">
        <f t="shared" si="2"/>
        <v>38139</v>
      </c>
      <c r="IV64" s="298">
        <v>53</v>
      </c>
    </row>
    <row r="65" spans="1:256" x14ac:dyDescent="0.25">
      <c r="B65" s="303">
        <f t="shared" si="7"/>
        <v>38139</v>
      </c>
      <c r="C65" s="301">
        <v>2.7305000000000001</v>
      </c>
      <c r="D65" s="301">
        <v>0.191</v>
      </c>
      <c r="E65" s="301">
        <v>7.1206422497310004E-2</v>
      </c>
      <c r="F65" s="301">
        <v>-0.19500000000000001</v>
      </c>
      <c r="G65" s="301">
        <v>0.02</v>
      </c>
      <c r="H65" s="301">
        <v>-0.19500000000000001</v>
      </c>
      <c r="I65" s="301">
        <v>4.2500000000000003E-2</v>
      </c>
      <c r="J65" s="301">
        <v>0.155</v>
      </c>
      <c r="K65" s="301">
        <v>-4.65E-2</v>
      </c>
      <c r="L65" s="301">
        <v>-1.4500000000000001E-2</v>
      </c>
      <c r="M65" s="301">
        <v>-0.29249999999999998</v>
      </c>
      <c r="N65" s="301">
        <v>6.0000000000000001E-3</v>
      </c>
      <c r="O65" s="301">
        <v>-3.5000000000000001E-3</v>
      </c>
      <c r="P65" s="298">
        <v>-2.75E-2</v>
      </c>
      <c r="Q65" s="298">
        <v>-5.5E-2</v>
      </c>
      <c r="R65" s="298">
        <v>-1.6250000000000001E-2</v>
      </c>
      <c r="S65" s="298">
        <v>-5.7500000000000002E-2</v>
      </c>
      <c r="T65" s="298">
        <v>-0.1075</v>
      </c>
      <c r="U65" s="298">
        <v>0.2525</v>
      </c>
      <c r="V65" s="298">
        <v>5.0000000000000001E-3</v>
      </c>
      <c r="W65" s="298">
        <v>-0.17</v>
      </c>
      <c r="X65" s="298">
        <v>-1.8499999999999999E-2</v>
      </c>
      <c r="Y65" s="313">
        <v>0.20499999999999999</v>
      </c>
      <c r="Z65" s="313">
        <v>1.0999999999999999E-2</v>
      </c>
      <c r="AA65" s="445">
        <v>0.191</v>
      </c>
      <c r="AB65" s="445">
        <v>0.187</v>
      </c>
      <c r="AC65" s="445">
        <v>0.191</v>
      </c>
      <c r="AD65" s="445">
        <v>0.191</v>
      </c>
      <c r="AE65" s="445">
        <v>0.187</v>
      </c>
      <c r="AF65" s="445">
        <v>0.191</v>
      </c>
      <c r="AG65" s="445">
        <v>0.191</v>
      </c>
      <c r="AH65" s="445">
        <v>0.191</v>
      </c>
      <c r="AI65" s="446">
        <v>0.191</v>
      </c>
      <c r="AJ65" s="446">
        <v>0.191</v>
      </c>
      <c r="AK65" s="446">
        <v>0.191</v>
      </c>
      <c r="AL65" s="445">
        <v>0.191</v>
      </c>
      <c r="AM65" s="312">
        <v>7.1137057268608E-2</v>
      </c>
      <c r="AN65" s="312"/>
      <c r="AO65" s="313">
        <f t="shared" si="4"/>
        <v>0.187</v>
      </c>
      <c r="AP65" s="313">
        <f t="shared" si="5"/>
        <v>0.187</v>
      </c>
      <c r="AQ65" s="316">
        <f t="shared" si="6"/>
        <v>0.187</v>
      </c>
      <c r="IU65" s="315">
        <f t="shared" si="2"/>
        <v>38169</v>
      </c>
      <c r="IV65" s="298">
        <v>54</v>
      </c>
    </row>
    <row r="66" spans="1:256" x14ac:dyDescent="0.25">
      <c r="B66" s="303">
        <f t="shared" si="7"/>
        <v>38169</v>
      </c>
      <c r="C66" s="301">
        <v>2.7334999999999998</v>
      </c>
      <c r="D66" s="301">
        <v>0.19</v>
      </c>
      <c r="E66" s="301">
        <v>7.1184939320152005E-2</v>
      </c>
      <c r="F66" s="301">
        <v>-0.19500000000000001</v>
      </c>
      <c r="G66" s="301">
        <v>2.2499999999999999E-2</v>
      </c>
      <c r="H66" s="301">
        <v>-0.19500000000000001</v>
      </c>
      <c r="I66" s="301">
        <v>3.2500000000000001E-2</v>
      </c>
      <c r="J66" s="301">
        <v>0.155</v>
      </c>
      <c r="K66" s="301">
        <v>-4.65E-2</v>
      </c>
      <c r="L66" s="301">
        <v>-1.4500000000000001E-2</v>
      </c>
      <c r="M66" s="301">
        <v>-0.29249999999999998</v>
      </c>
      <c r="N66" s="301">
        <v>6.0000000000000001E-3</v>
      </c>
      <c r="O66" s="301">
        <v>-3.5000000000000001E-3</v>
      </c>
      <c r="P66" s="298">
        <v>-2.75E-2</v>
      </c>
      <c r="Q66" s="298">
        <v>-5.5E-2</v>
      </c>
      <c r="R66" s="298">
        <v>-1.6250000000000001E-2</v>
      </c>
      <c r="S66" s="298">
        <v>-5.7500000000000002E-2</v>
      </c>
      <c r="T66" s="298">
        <v>-0.1075</v>
      </c>
      <c r="U66" s="298">
        <v>0.25750000000000001</v>
      </c>
      <c r="V66" s="298">
        <v>5.0000000000000001E-3</v>
      </c>
      <c r="W66" s="298">
        <v>-0.17</v>
      </c>
      <c r="X66" s="298">
        <v>-1.8499999999999999E-2</v>
      </c>
      <c r="Y66" s="313">
        <v>0.20499999999999999</v>
      </c>
      <c r="Z66" s="313">
        <v>1.0999999999999999E-2</v>
      </c>
      <c r="AA66" s="445">
        <v>0.19</v>
      </c>
      <c r="AB66" s="445">
        <v>0.186</v>
      </c>
      <c r="AC66" s="445">
        <v>0.19</v>
      </c>
      <c r="AD66" s="445">
        <v>0.19</v>
      </c>
      <c r="AE66" s="445">
        <v>0.186</v>
      </c>
      <c r="AF66" s="445">
        <v>0.19</v>
      </c>
      <c r="AG66" s="445">
        <v>0.19</v>
      </c>
      <c r="AH66" s="445">
        <v>0.19</v>
      </c>
      <c r="AI66" s="446">
        <v>0.19</v>
      </c>
      <c r="AJ66" s="446">
        <v>0.19</v>
      </c>
      <c r="AK66" s="446">
        <v>0.19</v>
      </c>
      <c r="AL66" s="445">
        <v>0.19</v>
      </c>
      <c r="AM66" s="312">
        <v>7.1161527336957006E-2</v>
      </c>
      <c r="AN66" s="312"/>
      <c r="AO66" s="313">
        <f t="shared" si="4"/>
        <v>0.186</v>
      </c>
      <c r="AP66" s="313">
        <f t="shared" si="5"/>
        <v>0.186</v>
      </c>
      <c r="AQ66" s="316">
        <f t="shared" si="6"/>
        <v>0.186</v>
      </c>
      <c r="IU66" s="315">
        <f t="shared" si="2"/>
        <v>38200</v>
      </c>
      <c r="IV66" s="298">
        <v>55</v>
      </c>
    </row>
    <row r="67" spans="1:256" x14ac:dyDescent="0.25">
      <c r="A67" s="325"/>
      <c r="B67" s="303">
        <f t="shared" si="7"/>
        <v>38200</v>
      </c>
      <c r="C67" s="301">
        <v>2.7395</v>
      </c>
      <c r="D67" s="301">
        <v>0.19</v>
      </c>
      <c r="E67" s="301">
        <v>7.1162740037246999E-2</v>
      </c>
      <c r="F67" s="301">
        <v>-0.19500000000000001</v>
      </c>
      <c r="G67" s="301">
        <v>2.5000000000000001E-2</v>
      </c>
      <c r="H67" s="301">
        <v>-0.19500000000000001</v>
      </c>
      <c r="I67" s="301">
        <v>0.03</v>
      </c>
      <c r="J67" s="301">
        <v>0.155</v>
      </c>
      <c r="K67" s="301">
        <v>-4.65E-2</v>
      </c>
      <c r="L67" s="301">
        <v>-1.4500000000000001E-2</v>
      </c>
      <c r="M67" s="301">
        <v>-0.29249999999999998</v>
      </c>
      <c r="N67" s="301">
        <v>6.0000000000000001E-3</v>
      </c>
      <c r="O67" s="301">
        <v>-3.5000000000000001E-3</v>
      </c>
      <c r="P67" s="298">
        <v>-2.75E-2</v>
      </c>
      <c r="Q67" s="298">
        <v>-5.5E-2</v>
      </c>
      <c r="R67" s="298">
        <v>-1.6250000000000001E-2</v>
      </c>
      <c r="S67" s="298">
        <v>-5.7500000000000002E-2</v>
      </c>
      <c r="T67" s="298">
        <v>-0.1075</v>
      </c>
      <c r="U67" s="298">
        <v>0.25750000000000001</v>
      </c>
      <c r="V67" s="298">
        <v>5.0000000000000001E-3</v>
      </c>
      <c r="W67" s="298">
        <v>-0.17</v>
      </c>
      <c r="X67" s="298">
        <v>-1.8499999999999999E-2</v>
      </c>
      <c r="Y67" s="313">
        <v>0.20499999999999999</v>
      </c>
      <c r="Z67" s="313">
        <v>1.0999999999999999E-2</v>
      </c>
      <c r="AA67" s="445">
        <v>0.19</v>
      </c>
      <c r="AB67" s="445">
        <v>0.186</v>
      </c>
      <c r="AC67" s="445">
        <v>0.19</v>
      </c>
      <c r="AD67" s="445">
        <v>0.19</v>
      </c>
      <c r="AE67" s="445">
        <v>0.186</v>
      </c>
      <c r="AF67" s="445">
        <v>0.19</v>
      </c>
      <c r="AG67" s="445">
        <v>0.19</v>
      </c>
      <c r="AH67" s="445">
        <v>0.19</v>
      </c>
      <c r="AI67" s="446">
        <v>0.19</v>
      </c>
      <c r="AJ67" s="446">
        <v>0.19</v>
      </c>
      <c r="AK67" s="446">
        <v>0.19</v>
      </c>
      <c r="AL67" s="445">
        <v>0.19</v>
      </c>
      <c r="AM67" s="312">
        <v>7.1186813074458996E-2</v>
      </c>
      <c r="AN67" s="312"/>
      <c r="AO67" s="313">
        <f t="shared" si="4"/>
        <v>0.186</v>
      </c>
      <c r="AP67" s="313">
        <f t="shared" si="5"/>
        <v>0.186</v>
      </c>
      <c r="AQ67" s="316">
        <f t="shared" si="6"/>
        <v>0.186</v>
      </c>
      <c r="IU67" s="315">
        <f t="shared" si="2"/>
        <v>38231</v>
      </c>
      <c r="IV67" s="298">
        <v>56</v>
      </c>
    </row>
    <row r="68" spans="1:256" x14ac:dyDescent="0.25">
      <c r="A68" s="326"/>
      <c r="B68" s="303">
        <f t="shared" si="7"/>
        <v>38231</v>
      </c>
      <c r="C68" s="301">
        <v>2.7425000000000002</v>
      </c>
      <c r="D68" s="301">
        <v>0.19</v>
      </c>
      <c r="E68" s="301">
        <v>7.1140540754506001E-2</v>
      </c>
      <c r="F68" s="301">
        <v>-0.19500000000000001</v>
      </c>
      <c r="G68" s="301">
        <v>1.7500000000000002E-2</v>
      </c>
      <c r="H68" s="301">
        <v>-0.19500000000000001</v>
      </c>
      <c r="I68" s="301">
        <v>2.75E-2</v>
      </c>
      <c r="J68" s="301">
        <v>0.155</v>
      </c>
      <c r="K68" s="301">
        <v>-4.9000000000000002E-2</v>
      </c>
      <c r="L68" s="301">
        <v>-1.7000000000000001E-2</v>
      </c>
      <c r="M68" s="301">
        <v>-0.29249999999999998</v>
      </c>
      <c r="N68" s="301">
        <v>6.0000000000000001E-3</v>
      </c>
      <c r="O68" s="301">
        <v>-3.5000000000000001E-3</v>
      </c>
      <c r="P68" s="298">
        <v>-2.75E-2</v>
      </c>
      <c r="Q68" s="298">
        <v>-5.5E-2</v>
      </c>
      <c r="R68" s="298">
        <v>-1.375E-2</v>
      </c>
      <c r="S68" s="298">
        <v>-6.5000000000000002E-2</v>
      </c>
      <c r="T68" s="298">
        <v>-0.1075</v>
      </c>
      <c r="U68" s="298">
        <v>0.2525</v>
      </c>
      <c r="V68" s="298">
        <v>5.0000000000000001E-3</v>
      </c>
      <c r="W68" s="298">
        <v>-0.17</v>
      </c>
      <c r="X68" s="298">
        <v>-2.1000000000000001E-2</v>
      </c>
      <c r="Y68" s="313">
        <v>0.20499999999999999</v>
      </c>
      <c r="Z68" s="313">
        <v>1.0999999999999999E-2</v>
      </c>
      <c r="AA68" s="445">
        <v>0.19</v>
      </c>
      <c r="AB68" s="445">
        <v>0.186</v>
      </c>
      <c r="AC68" s="445">
        <v>0.19</v>
      </c>
      <c r="AD68" s="445">
        <v>0.19</v>
      </c>
      <c r="AE68" s="445">
        <v>0.186</v>
      </c>
      <c r="AF68" s="445">
        <v>0.19</v>
      </c>
      <c r="AG68" s="445">
        <v>0.19</v>
      </c>
      <c r="AH68" s="445">
        <v>0.19</v>
      </c>
      <c r="AI68" s="446">
        <v>0.19</v>
      </c>
      <c r="AJ68" s="446">
        <v>0.19</v>
      </c>
      <c r="AK68" s="446">
        <v>0.19</v>
      </c>
      <c r="AL68" s="445">
        <v>0.19</v>
      </c>
      <c r="AM68" s="312">
        <v>7.1212098812171998E-2</v>
      </c>
      <c r="AN68" s="312"/>
      <c r="AO68" s="313">
        <f t="shared" si="4"/>
        <v>0.186</v>
      </c>
      <c r="AP68" s="313">
        <f t="shared" si="5"/>
        <v>0.186</v>
      </c>
      <c r="AQ68" s="316">
        <f t="shared" si="6"/>
        <v>0.186</v>
      </c>
      <c r="IU68" s="315">
        <f t="shared" si="2"/>
        <v>38261</v>
      </c>
      <c r="IV68" s="298">
        <v>57</v>
      </c>
    </row>
    <row r="69" spans="1:256" x14ac:dyDescent="0.25">
      <c r="A69" s="326"/>
      <c r="B69" s="303">
        <f t="shared" si="7"/>
        <v>38261</v>
      </c>
      <c r="C69" s="301">
        <v>2.7685</v>
      </c>
      <c r="D69" s="301">
        <v>0.19</v>
      </c>
      <c r="E69" s="301">
        <v>7.1119057577814004E-2</v>
      </c>
      <c r="F69" s="301">
        <v>-0.19500000000000001</v>
      </c>
      <c r="G69" s="301">
        <v>7.4999999999999997E-3</v>
      </c>
      <c r="H69" s="301">
        <v>-0.19500000000000001</v>
      </c>
      <c r="I69" s="301">
        <v>4.2500000000000003E-2</v>
      </c>
      <c r="J69" s="301">
        <v>0.1575</v>
      </c>
      <c r="K69" s="301">
        <v>-4.9000000000000002E-2</v>
      </c>
      <c r="L69" s="301">
        <v>-1.7000000000000001E-2</v>
      </c>
      <c r="M69" s="301">
        <v>-0.29249999999999998</v>
      </c>
      <c r="N69" s="301">
        <v>6.0000000000000001E-3</v>
      </c>
      <c r="O69" s="301">
        <v>-3.5000000000000001E-3</v>
      </c>
      <c r="P69" s="298">
        <v>-2.75E-2</v>
      </c>
      <c r="Q69" s="298">
        <v>-5.5E-2</v>
      </c>
      <c r="R69" s="298">
        <v>-1.375E-2</v>
      </c>
      <c r="S69" s="298">
        <v>-6.5000000000000002E-2</v>
      </c>
      <c r="T69" s="298">
        <v>-0.1075</v>
      </c>
      <c r="U69" s="298">
        <v>0.255</v>
      </c>
      <c r="V69" s="298">
        <v>5.0000000000000001E-3</v>
      </c>
      <c r="W69" s="298">
        <v>-0.17</v>
      </c>
      <c r="X69" s="298">
        <v>-2.1000000000000001E-2</v>
      </c>
      <c r="Y69" s="313">
        <v>0.20499999999999999</v>
      </c>
      <c r="Z69" s="313">
        <v>1.0999999999999999E-2</v>
      </c>
      <c r="AA69" s="445">
        <v>0.19</v>
      </c>
      <c r="AB69" s="445">
        <v>0.186</v>
      </c>
      <c r="AC69" s="445">
        <v>0.19</v>
      </c>
      <c r="AD69" s="445">
        <v>0.19</v>
      </c>
      <c r="AE69" s="445">
        <v>0.186</v>
      </c>
      <c r="AF69" s="445">
        <v>0.19</v>
      </c>
      <c r="AG69" s="445">
        <v>0.19</v>
      </c>
      <c r="AH69" s="445">
        <v>0.19</v>
      </c>
      <c r="AI69" s="446">
        <v>0.19</v>
      </c>
      <c r="AJ69" s="446">
        <v>0.19</v>
      </c>
      <c r="AK69" s="446">
        <v>0.19</v>
      </c>
      <c r="AL69" s="445">
        <v>0.19</v>
      </c>
      <c r="AM69" s="312">
        <v>7.1236568881127005E-2</v>
      </c>
      <c r="AN69" s="312"/>
      <c r="AO69" s="313">
        <f t="shared" si="4"/>
        <v>0.186</v>
      </c>
      <c r="AP69" s="313">
        <f t="shared" si="5"/>
        <v>0.186</v>
      </c>
      <c r="AQ69" s="316">
        <f t="shared" si="6"/>
        <v>0.186</v>
      </c>
      <c r="IU69" s="315">
        <f t="shared" si="2"/>
        <v>38292</v>
      </c>
      <c r="IV69" s="298">
        <v>58</v>
      </c>
    </row>
    <row r="70" spans="1:256" x14ac:dyDescent="0.25">
      <c r="A70" s="326"/>
      <c r="B70" s="303">
        <f t="shared" si="7"/>
        <v>38292</v>
      </c>
      <c r="C70" s="301">
        <v>2.8965000000000001</v>
      </c>
      <c r="D70" s="301">
        <v>0.19</v>
      </c>
      <c r="E70" s="301">
        <v>7.1096858295393001E-2</v>
      </c>
      <c r="F70" s="301">
        <v>-0.19</v>
      </c>
      <c r="G70" s="301">
        <v>-3.2500000000000001E-2</v>
      </c>
      <c r="H70" s="301">
        <v>-0.19</v>
      </c>
      <c r="I70" s="301">
        <v>0.115</v>
      </c>
      <c r="J70" s="301">
        <v>0.24</v>
      </c>
      <c r="K70" s="301">
        <v>-6.0499999999999998E-2</v>
      </c>
      <c r="L70" s="301">
        <v>-2.1999999999999999E-2</v>
      </c>
      <c r="M70" s="301">
        <v>-0.24249999999999999</v>
      </c>
      <c r="N70" s="301">
        <v>7.4999999999999997E-3</v>
      </c>
      <c r="O70" s="301">
        <v>1E-3</v>
      </c>
      <c r="P70" s="298">
        <v>-3.0499999999999999E-2</v>
      </c>
      <c r="Q70" s="298">
        <v>-5.5E-2</v>
      </c>
      <c r="R70" s="298">
        <v>-3.3500000000000002E-2</v>
      </c>
      <c r="S70" s="298">
        <v>-0.08</v>
      </c>
      <c r="T70" s="298">
        <v>-0.14749999999999999</v>
      </c>
      <c r="U70" s="298">
        <v>0.72</v>
      </c>
      <c r="V70" s="298">
        <v>5.0000000000000001E-3</v>
      </c>
      <c r="W70" s="298">
        <v>-0.1875</v>
      </c>
      <c r="X70" s="298">
        <v>-1.8499999999999999E-2</v>
      </c>
      <c r="Y70" s="313">
        <v>0.10249999999999999</v>
      </c>
      <c r="Z70" s="313">
        <v>2.0500000000000001E-2</v>
      </c>
      <c r="AA70" s="445">
        <v>0.19</v>
      </c>
      <c r="AB70" s="445">
        <v>0.20899999999999999</v>
      </c>
      <c r="AC70" s="445">
        <v>0.19</v>
      </c>
      <c r="AD70" s="445">
        <v>0.19</v>
      </c>
      <c r="AE70" s="445">
        <v>0.19</v>
      </c>
      <c r="AF70" s="445">
        <v>0.19</v>
      </c>
      <c r="AG70" s="445">
        <v>0.19</v>
      </c>
      <c r="AH70" s="445">
        <v>0.19</v>
      </c>
      <c r="AI70" s="446">
        <v>0.19</v>
      </c>
      <c r="AJ70" s="446">
        <v>0.19</v>
      </c>
      <c r="AK70" s="446">
        <v>0.19</v>
      </c>
      <c r="AL70" s="445">
        <v>0.19</v>
      </c>
      <c r="AM70" s="312">
        <v>7.1261854619255993E-2</v>
      </c>
      <c r="AN70" s="312"/>
      <c r="AO70" s="313">
        <f t="shared" si="4"/>
        <v>0.20899999999999999</v>
      </c>
      <c r="AP70" s="313">
        <f t="shared" si="5"/>
        <v>0.20899999999999999</v>
      </c>
      <c r="AQ70" s="316">
        <f t="shared" si="6"/>
        <v>0.20899999999999999</v>
      </c>
      <c r="IU70" s="315">
        <f t="shared" si="2"/>
        <v>38322</v>
      </c>
      <c r="IV70" s="298">
        <v>59</v>
      </c>
    </row>
    <row r="71" spans="1:256" x14ac:dyDescent="0.25">
      <c r="A71" s="326"/>
      <c r="B71" s="303">
        <f t="shared" si="7"/>
        <v>38322</v>
      </c>
      <c r="C71" s="301">
        <v>3.0165000000000002</v>
      </c>
      <c r="D71" s="301">
        <v>0.191</v>
      </c>
      <c r="E71" s="301">
        <v>7.1075375119012005E-2</v>
      </c>
      <c r="F71" s="301">
        <v>-0.19750000000000001</v>
      </c>
      <c r="G71" s="301">
        <v>-5.5E-2</v>
      </c>
      <c r="H71" s="301">
        <v>-0.19750000000000001</v>
      </c>
      <c r="I71" s="301">
        <v>0.155</v>
      </c>
      <c r="J71" s="301">
        <v>0.29499999999999998</v>
      </c>
      <c r="K71" s="301">
        <v>-6.0499999999999998E-2</v>
      </c>
      <c r="L71" s="301">
        <v>-2.4500000000000001E-2</v>
      </c>
      <c r="M71" s="301">
        <v>-0.24249999999999999</v>
      </c>
      <c r="N71" s="301">
        <v>7.4999999999999997E-3</v>
      </c>
      <c r="O71" s="301">
        <v>1E-3</v>
      </c>
      <c r="P71" s="298">
        <v>-3.0499999999999999E-2</v>
      </c>
      <c r="Q71" s="298">
        <v>-5.5E-2</v>
      </c>
      <c r="R71" s="298">
        <v>-3.3500000000000002E-2</v>
      </c>
      <c r="S71" s="298">
        <v>-9.5000000000000001E-2</v>
      </c>
      <c r="T71" s="298">
        <v>-0.14749999999999999</v>
      </c>
      <c r="U71" s="298">
        <v>1.0349999999999999</v>
      </c>
      <c r="V71" s="298">
        <v>5.0000000000000001E-3</v>
      </c>
      <c r="W71" s="298">
        <v>-0.1875</v>
      </c>
      <c r="X71" s="298">
        <v>-1.8499999999999999E-2</v>
      </c>
      <c r="Y71" s="313">
        <v>0.10249999999999999</v>
      </c>
      <c r="Z71" s="313">
        <v>2.0500000000000001E-2</v>
      </c>
      <c r="AA71" s="445">
        <v>0.191</v>
      </c>
      <c r="AB71" s="445">
        <v>0.21</v>
      </c>
      <c r="AC71" s="445">
        <v>0.191</v>
      </c>
      <c r="AD71" s="445">
        <v>0.191</v>
      </c>
      <c r="AE71" s="445">
        <v>0.191</v>
      </c>
      <c r="AF71" s="445">
        <v>0.191</v>
      </c>
      <c r="AG71" s="445">
        <v>0.191</v>
      </c>
      <c r="AH71" s="445">
        <v>0.191</v>
      </c>
      <c r="AI71" s="446">
        <v>0.191</v>
      </c>
      <c r="AJ71" s="446">
        <v>0.191</v>
      </c>
      <c r="AK71" s="446">
        <v>0.191</v>
      </c>
      <c r="AL71" s="445">
        <v>0.191</v>
      </c>
      <c r="AM71" s="312">
        <v>7.1286324688613997E-2</v>
      </c>
      <c r="AN71" s="312"/>
      <c r="AO71" s="313">
        <f t="shared" si="4"/>
        <v>0.21</v>
      </c>
      <c r="AP71" s="313">
        <f t="shared" si="5"/>
        <v>0.21</v>
      </c>
      <c r="AQ71" s="316">
        <f t="shared" si="6"/>
        <v>0.21</v>
      </c>
      <c r="IU71" s="315">
        <f t="shared" si="2"/>
        <v>38353</v>
      </c>
      <c r="IV71" s="298">
        <v>60</v>
      </c>
    </row>
    <row r="72" spans="1:256" x14ac:dyDescent="0.25">
      <c r="A72" s="326"/>
      <c r="B72" s="303">
        <f t="shared" si="7"/>
        <v>38353</v>
      </c>
      <c r="C72" s="301">
        <v>3.0539999999999998</v>
      </c>
      <c r="D72" s="301">
        <v>0.193</v>
      </c>
      <c r="E72" s="301">
        <v>7.1053175836910995E-2</v>
      </c>
      <c r="F72" s="301">
        <v>-0.2</v>
      </c>
      <c r="G72" s="301">
        <v>-5.7500000000000002E-2</v>
      </c>
      <c r="H72" s="301">
        <v>-0.2</v>
      </c>
      <c r="I72" s="301">
        <v>0.19500000000000001</v>
      </c>
      <c r="J72" s="301">
        <v>0.34250000000000003</v>
      </c>
      <c r="K72" s="301">
        <v>-6.4500000000000002E-2</v>
      </c>
      <c r="L72" s="301">
        <v>-1.8499999999999999E-2</v>
      </c>
      <c r="M72" s="301">
        <v>-0.24249999999999999</v>
      </c>
      <c r="N72" s="301">
        <v>7.4999999999999997E-3</v>
      </c>
      <c r="O72" s="301">
        <v>1E-3</v>
      </c>
      <c r="P72" s="298">
        <v>-2.8000000000000001E-2</v>
      </c>
      <c r="Q72" s="298">
        <v>-5.5E-2</v>
      </c>
      <c r="R72" s="298">
        <v>-3.3500000000000002E-2</v>
      </c>
      <c r="S72" s="298">
        <v>-0.1055</v>
      </c>
      <c r="T72" s="298">
        <v>-0.14749999999999999</v>
      </c>
      <c r="U72" s="298">
        <v>1.5049999999999999</v>
      </c>
      <c r="V72" s="298">
        <v>5.0000000000000001E-3</v>
      </c>
      <c r="W72" s="298">
        <v>-0.1875</v>
      </c>
      <c r="X72" s="298">
        <v>-1.8499999999999999E-2</v>
      </c>
      <c r="Y72" s="313">
        <v>0.10249999999999999</v>
      </c>
      <c r="Z72" s="313">
        <v>2.0500000000000001E-2</v>
      </c>
      <c r="AA72" s="445">
        <v>0.193</v>
      </c>
      <c r="AB72" s="445">
        <v>0.193</v>
      </c>
      <c r="AC72" s="445">
        <v>0.193</v>
      </c>
      <c r="AD72" s="445">
        <v>0.193</v>
      </c>
      <c r="AE72" s="445">
        <v>0.193</v>
      </c>
      <c r="AF72" s="445">
        <v>0.193</v>
      </c>
      <c r="AG72" s="445">
        <v>0.193</v>
      </c>
      <c r="AH72" s="445">
        <v>0.193</v>
      </c>
      <c r="AI72" s="446">
        <v>0.193</v>
      </c>
      <c r="AJ72" s="446">
        <v>0.193</v>
      </c>
      <c r="AK72" s="446">
        <v>0.193</v>
      </c>
      <c r="AL72" s="445">
        <v>0.193</v>
      </c>
      <c r="AM72" s="312">
        <v>7.1311610427158001E-2</v>
      </c>
      <c r="AN72" s="312"/>
      <c r="AO72" s="313">
        <f t="shared" si="4"/>
        <v>0.193</v>
      </c>
      <c r="AP72" s="313">
        <f t="shared" si="5"/>
        <v>0.193</v>
      </c>
      <c r="AQ72" s="316">
        <f t="shared" si="6"/>
        <v>0.193</v>
      </c>
      <c r="IU72" s="315">
        <f t="shared" si="2"/>
        <v>38384</v>
      </c>
      <c r="IV72" s="298">
        <v>61</v>
      </c>
    </row>
    <row r="73" spans="1:256" x14ac:dyDescent="0.25">
      <c r="A73" s="326"/>
      <c r="B73" s="303">
        <f t="shared" si="7"/>
        <v>38384</v>
      </c>
      <c r="C73" s="301">
        <v>2.9489999999999998</v>
      </c>
      <c r="D73" s="301">
        <v>0.192</v>
      </c>
      <c r="E73" s="301">
        <v>7.1030976554974007E-2</v>
      </c>
      <c r="F73" s="301">
        <v>-0.20250000000000001</v>
      </c>
      <c r="G73" s="301">
        <v>-0.04</v>
      </c>
      <c r="H73" s="301">
        <v>-0.20250000000000001</v>
      </c>
      <c r="I73" s="301">
        <v>0.17</v>
      </c>
      <c r="J73" s="301">
        <v>0.33750000000000002</v>
      </c>
      <c r="K73" s="301">
        <v>-6.0499999999999998E-2</v>
      </c>
      <c r="L73" s="301">
        <v>-2.4500000000000001E-2</v>
      </c>
      <c r="M73" s="301">
        <v>-0.24249999999999999</v>
      </c>
      <c r="N73" s="301">
        <v>7.4999999999999997E-3</v>
      </c>
      <c r="O73" s="301">
        <v>1E-3</v>
      </c>
      <c r="P73" s="298">
        <v>-2.8000000000000001E-2</v>
      </c>
      <c r="Q73" s="298">
        <v>-5.5E-2</v>
      </c>
      <c r="R73" s="298">
        <v>-3.3500000000000002E-2</v>
      </c>
      <c r="S73" s="298">
        <v>-9.2999999999999999E-2</v>
      </c>
      <c r="T73" s="298">
        <v>-0.14749999999999999</v>
      </c>
      <c r="U73" s="298">
        <v>1.385</v>
      </c>
      <c r="V73" s="298">
        <v>5.0000000000000001E-3</v>
      </c>
      <c r="W73" s="298">
        <v>-0.1875</v>
      </c>
      <c r="X73" s="298">
        <v>-1.8499999999999999E-2</v>
      </c>
      <c r="Y73" s="313">
        <v>0.10249999999999999</v>
      </c>
      <c r="Z73" s="313">
        <v>2.0500000000000001E-2</v>
      </c>
      <c r="AA73" s="445">
        <v>0.192</v>
      </c>
      <c r="AB73" s="445">
        <v>0.21099999999999999</v>
      </c>
      <c r="AC73" s="445">
        <v>0.192</v>
      </c>
      <c r="AD73" s="445">
        <v>0.192</v>
      </c>
      <c r="AE73" s="445">
        <v>0.192</v>
      </c>
      <c r="AF73" s="445">
        <v>0.192</v>
      </c>
      <c r="AG73" s="445">
        <v>0.192</v>
      </c>
      <c r="AH73" s="445">
        <v>0.192</v>
      </c>
      <c r="AI73" s="446">
        <v>0.192</v>
      </c>
      <c r="AJ73" s="446">
        <v>0.192</v>
      </c>
      <c r="AK73" s="446">
        <v>0.192</v>
      </c>
      <c r="AL73" s="445">
        <v>0.192</v>
      </c>
      <c r="AM73" s="312">
        <v>7.1336896165914002E-2</v>
      </c>
      <c r="AN73" s="312"/>
      <c r="AO73" s="313">
        <f t="shared" si="4"/>
        <v>0.21099999999999999</v>
      </c>
      <c r="AP73" s="313">
        <f t="shared" si="5"/>
        <v>0.21099999999999999</v>
      </c>
      <c r="AQ73" s="316">
        <f t="shared" si="6"/>
        <v>0.21099999999999999</v>
      </c>
      <c r="IU73" s="315">
        <f t="shared" si="2"/>
        <v>38412</v>
      </c>
      <c r="IV73" s="298">
        <v>62</v>
      </c>
    </row>
    <row r="74" spans="1:256" x14ac:dyDescent="0.25">
      <c r="A74" s="326"/>
      <c r="B74" s="303">
        <f t="shared" si="7"/>
        <v>38412</v>
      </c>
      <c r="C74" s="301">
        <v>2.84</v>
      </c>
      <c r="D74" s="301">
        <v>0.19</v>
      </c>
      <c r="E74" s="301">
        <v>7.1010925590781995E-2</v>
      </c>
      <c r="F74" s="301">
        <v>-0.20499999999999999</v>
      </c>
      <c r="G74" s="301">
        <v>-2.75E-2</v>
      </c>
      <c r="H74" s="301">
        <v>-0.20499999999999999</v>
      </c>
      <c r="I74" s="301">
        <v>0.16750000000000001</v>
      </c>
      <c r="J74" s="301">
        <v>0.26</v>
      </c>
      <c r="K74" s="301">
        <v>-6.2E-2</v>
      </c>
      <c r="L74" s="301">
        <v>-2.75E-2</v>
      </c>
      <c r="M74" s="301">
        <v>-0.24249999999999999</v>
      </c>
      <c r="N74" s="301">
        <v>7.4999999999999997E-3</v>
      </c>
      <c r="O74" s="301">
        <v>1E-3</v>
      </c>
      <c r="P74" s="298">
        <v>-2.8000000000000001E-2</v>
      </c>
      <c r="Q74" s="298">
        <v>-5.5E-2</v>
      </c>
      <c r="R74" s="298">
        <v>-3.3500000000000002E-2</v>
      </c>
      <c r="S74" s="298">
        <v>-8.0500000000000002E-2</v>
      </c>
      <c r="T74" s="298">
        <v>-0.14749999999999999</v>
      </c>
      <c r="U74" s="298">
        <v>0.875</v>
      </c>
      <c r="V74" s="298">
        <v>5.0000000000000001E-3</v>
      </c>
      <c r="W74" s="298">
        <v>-0.1875</v>
      </c>
      <c r="X74" s="298">
        <v>-1.8499999999999999E-2</v>
      </c>
      <c r="Y74" s="313">
        <v>0.10249999999999999</v>
      </c>
      <c r="Z74" s="313">
        <v>2.0500000000000001E-2</v>
      </c>
      <c r="AA74" s="445">
        <v>0.19</v>
      </c>
      <c r="AB74" s="445">
        <v>0.20899999999999999</v>
      </c>
      <c r="AC74" s="445">
        <v>0.19</v>
      </c>
      <c r="AD74" s="445">
        <v>0.19</v>
      </c>
      <c r="AE74" s="445">
        <v>0.19</v>
      </c>
      <c r="AF74" s="445">
        <v>0.19</v>
      </c>
      <c r="AG74" s="445">
        <v>0.19</v>
      </c>
      <c r="AH74" s="445">
        <v>0.19</v>
      </c>
      <c r="AI74" s="446">
        <v>0.19</v>
      </c>
      <c r="AJ74" s="446">
        <v>0.19</v>
      </c>
      <c r="AK74" s="446">
        <v>0.19</v>
      </c>
      <c r="AL74" s="445">
        <v>0.19</v>
      </c>
      <c r="AM74" s="312">
        <v>7.1359734897875005E-2</v>
      </c>
      <c r="AN74" s="312"/>
      <c r="AO74" s="313">
        <f t="shared" si="4"/>
        <v>0.20899999999999999</v>
      </c>
      <c r="AP74" s="313">
        <f t="shared" si="5"/>
        <v>0.20899999999999999</v>
      </c>
      <c r="AQ74" s="316">
        <f t="shared" si="6"/>
        <v>0.20899999999999999</v>
      </c>
      <c r="IU74" s="315">
        <f t="shared" si="2"/>
        <v>38443</v>
      </c>
      <c r="IV74" s="298">
        <v>63</v>
      </c>
    </row>
    <row r="75" spans="1:256" x14ac:dyDescent="0.25">
      <c r="A75" s="326"/>
      <c r="B75" s="303">
        <f t="shared" si="7"/>
        <v>38443</v>
      </c>
      <c r="C75" s="301">
        <v>2.746</v>
      </c>
      <c r="D75" s="301">
        <v>0.187</v>
      </c>
      <c r="E75" s="301">
        <v>7.0988726309154995E-2</v>
      </c>
      <c r="F75" s="301">
        <v>-0.19500000000000001</v>
      </c>
      <c r="G75" s="301">
        <v>1.4999999999999999E-2</v>
      </c>
      <c r="H75" s="301">
        <v>-0.19500000000000001</v>
      </c>
      <c r="I75" s="301">
        <v>0.06</v>
      </c>
      <c r="J75" s="301">
        <v>0.17</v>
      </c>
      <c r="K75" s="301">
        <v>-7.1999999999999995E-2</v>
      </c>
      <c r="L75" s="301">
        <v>-0.04</v>
      </c>
      <c r="M75" s="301">
        <v>-0.29249999999999998</v>
      </c>
      <c r="N75" s="301">
        <v>6.0000000000000001E-3</v>
      </c>
      <c r="O75" s="301">
        <v>-1.5E-3</v>
      </c>
      <c r="P75" s="298">
        <v>-0.03</v>
      </c>
      <c r="Q75" s="298">
        <v>-5.2499999999999998E-2</v>
      </c>
      <c r="R75" s="298">
        <v>-1.52E-2</v>
      </c>
      <c r="S75" s="298">
        <v>-6.3E-2</v>
      </c>
      <c r="T75" s="298">
        <v>-0.105</v>
      </c>
      <c r="U75" s="298">
        <v>0.37</v>
      </c>
      <c r="V75" s="298">
        <v>5.0000000000000001E-3</v>
      </c>
      <c r="W75" s="298">
        <v>-0.16500000000000001</v>
      </c>
      <c r="X75" s="298">
        <v>-1.8499999999999999E-2</v>
      </c>
      <c r="Y75" s="313">
        <v>0.21249999999999999</v>
      </c>
      <c r="Z75" s="313">
        <v>1.2999999999999999E-2</v>
      </c>
      <c r="AA75" s="445">
        <v>0.187</v>
      </c>
      <c r="AB75" s="445">
        <v>0.183</v>
      </c>
      <c r="AC75" s="445">
        <v>0.187</v>
      </c>
      <c r="AD75" s="445">
        <v>0.187</v>
      </c>
      <c r="AE75" s="445">
        <v>0.183</v>
      </c>
      <c r="AF75" s="445">
        <v>0.187</v>
      </c>
      <c r="AG75" s="445">
        <v>0.187</v>
      </c>
      <c r="AH75" s="445">
        <v>0.187</v>
      </c>
      <c r="AI75" s="446">
        <v>0.187</v>
      </c>
      <c r="AJ75" s="446">
        <v>0.187</v>
      </c>
      <c r="AK75" s="446">
        <v>0.187</v>
      </c>
      <c r="AL75" s="445">
        <v>0.187</v>
      </c>
      <c r="AM75" s="312">
        <v>7.1385020637033003E-2</v>
      </c>
      <c r="AN75" s="312"/>
      <c r="AO75" s="313">
        <f t="shared" si="4"/>
        <v>0.183</v>
      </c>
      <c r="AP75" s="313">
        <f t="shared" si="5"/>
        <v>0.183</v>
      </c>
      <c r="AQ75" s="316">
        <f t="shared" si="6"/>
        <v>0.183</v>
      </c>
      <c r="IU75" s="315">
        <f t="shared" si="2"/>
        <v>38473</v>
      </c>
      <c r="IV75" s="298">
        <v>64</v>
      </c>
    </row>
    <row r="76" spans="1:256" x14ac:dyDescent="0.25">
      <c r="A76" s="326"/>
      <c r="B76" s="303">
        <f t="shared" si="7"/>
        <v>38473</v>
      </c>
      <c r="C76" s="301">
        <v>2.7705000000000002</v>
      </c>
      <c r="D76" s="301">
        <v>0.186</v>
      </c>
      <c r="E76" s="301">
        <v>7.0986344405628996E-2</v>
      </c>
      <c r="F76" s="301">
        <v>-0.19500000000000001</v>
      </c>
      <c r="G76" s="301">
        <v>1.4999999999999999E-2</v>
      </c>
      <c r="H76" s="301">
        <v>-0.19500000000000001</v>
      </c>
      <c r="I76" s="301">
        <v>6.25E-2</v>
      </c>
      <c r="J76" s="301">
        <v>0.155</v>
      </c>
      <c r="K76" s="301">
        <v>-4.7E-2</v>
      </c>
      <c r="L76" s="301">
        <v>-1.4999999999999999E-2</v>
      </c>
      <c r="M76" s="301">
        <v>-0.29249999999999998</v>
      </c>
      <c r="N76" s="301">
        <v>6.0000000000000001E-3</v>
      </c>
      <c r="O76" s="301">
        <v>-1.5E-3</v>
      </c>
      <c r="P76" s="298">
        <v>-0.03</v>
      </c>
      <c r="Q76" s="298">
        <v>-5.2499999999999998E-2</v>
      </c>
      <c r="R76" s="298">
        <v>-1.525E-2</v>
      </c>
      <c r="S76" s="298">
        <v>-6.5500000000000003E-2</v>
      </c>
      <c r="T76" s="298">
        <v>-0.105</v>
      </c>
      <c r="U76" s="298">
        <v>0.2525</v>
      </c>
      <c r="V76" s="298">
        <v>5.0000000000000001E-3</v>
      </c>
      <c r="W76" s="298">
        <v>-0.16500000000000001</v>
      </c>
      <c r="X76" s="298">
        <v>-1.4999999999999999E-2</v>
      </c>
      <c r="Y76" s="313">
        <v>0.21249999999999999</v>
      </c>
      <c r="Z76" s="313">
        <v>1.2999999999999999E-2</v>
      </c>
      <c r="AA76" s="445">
        <v>0.186</v>
      </c>
      <c r="AB76" s="445">
        <v>0.182</v>
      </c>
      <c r="AC76" s="445">
        <v>0.186</v>
      </c>
      <c r="AD76" s="445">
        <v>0.186</v>
      </c>
      <c r="AE76" s="445">
        <v>0.182</v>
      </c>
      <c r="AF76" s="445">
        <v>0.186</v>
      </c>
      <c r="AG76" s="445">
        <v>0.186</v>
      </c>
      <c r="AH76" s="445">
        <v>0.186</v>
      </c>
      <c r="AI76" s="446">
        <v>0.186</v>
      </c>
      <c r="AJ76" s="446">
        <v>0.186</v>
      </c>
      <c r="AK76" s="446">
        <v>0.186</v>
      </c>
      <c r="AL76" s="445">
        <v>0.186</v>
      </c>
      <c r="AM76" s="312">
        <v>7.1407739546424001E-2</v>
      </c>
      <c r="AN76" s="312"/>
      <c r="AO76" s="313">
        <f t="shared" si="4"/>
        <v>0.182</v>
      </c>
      <c r="AP76" s="313">
        <f t="shared" si="5"/>
        <v>0.182</v>
      </c>
      <c r="AQ76" s="316">
        <f t="shared" si="6"/>
        <v>0.182</v>
      </c>
      <c r="IU76" s="315">
        <f t="shared" si="2"/>
        <v>38504</v>
      </c>
      <c r="IV76" s="298">
        <v>65</v>
      </c>
    </row>
    <row r="77" spans="1:256" x14ac:dyDescent="0.25">
      <c r="A77" s="326"/>
      <c r="B77" s="303">
        <f t="shared" si="7"/>
        <v>38504</v>
      </c>
      <c r="C77" s="301">
        <v>2.7795000000000001</v>
      </c>
      <c r="D77" s="301">
        <v>0.1855</v>
      </c>
      <c r="E77" s="301">
        <v>7.1009694311620006E-2</v>
      </c>
      <c r="F77" s="301">
        <v>-0.19500000000000001</v>
      </c>
      <c r="G77" s="301">
        <v>0.02</v>
      </c>
      <c r="H77" s="301">
        <v>-0.19500000000000001</v>
      </c>
      <c r="I77" s="301">
        <v>5.7500000000000002E-2</v>
      </c>
      <c r="J77" s="301">
        <v>0.155</v>
      </c>
      <c r="K77" s="301">
        <v>-4.4499999999999998E-2</v>
      </c>
      <c r="L77" s="301">
        <v>-1.2500000000000001E-2</v>
      </c>
      <c r="M77" s="301">
        <v>-0.29249999999999998</v>
      </c>
      <c r="N77" s="301">
        <v>6.0000000000000001E-3</v>
      </c>
      <c r="O77" s="301">
        <v>-1.5E-3</v>
      </c>
      <c r="P77" s="298">
        <v>-2.75E-2</v>
      </c>
      <c r="Q77" s="298">
        <v>-5.2499999999999998E-2</v>
      </c>
      <c r="R77" s="298">
        <v>-1.525E-2</v>
      </c>
      <c r="S77" s="298">
        <v>-5.5500000000000001E-2</v>
      </c>
      <c r="T77" s="298">
        <v>-0.105</v>
      </c>
      <c r="U77" s="298">
        <v>0.2525</v>
      </c>
      <c r="V77" s="298">
        <v>5.0000000000000001E-3</v>
      </c>
      <c r="W77" s="298">
        <v>-0.16500000000000001</v>
      </c>
      <c r="X77" s="298">
        <v>-1.7500000000000002E-2</v>
      </c>
      <c r="Y77" s="313">
        <v>0.21249999999999999</v>
      </c>
      <c r="Z77" s="313">
        <v>1.2999999999999999E-2</v>
      </c>
      <c r="AA77" s="445">
        <v>0.186</v>
      </c>
      <c r="AB77" s="445">
        <v>0.182</v>
      </c>
      <c r="AC77" s="445">
        <v>0.186</v>
      </c>
      <c r="AD77" s="445">
        <v>0.186</v>
      </c>
      <c r="AE77" s="445">
        <v>0.182</v>
      </c>
      <c r="AF77" s="445">
        <v>0.186</v>
      </c>
      <c r="AG77" s="445">
        <v>0.186</v>
      </c>
      <c r="AH77" s="445">
        <v>0.186</v>
      </c>
      <c r="AI77" s="446">
        <v>0.186</v>
      </c>
      <c r="AJ77" s="446">
        <v>0.186</v>
      </c>
      <c r="AK77" s="446">
        <v>0.186</v>
      </c>
      <c r="AL77" s="445">
        <v>0.186</v>
      </c>
      <c r="AM77" s="312">
        <v>7.1428849440581005E-2</v>
      </c>
      <c r="AN77" s="312"/>
      <c r="AO77" s="313">
        <f t="shared" si="4"/>
        <v>0.182</v>
      </c>
      <c r="AP77" s="313">
        <f t="shared" si="5"/>
        <v>0.182</v>
      </c>
      <c r="AQ77" s="316">
        <f t="shared" si="6"/>
        <v>0.182</v>
      </c>
      <c r="IU77" s="315">
        <f t="shared" si="2"/>
        <v>38534</v>
      </c>
      <c r="IV77" s="298">
        <v>66</v>
      </c>
    </row>
    <row r="78" spans="1:256" x14ac:dyDescent="0.25">
      <c r="A78" s="326"/>
      <c r="B78" s="303">
        <f t="shared" si="7"/>
        <v>38534</v>
      </c>
      <c r="C78" s="301">
        <v>2.7825000000000002</v>
      </c>
      <c r="D78" s="301">
        <v>0.185</v>
      </c>
      <c r="E78" s="301">
        <v>7.1032290995009004E-2</v>
      </c>
      <c r="F78" s="301">
        <v>-0.19500000000000001</v>
      </c>
      <c r="G78" s="301">
        <v>2.2499999999999999E-2</v>
      </c>
      <c r="H78" s="301">
        <v>-0.19500000000000001</v>
      </c>
      <c r="I78" s="301">
        <v>4.7500000000000001E-2</v>
      </c>
      <c r="J78" s="301">
        <v>0.155</v>
      </c>
      <c r="K78" s="301">
        <v>-4.4499999999999998E-2</v>
      </c>
      <c r="L78" s="301">
        <v>-1.2500000000000001E-2</v>
      </c>
      <c r="M78" s="301">
        <v>-0.29249999999999998</v>
      </c>
      <c r="N78" s="301">
        <v>6.0000000000000001E-3</v>
      </c>
      <c r="O78" s="301">
        <v>-1.5E-3</v>
      </c>
      <c r="P78" s="298">
        <v>-2.75E-2</v>
      </c>
      <c r="Q78" s="298">
        <v>-5.2499999999999998E-2</v>
      </c>
      <c r="R78" s="298">
        <v>-1.525E-2</v>
      </c>
      <c r="S78" s="298">
        <v>-5.5500000000000001E-2</v>
      </c>
      <c r="T78" s="298">
        <v>-0.105</v>
      </c>
      <c r="U78" s="298">
        <v>0.25750000000000001</v>
      </c>
      <c r="V78" s="298">
        <v>5.0000000000000001E-3</v>
      </c>
      <c r="W78" s="298">
        <v>-0.16500000000000001</v>
      </c>
      <c r="X78" s="298">
        <v>-1.7500000000000002E-2</v>
      </c>
      <c r="Y78" s="313">
        <v>0.21249999999999999</v>
      </c>
      <c r="Z78" s="313">
        <v>1.2999999999999999E-2</v>
      </c>
      <c r="AA78" s="445">
        <v>0.185</v>
      </c>
      <c r="AB78" s="445">
        <v>0.18099999999999999</v>
      </c>
      <c r="AC78" s="445">
        <v>0.185</v>
      </c>
      <c r="AD78" s="445">
        <v>0.185</v>
      </c>
      <c r="AE78" s="445">
        <v>0.18099999999999999</v>
      </c>
      <c r="AF78" s="445">
        <v>0.185</v>
      </c>
      <c r="AG78" s="445">
        <v>0.185</v>
      </c>
      <c r="AH78" s="445">
        <v>0.185</v>
      </c>
      <c r="AI78" s="446">
        <v>0.185</v>
      </c>
      <c r="AJ78" s="446">
        <v>0.185</v>
      </c>
      <c r="AK78" s="446">
        <v>0.185</v>
      </c>
      <c r="AL78" s="445">
        <v>0.185</v>
      </c>
      <c r="AM78" s="312">
        <v>7.1449278370549998E-2</v>
      </c>
      <c r="AN78" s="312"/>
      <c r="AO78" s="313">
        <f t="shared" si="4"/>
        <v>0.18099999999999999</v>
      </c>
      <c r="AP78" s="313">
        <f t="shared" si="5"/>
        <v>0.18099999999999999</v>
      </c>
      <c r="AQ78" s="316">
        <f t="shared" si="6"/>
        <v>0.18099999999999999</v>
      </c>
      <c r="IU78" s="315">
        <f t="shared" si="2"/>
        <v>38565</v>
      </c>
      <c r="IV78" s="298">
        <v>67</v>
      </c>
    </row>
    <row r="79" spans="1:256" x14ac:dyDescent="0.25">
      <c r="A79" s="326"/>
      <c r="B79" s="303">
        <f t="shared" si="7"/>
        <v>38565</v>
      </c>
      <c r="C79" s="301">
        <v>2.7885</v>
      </c>
      <c r="D79" s="301">
        <v>0.185</v>
      </c>
      <c r="E79" s="301">
        <v>7.1055640901354994E-2</v>
      </c>
      <c r="F79" s="301">
        <v>-0.19500000000000001</v>
      </c>
      <c r="G79" s="301">
        <v>2.5000000000000001E-2</v>
      </c>
      <c r="H79" s="301">
        <v>-0.19500000000000001</v>
      </c>
      <c r="I79" s="301">
        <v>4.4999999999999998E-2</v>
      </c>
      <c r="J79" s="301">
        <v>0.155</v>
      </c>
      <c r="K79" s="301">
        <v>-4.4499999999999998E-2</v>
      </c>
      <c r="L79" s="301">
        <v>-1.2500000000000001E-2</v>
      </c>
      <c r="M79" s="301">
        <v>-0.29249999999999998</v>
      </c>
      <c r="N79" s="301">
        <v>6.0000000000000001E-3</v>
      </c>
      <c r="O79" s="301">
        <v>-1.5E-3</v>
      </c>
      <c r="P79" s="298">
        <v>-2.75E-2</v>
      </c>
      <c r="Q79" s="298">
        <v>-5.2499999999999998E-2</v>
      </c>
      <c r="R79" s="298">
        <v>-1.525E-2</v>
      </c>
      <c r="S79" s="298">
        <v>-5.5500000000000001E-2</v>
      </c>
      <c r="T79" s="298">
        <v>-0.105</v>
      </c>
      <c r="U79" s="298">
        <v>0.25750000000000001</v>
      </c>
      <c r="V79" s="298">
        <v>5.0000000000000001E-3</v>
      </c>
      <c r="W79" s="298">
        <v>-0.16500000000000001</v>
      </c>
      <c r="X79" s="298">
        <v>-1.7500000000000002E-2</v>
      </c>
      <c r="Y79" s="313">
        <v>0.21249999999999999</v>
      </c>
      <c r="Z79" s="313">
        <v>1.2999999999999999E-2</v>
      </c>
      <c r="AA79" s="445">
        <v>0.185</v>
      </c>
      <c r="AB79" s="445">
        <v>0.18099999999999999</v>
      </c>
      <c r="AC79" s="445">
        <v>0.185</v>
      </c>
      <c r="AD79" s="445">
        <v>0.185</v>
      </c>
      <c r="AE79" s="445">
        <v>0.18099999999999999</v>
      </c>
      <c r="AF79" s="445">
        <v>0.185</v>
      </c>
      <c r="AG79" s="445">
        <v>0.185</v>
      </c>
      <c r="AH79" s="445">
        <v>0.185</v>
      </c>
      <c r="AI79" s="446">
        <v>0.185</v>
      </c>
      <c r="AJ79" s="446">
        <v>0.185</v>
      </c>
      <c r="AK79" s="446">
        <v>0.185</v>
      </c>
      <c r="AL79" s="445">
        <v>0.185</v>
      </c>
      <c r="AM79" s="312">
        <v>7.1470388265000004E-2</v>
      </c>
      <c r="AN79" s="312"/>
      <c r="AO79" s="313">
        <f t="shared" si="4"/>
        <v>0.18099999999999999</v>
      </c>
      <c r="AP79" s="313">
        <f t="shared" si="5"/>
        <v>0.18099999999999999</v>
      </c>
      <c r="AQ79" s="316">
        <f t="shared" si="6"/>
        <v>0.18099999999999999</v>
      </c>
      <c r="IU79" s="315">
        <f t="shared" ref="IU79:IU142" si="8">B80</f>
        <v>38596</v>
      </c>
      <c r="IV79" s="298">
        <v>68</v>
      </c>
    </row>
    <row r="80" spans="1:256" x14ac:dyDescent="0.25">
      <c r="A80" s="326"/>
      <c r="B80" s="303">
        <f t="shared" si="7"/>
        <v>38596</v>
      </c>
      <c r="C80" s="301">
        <v>2.7905000000000002</v>
      </c>
      <c r="D80" s="301">
        <v>0.185</v>
      </c>
      <c r="E80" s="301">
        <v>7.1078990807881007E-2</v>
      </c>
      <c r="F80" s="301">
        <v>-0.19500000000000001</v>
      </c>
      <c r="G80" s="301">
        <v>1.7500000000000002E-2</v>
      </c>
      <c r="H80" s="301">
        <v>-0.19500000000000001</v>
      </c>
      <c r="I80" s="301">
        <v>4.2500000000000003E-2</v>
      </c>
      <c r="J80" s="301">
        <v>0.155</v>
      </c>
      <c r="K80" s="301">
        <v>-4.7E-2</v>
      </c>
      <c r="L80" s="301">
        <v>-1.4999999999999999E-2</v>
      </c>
      <c r="M80" s="301">
        <v>-0.29249999999999998</v>
      </c>
      <c r="N80" s="301">
        <v>6.0000000000000001E-3</v>
      </c>
      <c r="O80" s="301">
        <v>-1.5E-3</v>
      </c>
      <c r="P80" s="298">
        <v>-2.75E-2</v>
      </c>
      <c r="Q80" s="298">
        <v>-5.2499999999999998E-2</v>
      </c>
      <c r="R80" s="298">
        <v>-1.2749999999999999E-2</v>
      </c>
      <c r="S80" s="298">
        <v>-6.3E-2</v>
      </c>
      <c r="T80" s="298">
        <v>-0.105</v>
      </c>
      <c r="U80" s="298">
        <v>0.2525</v>
      </c>
      <c r="V80" s="298">
        <v>5.0000000000000001E-3</v>
      </c>
      <c r="W80" s="298">
        <v>-0.16500000000000001</v>
      </c>
      <c r="X80" s="298">
        <v>-0.02</v>
      </c>
      <c r="Y80" s="313">
        <v>0.21249999999999999</v>
      </c>
      <c r="Z80" s="313">
        <v>1.2999999999999999E-2</v>
      </c>
      <c r="AA80" s="445">
        <v>0.185</v>
      </c>
      <c r="AB80" s="445">
        <v>0.18099999999999999</v>
      </c>
      <c r="AC80" s="445">
        <v>0.185</v>
      </c>
      <c r="AD80" s="445">
        <v>0.185</v>
      </c>
      <c r="AE80" s="445">
        <v>0.18099999999999999</v>
      </c>
      <c r="AF80" s="445">
        <v>0.185</v>
      </c>
      <c r="AG80" s="445">
        <v>0.185</v>
      </c>
      <c r="AH80" s="445">
        <v>0.185</v>
      </c>
      <c r="AI80" s="446">
        <v>0.185</v>
      </c>
      <c r="AJ80" s="446">
        <v>0.185</v>
      </c>
      <c r="AK80" s="446">
        <v>0.185</v>
      </c>
      <c r="AL80" s="445">
        <v>0.185</v>
      </c>
      <c r="AM80" s="312">
        <v>7.1491498159589995E-2</v>
      </c>
      <c r="AN80" s="312"/>
      <c r="AO80" s="313">
        <f t="shared" si="4"/>
        <v>0.18099999999999999</v>
      </c>
      <c r="AP80" s="313">
        <f t="shared" si="5"/>
        <v>0.18099999999999999</v>
      </c>
      <c r="AQ80" s="316">
        <f t="shared" si="6"/>
        <v>0.18099999999999999</v>
      </c>
      <c r="IU80" s="315">
        <f t="shared" si="8"/>
        <v>38626</v>
      </c>
      <c r="IV80" s="298">
        <v>69</v>
      </c>
    </row>
    <row r="81" spans="1:256" x14ac:dyDescent="0.25">
      <c r="A81" s="326"/>
      <c r="B81" s="303">
        <f t="shared" ref="B81:B112" si="9">EOMONTH(B80,0)+1</f>
        <v>38626</v>
      </c>
      <c r="C81" s="301">
        <v>2.8155000000000001</v>
      </c>
      <c r="D81" s="301">
        <v>0.1845</v>
      </c>
      <c r="E81" s="301">
        <v>7.1101587491787993E-2</v>
      </c>
      <c r="F81" s="301">
        <v>-0.19500000000000001</v>
      </c>
      <c r="G81" s="301">
        <v>7.4999999999999997E-3</v>
      </c>
      <c r="H81" s="301">
        <v>-0.19500000000000001</v>
      </c>
      <c r="I81" s="301">
        <v>5.7500000000000002E-2</v>
      </c>
      <c r="J81" s="301">
        <v>0.1575</v>
      </c>
      <c r="K81" s="301">
        <v>-4.7E-2</v>
      </c>
      <c r="L81" s="301">
        <v>-1.4999999999999999E-2</v>
      </c>
      <c r="M81" s="301">
        <v>-0.29249999999999998</v>
      </c>
      <c r="N81" s="301">
        <v>6.0000000000000001E-3</v>
      </c>
      <c r="O81" s="301">
        <v>-1.5E-3</v>
      </c>
      <c r="P81" s="298">
        <v>-2.75E-2</v>
      </c>
      <c r="Q81" s="298">
        <v>-5.2499999999999998E-2</v>
      </c>
      <c r="R81" s="298">
        <v>-1.2749999999999999E-2</v>
      </c>
      <c r="S81" s="298">
        <v>-6.3E-2</v>
      </c>
      <c r="T81" s="298">
        <v>-0.105</v>
      </c>
      <c r="U81" s="298">
        <v>0.255</v>
      </c>
      <c r="V81" s="298">
        <v>5.0000000000000001E-3</v>
      </c>
      <c r="W81" s="298">
        <v>-0.16500000000000001</v>
      </c>
      <c r="X81" s="298">
        <v>-0.02</v>
      </c>
      <c r="Y81" s="313">
        <v>0.21249999999999999</v>
      </c>
      <c r="Z81" s="313">
        <v>1.2999999999999999E-2</v>
      </c>
      <c r="AA81" s="445">
        <v>0.185</v>
      </c>
      <c r="AB81" s="445">
        <v>0.18099999999999999</v>
      </c>
      <c r="AC81" s="445">
        <v>0.185</v>
      </c>
      <c r="AD81" s="445">
        <v>0.185</v>
      </c>
      <c r="AE81" s="445">
        <v>0.18099999999999999</v>
      </c>
      <c r="AF81" s="445">
        <v>0.185</v>
      </c>
      <c r="AG81" s="445">
        <v>0.185</v>
      </c>
      <c r="AH81" s="445">
        <v>0.185</v>
      </c>
      <c r="AI81" s="446">
        <v>0.185</v>
      </c>
      <c r="AJ81" s="446">
        <v>0.185</v>
      </c>
      <c r="AK81" s="446">
        <v>0.185</v>
      </c>
      <c r="AL81" s="445">
        <v>0.185</v>
      </c>
      <c r="AM81" s="312">
        <v>7.1511927089981997E-2</v>
      </c>
      <c r="AN81" s="312"/>
      <c r="AO81" s="313">
        <f t="shared" ref="AO81:AO144" si="10">AB81</f>
        <v>0.18099999999999999</v>
      </c>
      <c r="AP81" s="313">
        <f t="shared" ref="AP81:AP144" si="11">AB81</f>
        <v>0.18099999999999999</v>
      </c>
      <c r="AQ81" s="316">
        <f t="shared" ref="AQ81:AQ144" si="12">AB81</f>
        <v>0.18099999999999999</v>
      </c>
      <c r="IU81" s="315">
        <f t="shared" si="8"/>
        <v>38657</v>
      </c>
      <c r="IV81" s="298">
        <v>70</v>
      </c>
    </row>
    <row r="82" spans="1:256" x14ac:dyDescent="0.25">
      <c r="A82" s="326"/>
      <c r="B82" s="303">
        <f t="shared" si="9"/>
        <v>38657</v>
      </c>
      <c r="C82" s="301">
        <v>2.9384999999999999</v>
      </c>
      <c r="D82" s="301">
        <v>0.184</v>
      </c>
      <c r="E82" s="301">
        <v>7.1124937398668001E-2</v>
      </c>
      <c r="F82" s="301">
        <v>-0.19</v>
      </c>
      <c r="G82" s="301">
        <v>-3.2500000000000001E-2</v>
      </c>
      <c r="H82" s="301">
        <v>-0.19</v>
      </c>
      <c r="I82" s="301">
        <v>0.13</v>
      </c>
      <c r="J82" s="301">
        <v>0.24</v>
      </c>
      <c r="K82" s="301">
        <v>-5.8500000000000003E-2</v>
      </c>
      <c r="L82" s="301">
        <v>-0.02</v>
      </c>
      <c r="M82" s="301">
        <v>-0.24249999999999999</v>
      </c>
      <c r="N82" s="301">
        <v>8.5000000000000006E-3</v>
      </c>
      <c r="O82" s="301">
        <v>3.0000000000000001E-3</v>
      </c>
      <c r="P82" s="298">
        <v>-3.0499999999999999E-2</v>
      </c>
      <c r="Q82" s="298">
        <v>-5.2499999999999998E-2</v>
      </c>
      <c r="R82" s="298">
        <v>-3.3500000000000002E-2</v>
      </c>
      <c r="S82" s="298">
        <v>-7.8E-2</v>
      </c>
      <c r="T82" s="298">
        <v>-0.14499999999999999</v>
      </c>
      <c r="U82" s="298">
        <v>0.72499999999999998</v>
      </c>
      <c r="V82" s="298">
        <v>5.0000000000000001E-3</v>
      </c>
      <c r="W82" s="298">
        <v>-0.1875</v>
      </c>
      <c r="X82" s="298">
        <v>-1.7500000000000002E-2</v>
      </c>
      <c r="Y82" s="313">
        <v>0.10249999999999999</v>
      </c>
      <c r="Z82" s="313">
        <v>2.2499999999999999E-2</v>
      </c>
      <c r="AA82" s="445">
        <v>0.184</v>
      </c>
      <c r="AB82" s="445">
        <v>0.20200000000000001</v>
      </c>
      <c r="AC82" s="445">
        <v>0.184</v>
      </c>
      <c r="AD82" s="445">
        <v>0.184</v>
      </c>
      <c r="AE82" s="445">
        <v>0.184</v>
      </c>
      <c r="AF82" s="445">
        <v>0.184</v>
      </c>
      <c r="AG82" s="445">
        <v>0.184</v>
      </c>
      <c r="AH82" s="445">
        <v>0.184</v>
      </c>
      <c r="AI82" s="446">
        <v>0.184</v>
      </c>
      <c r="AJ82" s="446">
        <v>0.184</v>
      </c>
      <c r="AK82" s="446">
        <v>0.184</v>
      </c>
      <c r="AL82" s="445">
        <v>0.184</v>
      </c>
      <c r="AM82" s="312">
        <v>7.1533036984865003E-2</v>
      </c>
      <c r="AN82" s="312"/>
      <c r="AO82" s="313">
        <f t="shared" si="10"/>
        <v>0.20200000000000001</v>
      </c>
      <c r="AP82" s="313">
        <f t="shared" si="11"/>
        <v>0.20200000000000001</v>
      </c>
      <c r="AQ82" s="316">
        <f t="shared" si="12"/>
        <v>0.20200000000000001</v>
      </c>
      <c r="IU82" s="315">
        <f t="shared" si="8"/>
        <v>38687</v>
      </c>
      <c r="IV82" s="298">
        <v>71</v>
      </c>
    </row>
    <row r="83" spans="1:256" x14ac:dyDescent="0.25">
      <c r="A83" s="326"/>
      <c r="B83" s="303">
        <f t="shared" si="9"/>
        <v>38687</v>
      </c>
      <c r="C83" s="301">
        <v>3.0554999999999999</v>
      </c>
      <c r="D83" s="301">
        <v>0.185</v>
      </c>
      <c r="E83" s="301">
        <v>7.1147534082918004E-2</v>
      </c>
      <c r="F83" s="301">
        <v>-0.19750000000000001</v>
      </c>
      <c r="G83" s="301">
        <v>-5.5E-2</v>
      </c>
      <c r="H83" s="301">
        <v>-0.19750000000000001</v>
      </c>
      <c r="I83" s="301">
        <v>0.17</v>
      </c>
      <c r="J83" s="301">
        <v>0.29499999999999998</v>
      </c>
      <c r="K83" s="301">
        <v>-5.8500000000000003E-2</v>
      </c>
      <c r="L83" s="301">
        <v>-2.2499999999999999E-2</v>
      </c>
      <c r="M83" s="301">
        <v>-0.24249999999999999</v>
      </c>
      <c r="N83" s="301">
        <v>8.5000000000000006E-3</v>
      </c>
      <c r="O83" s="301">
        <v>3.0000000000000001E-3</v>
      </c>
      <c r="P83" s="298">
        <v>-3.0499999999999999E-2</v>
      </c>
      <c r="Q83" s="298">
        <v>-5.2499999999999998E-2</v>
      </c>
      <c r="R83" s="298">
        <v>-3.3500000000000002E-2</v>
      </c>
      <c r="S83" s="298">
        <v>-9.2999999999999999E-2</v>
      </c>
      <c r="T83" s="298">
        <v>-0.14499999999999999</v>
      </c>
      <c r="U83" s="298">
        <v>1.0449999999999999</v>
      </c>
      <c r="V83" s="298">
        <v>5.0000000000000001E-3</v>
      </c>
      <c r="W83" s="298">
        <v>-0.1875</v>
      </c>
      <c r="X83" s="298">
        <v>-1.7500000000000002E-2</v>
      </c>
      <c r="Y83" s="313">
        <v>0.10249999999999999</v>
      </c>
      <c r="Z83" s="313">
        <v>2.2499999999999999E-2</v>
      </c>
      <c r="AA83" s="445">
        <v>0.185</v>
      </c>
      <c r="AB83" s="445">
        <v>0.20399999999999999</v>
      </c>
      <c r="AC83" s="445">
        <v>0.185</v>
      </c>
      <c r="AD83" s="445">
        <v>0.185</v>
      </c>
      <c r="AE83" s="445">
        <v>0.185</v>
      </c>
      <c r="AF83" s="445">
        <v>0.185</v>
      </c>
      <c r="AG83" s="445">
        <v>0.185</v>
      </c>
      <c r="AH83" s="445">
        <v>0.185</v>
      </c>
      <c r="AI83" s="446">
        <v>0.185</v>
      </c>
      <c r="AJ83" s="446">
        <v>0.185</v>
      </c>
      <c r="AK83" s="446">
        <v>0.185</v>
      </c>
      <c r="AL83" s="445">
        <v>0.185</v>
      </c>
      <c r="AM83" s="312">
        <v>7.1553465915538003E-2</v>
      </c>
      <c r="AN83" s="312"/>
      <c r="AO83" s="313">
        <f t="shared" si="10"/>
        <v>0.20399999999999999</v>
      </c>
      <c r="AP83" s="313">
        <f t="shared" si="11"/>
        <v>0.20399999999999999</v>
      </c>
      <c r="AQ83" s="316">
        <f t="shared" si="12"/>
        <v>0.20399999999999999</v>
      </c>
      <c r="IU83" s="315">
        <f t="shared" si="8"/>
        <v>38718</v>
      </c>
      <c r="IV83" s="298">
        <v>72</v>
      </c>
    </row>
    <row r="84" spans="1:256" x14ac:dyDescent="0.25">
      <c r="A84" s="326"/>
      <c r="B84" s="303">
        <f t="shared" si="9"/>
        <v>38718</v>
      </c>
      <c r="C84" s="301">
        <v>3.0985</v>
      </c>
      <c r="D84" s="301">
        <v>0.1595</v>
      </c>
      <c r="E84" s="301">
        <v>7.1170883990153005E-2</v>
      </c>
      <c r="F84" s="301">
        <v>-0.2</v>
      </c>
      <c r="G84" s="301">
        <v>-5.7500000000000002E-2</v>
      </c>
      <c r="H84" s="301">
        <v>-0.2</v>
      </c>
      <c r="I84" s="301">
        <v>0.215</v>
      </c>
      <c r="J84" s="301">
        <v>0.34250000000000003</v>
      </c>
      <c r="K84" s="301">
        <v>-6.25E-2</v>
      </c>
      <c r="L84" s="301">
        <v>-1.6500000000000001E-2</v>
      </c>
      <c r="M84" s="301">
        <v>-0.24249999999999999</v>
      </c>
      <c r="N84" s="301">
        <v>8.5000000000000006E-3</v>
      </c>
      <c r="O84" s="301">
        <v>3.0000000000000001E-3</v>
      </c>
      <c r="P84" s="298">
        <v>-2.5999999999999999E-2</v>
      </c>
      <c r="Q84" s="298">
        <v>-5.2499999999999998E-2</v>
      </c>
      <c r="R84" s="298">
        <v>-3.3500000000000002E-2</v>
      </c>
      <c r="S84" s="298">
        <v>-0.10349999999999999</v>
      </c>
      <c r="T84" s="298">
        <v>-0.14499999999999999</v>
      </c>
      <c r="U84" s="298">
        <v>1.52</v>
      </c>
      <c r="V84" s="298">
        <v>5.0000000000000001E-3</v>
      </c>
      <c r="W84" s="298">
        <v>-0.1875</v>
      </c>
      <c r="X84" s="298">
        <v>-1.7500000000000002E-2</v>
      </c>
      <c r="Y84" s="313">
        <v>0.10249999999999999</v>
      </c>
      <c r="Z84" s="313">
        <v>2.2499999999999999E-2</v>
      </c>
      <c r="AA84" s="445">
        <v>0.16</v>
      </c>
      <c r="AB84" s="445">
        <v>0.16</v>
      </c>
      <c r="AC84" s="445">
        <v>0.16</v>
      </c>
      <c r="AD84" s="445">
        <v>0.16</v>
      </c>
      <c r="AE84" s="445">
        <v>0.16</v>
      </c>
      <c r="AF84" s="445">
        <v>0.16</v>
      </c>
      <c r="AG84" s="445">
        <v>0.16</v>
      </c>
      <c r="AH84" s="445">
        <v>0.16</v>
      </c>
      <c r="AI84" s="446">
        <v>0.16</v>
      </c>
      <c r="AJ84" s="446">
        <v>0.16</v>
      </c>
      <c r="AK84" s="446">
        <v>0.16</v>
      </c>
      <c r="AL84" s="445">
        <v>0.16</v>
      </c>
      <c r="AM84" s="312">
        <v>7.1574575810711E-2</v>
      </c>
      <c r="AN84" s="312"/>
      <c r="AO84" s="313">
        <f t="shared" si="10"/>
        <v>0.16</v>
      </c>
      <c r="AP84" s="313">
        <f t="shared" si="11"/>
        <v>0.16</v>
      </c>
      <c r="AQ84" s="316">
        <f t="shared" si="12"/>
        <v>0.16</v>
      </c>
      <c r="IU84" s="315">
        <f t="shared" si="8"/>
        <v>38749</v>
      </c>
      <c r="IV84" s="298">
        <v>73</v>
      </c>
    </row>
    <row r="85" spans="1:256" x14ac:dyDescent="0.25">
      <c r="A85" s="326"/>
      <c r="B85" s="303">
        <f t="shared" si="9"/>
        <v>38749</v>
      </c>
      <c r="C85" s="301">
        <v>2.9975000000000001</v>
      </c>
      <c r="D85" s="301">
        <v>0.1595</v>
      </c>
      <c r="E85" s="301">
        <v>7.1194233897569001E-2</v>
      </c>
      <c r="F85" s="301">
        <v>-0.20250000000000001</v>
      </c>
      <c r="G85" s="301">
        <v>-0.04</v>
      </c>
      <c r="H85" s="301">
        <v>-0.20250000000000001</v>
      </c>
      <c r="I85" s="301">
        <v>0.19</v>
      </c>
      <c r="J85" s="301">
        <v>0.33750000000000002</v>
      </c>
      <c r="K85" s="301">
        <v>-5.8500000000000003E-2</v>
      </c>
      <c r="L85" s="301">
        <v>-2.2499999999999999E-2</v>
      </c>
      <c r="M85" s="301">
        <v>-0.24249999999999999</v>
      </c>
      <c r="N85" s="301">
        <v>8.5000000000000006E-3</v>
      </c>
      <c r="O85" s="301">
        <v>3.0000000000000001E-3</v>
      </c>
      <c r="P85" s="298">
        <v>-2.5999999999999999E-2</v>
      </c>
      <c r="Q85" s="298">
        <v>-5.2499999999999998E-2</v>
      </c>
      <c r="R85" s="298">
        <v>-3.3500000000000002E-2</v>
      </c>
      <c r="S85" s="298">
        <v>-9.0999999999999998E-2</v>
      </c>
      <c r="T85" s="298">
        <v>-0.14499999999999999</v>
      </c>
      <c r="U85" s="298">
        <v>1.4</v>
      </c>
      <c r="V85" s="298">
        <v>5.0000000000000001E-3</v>
      </c>
      <c r="W85" s="298">
        <v>-0.1875</v>
      </c>
      <c r="X85" s="298">
        <v>-1.7500000000000002E-2</v>
      </c>
      <c r="Y85" s="313">
        <v>0.10249999999999999</v>
      </c>
      <c r="Z85" s="313">
        <v>2.2499999999999999E-2</v>
      </c>
      <c r="AA85" s="445">
        <v>0.16</v>
      </c>
      <c r="AB85" s="445">
        <v>0.17499999999999999</v>
      </c>
      <c r="AC85" s="445">
        <v>0.16</v>
      </c>
      <c r="AD85" s="445">
        <v>0.16</v>
      </c>
      <c r="AE85" s="445">
        <v>0.16</v>
      </c>
      <c r="AF85" s="445">
        <v>0.16</v>
      </c>
      <c r="AG85" s="445">
        <v>0.16</v>
      </c>
      <c r="AH85" s="445">
        <v>0.16</v>
      </c>
      <c r="AI85" s="446">
        <v>0.16</v>
      </c>
      <c r="AJ85" s="446">
        <v>0.16</v>
      </c>
      <c r="AK85" s="446">
        <v>0.16</v>
      </c>
      <c r="AL85" s="445">
        <v>0.16</v>
      </c>
      <c r="AM85" s="312">
        <v>7.1595685706031004E-2</v>
      </c>
      <c r="AN85" s="312"/>
      <c r="AO85" s="313">
        <f t="shared" si="10"/>
        <v>0.17499999999999999</v>
      </c>
      <c r="AP85" s="313">
        <f t="shared" si="11"/>
        <v>0.17499999999999999</v>
      </c>
      <c r="AQ85" s="316">
        <f t="shared" si="12"/>
        <v>0.17499999999999999</v>
      </c>
      <c r="IU85" s="315">
        <f t="shared" si="8"/>
        <v>38777</v>
      </c>
      <c r="IV85" s="298">
        <v>74</v>
      </c>
    </row>
    <row r="86" spans="1:256" x14ac:dyDescent="0.25">
      <c r="B86" s="303">
        <f t="shared" si="9"/>
        <v>38777</v>
      </c>
      <c r="C86" s="301">
        <v>2.8915000000000002</v>
      </c>
      <c r="D86" s="301">
        <v>0.1585</v>
      </c>
      <c r="E86" s="301">
        <v>7.1215324136678998E-2</v>
      </c>
      <c r="F86" s="301">
        <v>-0.20499999999999999</v>
      </c>
      <c r="G86" s="301">
        <v>-2.75E-2</v>
      </c>
      <c r="H86" s="301">
        <v>-0.20499999999999999</v>
      </c>
      <c r="I86" s="301">
        <v>0.1875</v>
      </c>
      <c r="J86" s="301">
        <v>0.26</v>
      </c>
      <c r="K86" s="301">
        <v>-0.06</v>
      </c>
      <c r="L86" s="301">
        <v>-2.5499999999999998E-2</v>
      </c>
      <c r="M86" s="301">
        <v>-0.24249999999999999</v>
      </c>
      <c r="N86" s="301">
        <v>8.5000000000000006E-3</v>
      </c>
      <c r="O86" s="301">
        <v>3.0000000000000001E-3</v>
      </c>
      <c r="P86" s="298">
        <v>-2.5999999999999999E-2</v>
      </c>
      <c r="Q86" s="298">
        <v>-5.2499999999999998E-2</v>
      </c>
      <c r="R86" s="298">
        <v>-1.52E-2</v>
      </c>
      <c r="S86" s="298">
        <v>-7.85E-2</v>
      </c>
      <c r="T86" s="298">
        <v>-0.14499999999999999</v>
      </c>
      <c r="U86" s="298">
        <v>0.88</v>
      </c>
      <c r="V86" s="298">
        <v>5.0000000000000001E-3</v>
      </c>
      <c r="W86" s="298">
        <v>-0.1875</v>
      </c>
      <c r="X86" s="298">
        <v>-1.7500000000000002E-2</v>
      </c>
      <c r="Y86" s="313">
        <v>0.10249999999999999</v>
      </c>
      <c r="Z86" s="313">
        <v>2.2499999999999999E-2</v>
      </c>
      <c r="AA86" s="445">
        <v>0.159</v>
      </c>
      <c r="AB86" s="445">
        <v>0.17399999999999999</v>
      </c>
      <c r="AC86" s="445">
        <v>0.159</v>
      </c>
      <c r="AD86" s="445">
        <v>0.159</v>
      </c>
      <c r="AE86" s="445">
        <v>0.159</v>
      </c>
      <c r="AF86" s="445">
        <v>0.159</v>
      </c>
      <c r="AG86" s="445">
        <v>0.159</v>
      </c>
      <c r="AH86" s="445">
        <v>0.159</v>
      </c>
      <c r="AI86" s="446">
        <v>0.159</v>
      </c>
      <c r="AJ86" s="446">
        <v>0.159</v>
      </c>
      <c r="AK86" s="446">
        <v>0.159</v>
      </c>
      <c r="AL86" s="445">
        <v>0.159</v>
      </c>
      <c r="AM86" s="298">
        <v>7.1614752708381996E-2</v>
      </c>
      <c r="AN86" s="298"/>
      <c r="AO86" s="313">
        <f t="shared" si="10"/>
        <v>0.17399999999999999</v>
      </c>
      <c r="AP86" s="313">
        <f t="shared" si="11"/>
        <v>0.17399999999999999</v>
      </c>
      <c r="AQ86" s="316">
        <f t="shared" si="12"/>
        <v>0.17399999999999999</v>
      </c>
      <c r="IU86" s="315">
        <f t="shared" si="8"/>
        <v>38808</v>
      </c>
      <c r="IV86" s="298">
        <v>75</v>
      </c>
    </row>
    <row r="87" spans="1:256" x14ac:dyDescent="0.25">
      <c r="B87" s="303">
        <f t="shared" si="9"/>
        <v>38808</v>
      </c>
      <c r="C87" s="301">
        <v>2.8005</v>
      </c>
      <c r="D87" s="301">
        <v>0.1575</v>
      </c>
      <c r="E87" s="301">
        <v>7.1238674044436998E-2</v>
      </c>
      <c r="F87" s="301">
        <v>-0.19500000000000001</v>
      </c>
      <c r="G87" s="301">
        <v>1.4999999999999999E-2</v>
      </c>
      <c r="H87" s="301">
        <v>-0.19500000000000001</v>
      </c>
      <c r="I87" s="301">
        <v>0.08</v>
      </c>
      <c r="J87" s="301">
        <v>0.17</v>
      </c>
      <c r="K87" s="301">
        <v>-7.0000000000000007E-2</v>
      </c>
      <c r="L87" s="301">
        <v>-3.7999999999999999E-2</v>
      </c>
      <c r="M87" s="301">
        <v>-0.29249999999999998</v>
      </c>
      <c r="N87" s="301">
        <v>6.4999999999999997E-3</v>
      </c>
      <c r="O87" s="301">
        <v>5.0000000000000001E-4</v>
      </c>
      <c r="P87" s="298">
        <v>-2.8000000000000001E-2</v>
      </c>
      <c r="Q87" s="298">
        <v>-0.05</v>
      </c>
      <c r="R87" s="298">
        <v>-1.525E-2</v>
      </c>
      <c r="S87" s="298">
        <v>-6.0999999999999999E-2</v>
      </c>
      <c r="T87" s="298">
        <v>-0.105</v>
      </c>
      <c r="U87" s="298">
        <v>0.37</v>
      </c>
      <c r="V87" s="298">
        <v>5.0000000000000001E-3</v>
      </c>
      <c r="W87" s="298">
        <v>-0.16500000000000001</v>
      </c>
      <c r="X87" s="298">
        <v>-1.7500000000000002E-2</v>
      </c>
      <c r="Y87" s="313">
        <v>0.21249999999999999</v>
      </c>
      <c r="Z87" s="313">
        <v>1.4999999999999999E-2</v>
      </c>
      <c r="AA87" s="445">
        <v>0.158</v>
      </c>
      <c r="AB87" s="445">
        <v>0.154</v>
      </c>
      <c r="AC87" s="445">
        <v>0.158</v>
      </c>
      <c r="AD87" s="445">
        <v>0.158</v>
      </c>
      <c r="AE87" s="445">
        <v>0.154</v>
      </c>
      <c r="AF87" s="445">
        <v>0.158</v>
      </c>
      <c r="AG87" s="445">
        <v>0.158</v>
      </c>
      <c r="AH87" s="445">
        <v>0.158</v>
      </c>
      <c r="AI87" s="446">
        <v>0.158</v>
      </c>
      <c r="AJ87" s="446">
        <v>0.158</v>
      </c>
      <c r="AK87" s="446">
        <v>0.158</v>
      </c>
      <c r="AL87" s="445">
        <v>0.158</v>
      </c>
      <c r="AM87" s="298">
        <v>7.1635862603982997E-2</v>
      </c>
      <c r="AN87" s="298"/>
      <c r="AO87" s="313">
        <f t="shared" si="10"/>
        <v>0.154</v>
      </c>
      <c r="AP87" s="313">
        <f t="shared" si="11"/>
        <v>0.154</v>
      </c>
      <c r="AQ87" s="316">
        <f t="shared" si="12"/>
        <v>0.154</v>
      </c>
      <c r="IU87" s="315">
        <f t="shared" si="8"/>
        <v>38838</v>
      </c>
      <c r="IV87" s="298">
        <v>76</v>
      </c>
    </row>
    <row r="88" spans="1:256" x14ac:dyDescent="0.25">
      <c r="B88" s="303">
        <f t="shared" si="9"/>
        <v>38838</v>
      </c>
      <c r="C88" s="301">
        <v>2.8260000000000001</v>
      </c>
      <c r="D88" s="301">
        <v>0.1575</v>
      </c>
      <c r="E88" s="301">
        <v>7.1261270729536003E-2</v>
      </c>
      <c r="F88" s="301">
        <v>-0.19500000000000001</v>
      </c>
      <c r="G88" s="301">
        <v>1.4999999999999999E-2</v>
      </c>
      <c r="H88" s="301">
        <v>-0.19500000000000001</v>
      </c>
      <c r="I88" s="301">
        <v>8.2500000000000004E-2</v>
      </c>
      <c r="J88" s="301">
        <v>0.155</v>
      </c>
      <c r="K88" s="301">
        <v>-4.4999999999999998E-2</v>
      </c>
      <c r="L88" s="301">
        <v>-1.2999999999999999E-2</v>
      </c>
      <c r="M88" s="301">
        <v>-0.29249999999999998</v>
      </c>
      <c r="N88" s="301">
        <v>6.4999999999999997E-3</v>
      </c>
      <c r="O88" s="301">
        <v>5.0000000000000001E-4</v>
      </c>
      <c r="P88" s="298">
        <v>-2.8000000000000001E-2</v>
      </c>
      <c r="Q88" s="298">
        <v>-0.05</v>
      </c>
      <c r="R88" s="298">
        <v>-1.525E-2</v>
      </c>
      <c r="S88" s="298">
        <v>-6.3500000000000001E-2</v>
      </c>
      <c r="T88" s="298">
        <v>-0.105</v>
      </c>
      <c r="U88" s="298">
        <v>0.2525</v>
      </c>
      <c r="V88" s="298">
        <v>5.0000000000000001E-3</v>
      </c>
      <c r="W88" s="298">
        <v>-0.16500000000000001</v>
      </c>
      <c r="X88" s="298">
        <v>-1.4E-2</v>
      </c>
      <c r="Y88" s="313">
        <v>0.21249999999999999</v>
      </c>
      <c r="Z88" s="313">
        <v>1.4999999999999999E-2</v>
      </c>
      <c r="AA88" s="445">
        <v>0.158</v>
      </c>
      <c r="AB88" s="445">
        <v>0.154</v>
      </c>
      <c r="AC88" s="445">
        <v>0.158</v>
      </c>
      <c r="AD88" s="445">
        <v>0.158</v>
      </c>
      <c r="AE88" s="445">
        <v>0.154</v>
      </c>
      <c r="AF88" s="445">
        <v>0.158</v>
      </c>
      <c r="AG88" s="445">
        <v>0.158</v>
      </c>
      <c r="AH88" s="445">
        <v>0.158</v>
      </c>
      <c r="AI88" s="446">
        <v>0.158</v>
      </c>
      <c r="AJ88" s="446">
        <v>0.158</v>
      </c>
      <c r="AK88" s="446">
        <v>0.158</v>
      </c>
      <c r="AL88" s="445">
        <v>0.158</v>
      </c>
      <c r="AM88" s="298">
        <v>7.1656291535348998E-2</v>
      </c>
      <c r="AN88" s="298"/>
      <c r="AO88" s="313">
        <f t="shared" si="10"/>
        <v>0.154</v>
      </c>
      <c r="AP88" s="313">
        <f t="shared" si="11"/>
        <v>0.154</v>
      </c>
      <c r="AQ88" s="316">
        <f t="shared" si="12"/>
        <v>0.154</v>
      </c>
      <c r="IU88" s="315">
        <f t="shared" si="8"/>
        <v>38869</v>
      </c>
      <c r="IV88" s="298">
        <v>77</v>
      </c>
    </row>
    <row r="89" spans="1:256" x14ac:dyDescent="0.25">
      <c r="B89" s="303">
        <f t="shared" si="9"/>
        <v>38869</v>
      </c>
      <c r="C89" s="301">
        <v>2.8359999999999999</v>
      </c>
      <c r="D89" s="301">
        <v>0.1575</v>
      </c>
      <c r="E89" s="301">
        <v>7.1284620637648996E-2</v>
      </c>
      <c r="F89" s="301">
        <v>-0.19500000000000001</v>
      </c>
      <c r="G89" s="301">
        <v>0.02</v>
      </c>
      <c r="H89" s="301">
        <v>-0.19500000000000001</v>
      </c>
      <c r="I89" s="301">
        <v>7.7499999999999999E-2</v>
      </c>
      <c r="J89" s="301">
        <v>0.155</v>
      </c>
      <c r="K89" s="301">
        <v>-4.2500000000000003E-2</v>
      </c>
      <c r="L89" s="301">
        <v>-1.0500000000000001E-2</v>
      </c>
      <c r="M89" s="301">
        <v>-0.29249999999999998</v>
      </c>
      <c r="N89" s="301">
        <v>6.4999999999999997E-3</v>
      </c>
      <c r="O89" s="301">
        <v>5.0000000000000001E-4</v>
      </c>
      <c r="P89" s="298">
        <v>-2.5499999999999998E-2</v>
      </c>
      <c r="Q89" s="298">
        <v>-0.05</v>
      </c>
      <c r="R89" s="298">
        <v>-1.525E-2</v>
      </c>
      <c r="S89" s="298">
        <v>-5.3499999999999999E-2</v>
      </c>
      <c r="T89" s="298">
        <v>-0.105</v>
      </c>
      <c r="U89" s="298">
        <v>0.2525</v>
      </c>
      <c r="V89" s="298">
        <v>5.0000000000000001E-3</v>
      </c>
      <c r="W89" s="298">
        <v>-0.16500000000000001</v>
      </c>
      <c r="X89" s="298">
        <v>-1.6500000000000001E-2</v>
      </c>
      <c r="Y89" s="313">
        <v>0.21249999999999999</v>
      </c>
      <c r="Z89" s="313">
        <v>1.4999999999999999E-2</v>
      </c>
      <c r="AA89" s="445">
        <v>0.158</v>
      </c>
      <c r="AB89" s="445">
        <v>0.154</v>
      </c>
      <c r="AC89" s="445">
        <v>0.158</v>
      </c>
      <c r="AD89" s="445">
        <v>0.158</v>
      </c>
      <c r="AE89" s="445">
        <v>0.154</v>
      </c>
      <c r="AF89" s="445">
        <v>0.158</v>
      </c>
      <c r="AG89" s="445">
        <v>0.158</v>
      </c>
      <c r="AH89" s="445">
        <v>0.158</v>
      </c>
      <c r="AI89" s="446">
        <v>0.158</v>
      </c>
      <c r="AJ89" s="446">
        <v>0.158</v>
      </c>
      <c r="AK89" s="446">
        <v>0.158</v>
      </c>
      <c r="AL89" s="445">
        <v>0.158</v>
      </c>
      <c r="AM89" s="298">
        <v>7.1677401431239005E-2</v>
      </c>
      <c r="AN89" s="298"/>
      <c r="AO89" s="313">
        <f t="shared" si="10"/>
        <v>0.154</v>
      </c>
      <c r="AP89" s="313">
        <f t="shared" si="11"/>
        <v>0.154</v>
      </c>
      <c r="AQ89" s="316">
        <f t="shared" si="12"/>
        <v>0.154</v>
      </c>
      <c r="IU89" s="315">
        <f t="shared" si="8"/>
        <v>38899</v>
      </c>
      <c r="IV89" s="298">
        <v>78</v>
      </c>
    </row>
    <row r="90" spans="1:256" x14ac:dyDescent="0.25">
      <c r="B90" s="303">
        <f t="shared" si="9"/>
        <v>38899</v>
      </c>
      <c r="C90" s="301">
        <v>2.839</v>
      </c>
      <c r="D90" s="301">
        <v>0.1575</v>
      </c>
      <c r="E90" s="301">
        <v>7.1307217323091004E-2</v>
      </c>
      <c r="F90" s="301">
        <v>-0.19500000000000001</v>
      </c>
      <c r="G90" s="301">
        <v>2.2499999999999999E-2</v>
      </c>
      <c r="H90" s="301">
        <v>-0.19500000000000001</v>
      </c>
      <c r="I90" s="301">
        <v>6.7500000000000004E-2</v>
      </c>
      <c r="J90" s="301">
        <v>0.155</v>
      </c>
      <c r="K90" s="301">
        <v>-4.2500000000000003E-2</v>
      </c>
      <c r="L90" s="301">
        <v>-1.0500000000000001E-2</v>
      </c>
      <c r="M90" s="301">
        <v>-0.29249999999999998</v>
      </c>
      <c r="N90" s="301">
        <v>6.4999999999999997E-3</v>
      </c>
      <c r="O90" s="301">
        <v>5.0000000000000001E-4</v>
      </c>
      <c r="P90" s="298">
        <v>-2.5499999999999998E-2</v>
      </c>
      <c r="Q90" s="298">
        <v>-0.05</v>
      </c>
      <c r="R90" s="298">
        <v>-1.525E-2</v>
      </c>
      <c r="S90" s="298">
        <v>-5.3499999999999999E-2</v>
      </c>
      <c r="T90" s="298">
        <v>-0.105</v>
      </c>
      <c r="U90" s="298">
        <v>0.25750000000000001</v>
      </c>
      <c r="V90" s="298">
        <v>5.0000000000000001E-3</v>
      </c>
      <c r="W90" s="298">
        <v>-0.16500000000000001</v>
      </c>
      <c r="X90" s="298">
        <v>-1.6500000000000001E-2</v>
      </c>
      <c r="Y90" s="313">
        <v>0.21249999999999999</v>
      </c>
      <c r="Z90" s="313">
        <v>1.4999999999999999E-2</v>
      </c>
      <c r="AA90" s="445">
        <v>0.158</v>
      </c>
      <c r="AB90" s="445">
        <v>0.154</v>
      </c>
      <c r="AC90" s="445">
        <v>0.158</v>
      </c>
      <c r="AD90" s="445">
        <v>0.158</v>
      </c>
      <c r="AE90" s="445">
        <v>0.154</v>
      </c>
      <c r="AF90" s="445">
        <v>0.158</v>
      </c>
      <c r="AG90" s="445">
        <v>0.158</v>
      </c>
      <c r="AH90" s="445">
        <v>0.158</v>
      </c>
      <c r="AI90" s="446">
        <v>0.158</v>
      </c>
      <c r="AJ90" s="446">
        <v>0.158</v>
      </c>
      <c r="AK90" s="446">
        <v>0.158</v>
      </c>
      <c r="AL90" s="445">
        <v>0.158</v>
      </c>
      <c r="AM90" s="298">
        <v>7.1697830362886003E-2</v>
      </c>
      <c r="AN90" s="298"/>
      <c r="AO90" s="313">
        <f t="shared" si="10"/>
        <v>0.154</v>
      </c>
      <c r="AP90" s="313">
        <f t="shared" si="11"/>
        <v>0.154</v>
      </c>
      <c r="AQ90" s="316">
        <f t="shared" si="12"/>
        <v>0.154</v>
      </c>
      <c r="IU90" s="315">
        <f t="shared" si="8"/>
        <v>38930</v>
      </c>
      <c r="IV90" s="298">
        <v>79</v>
      </c>
    </row>
    <row r="91" spans="1:256" x14ac:dyDescent="0.25">
      <c r="B91" s="303">
        <f t="shared" si="9"/>
        <v>38930</v>
      </c>
      <c r="C91" s="301">
        <v>2.8450000000000002</v>
      </c>
      <c r="D91" s="301">
        <v>0.1575</v>
      </c>
      <c r="E91" s="301">
        <v>7.1330567231558006E-2</v>
      </c>
      <c r="F91" s="301">
        <v>-0.19500000000000001</v>
      </c>
      <c r="G91" s="301">
        <v>2.5000000000000001E-2</v>
      </c>
      <c r="H91" s="301">
        <v>-0.19500000000000001</v>
      </c>
      <c r="I91" s="301">
        <v>6.5000000000000002E-2</v>
      </c>
      <c r="J91" s="301">
        <v>0.155</v>
      </c>
      <c r="K91" s="301">
        <v>-4.2500000000000003E-2</v>
      </c>
      <c r="L91" s="301">
        <v>-1.0500000000000001E-2</v>
      </c>
      <c r="M91" s="301">
        <v>-0.29249999999999998</v>
      </c>
      <c r="N91" s="301">
        <v>6.4999999999999997E-3</v>
      </c>
      <c r="O91" s="301">
        <v>5.0000000000000001E-4</v>
      </c>
      <c r="P91" s="298">
        <v>-2.5499999999999998E-2</v>
      </c>
      <c r="Q91" s="298">
        <v>-0.05</v>
      </c>
      <c r="R91" s="298">
        <v>-1.2749999999999999E-2</v>
      </c>
      <c r="S91" s="298">
        <v>-5.3499999999999999E-2</v>
      </c>
      <c r="T91" s="298">
        <v>-0.105</v>
      </c>
      <c r="U91" s="298">
        <v>0.25750000000000001</v>
      </c>
      <c r="V91" s="298">
        <v>5.0000000000000001E-3</v>
      </c>
      <c r="W91" s="298">
        <v>-0.16500000000000001</v>
      </c>
      <c r="X91" s="298">
        <v>-1.6500000000000001E-2</v>
      </c>
      <c r="Y91" s="313">
        <v>0.21249999999999999</v>
      </c>
      <c r="Z91" s="313">
        <v>1.4999999999999999E-2</v>
      </c>
      <c r="AA91" s="445">
        <v>0.158</v>
      </c>
      <c r="AB91" s="445">
        <v>0.154</v>
      </c>
      <c r="AC91" s="445">
        <v>0.158</v>
      </c>
      <c r="AD91" s="445">
        <v>0.158</v>
      </c>
      <c r="AE91" s="445">
        <v>0.154</v>
      </c>
      <c r="AF91" s="445">
        <v>0.158</v>
      </c>
      <c r="AG91" s="445">
        <v>0.158</v>
      </c>
      <c r="AH91" s="445">
        <v>0.158</v>
      </c>
      <c r="AI91" s="446">
        <v>0.158</v>
      </c>
      <c r="AJ91" s="446">
        <v>0.158</v>
      </c>
      <c r="AK91" s="446">
        <v>0.158</v>
      </c>
      <c r="AL91" s="445">
        <v>0.158</v>
      </c>
      <c r="AM91" s="298">
        <v>7.1718940259066E-2</v>
      </c>
      <c r="AN91" s="298"/>
      <c r="AO91" s="313">
        <f t="shared" si="10"/>
        <v>0.154</v>
      </c>
      <c r="AP91" s="313">
        <f t="shared" si="11"/>
        <v>0.154</v>
      </c>
      <c r="AQ91" s="316">
        <f t="shared" si="12"/>
        <v>0.154</v>
      </c>
      <c r="IU91" s="315">
        <f t="shared" si="8"/>
        <v>38961</v>
      </c>
      <c r="IV91" s="298">
        <v>80</v>
      </c>
    </row>
    <row r="92" spans="1:256" x14ac:dyDescent="0.25">
      <c r="B92" s="303">
        <f t="shared" si="9"/>
        <v>38961</v>
      </c>
      <c r="C92" s="301">
        <v>2.8460000000000001</v>
      </c>
      <c r="D92" s="301">
        <v>0.1575</v>
      </c>
      <c r="E92" s="301">
        <v>7.1353917140205003E-2</v>
      </c>
      <c r="F92" s="301">
        <v>-0.19500000000000001</v>
      </c>
      <c r="G92" s="301">
        <v>1.7500000000000002E-2</v>
      </c>
      <c r="H92" s="301">
        <v>-0.19500000000000001</v>
      </c>
      <c r="I92" s="301">
        <v>6.25E-2</v>
      </c>
      <c r="J92" s="301">
        <v>0.155</v>
      </c>
      <c r="K92" s="301">
        <v>-4.4999999999999998E-2</v>
      </c>
      <c r="L92" s="301">
        <v>-1.2999999999999999E-2</v>
      </c>
      <c r="M92" s="301">
        <v>-0.29249999999999998</v>
      </c>
      <c r="N92" s="301">
        <v>6.4999999999999997E-3</v>
      </c>
      <c r="O92" s="301">
        <v>5.0000000000000001E-4</v>
      </c>
      <c r="P92" s="298">
        <v>-2.5499999999999998E-2</v>
      </c>
      <c r="Q92" s="298">
        <v>-0.05</v>
      </c>
      <c r="R92" s="298">
        <v>-1.2749999999999999E-2</v>
      </c>
      <c r="S92" s="298">
        <v>-6.0999999999999999E-2</v>
      </c>
      <c r="T92" s="298">
        <v>-0.105</v>
      </c>
      <c r="U92" s="298">
        <v>0.2525</v>
      </c>
      <c r="V92" s="298">
        <v>5.0000000000000001E-3</v>
      </c>
      <c r="W92" s="298">
        <v>-0.16500000000000001</v>
      </c>
      <c r="X92" s="298">
        <v>-1.9E-2</v>
      </c>
      <c r="Y92" s="313">
        <v>0.21249999999999999</v>
      </c>
      <c r="Z92" s="313">
        <v>1.4999999999999999E-2</v>
      </c>
      <c r="AA92" s="445">
        <v>0.158</v>
      </c>
      <c r="AB92" s="445">
        <v>0.154</v>
      </c>
      <c r="AC92" s="445">
        <v>0.158</v>
      </c>
      <c r="AD92" s="445">
        <v>0.158</v>
      </c>
      <c r="AE92" s="445">
        <v>0.154</v>
      </c>
      <c r="AF92" s="445">
        <v>0.158</v>
      </c>
      <c r="AG92" s="445">
        <v>0.158</v>
      </c>
      <c r="AH92" s="445">
        <v>0.158</v>
      </c>
      <c r="AI92" s="446">
        <v>0.158</v>
      </c>
      <c r="AJ92" s="446">
        <v>0.158</v>
      </c>
      <c r="AK92" s="446">
        <v>0.158</v>
      </c>
      <c r="AL92" s="445">
        <v>0.158</v>
      </c>
      <c r="AM92" s="298">
        <v>7.1740050155393004E-2</v>
      </c>
      <c r="AN92" s="298"/>
      <c r="AO92" s="313">
        <f t="shared" si="10"/>
        <v>0.154</v>
      </c>
      <c r="AP92" s="313">
        <f t="shared" si="11"/>
        <v>0.154</v>
      </c>
      <c r="AQ92" s="316">
        <f t="shared" si="12"/>
        <v>0.154</v>
      </c>
      <c r="IU92" s="315">
        <f t="shared" si="8"/>
        <v>38991</v>
      </c>
      <c r="IV92" s="298">
        <v>81</v>
      </c>
    </row>
    <row r="93" spans="1:256" x14ac:dyDescent="0.25">
      <c r="A93" s="325"/>
      <c r="B93" s="303">
        <f t="shared" si="9"/>
        <v>38991</v>
      </c>
      <c r="C93" s="301">
        <v>2.87</v>
      </c>
      <c r="D93" s="301">
        <v>0.1575</v>
      </c>
      <c r="E93" s="301">
        <v>7.1376513826165E-2</v>
      </c>
      <c r="F93" s="301">
        <v>-0.19500000000000001</v>
      </c>
      <c r="G93" s="301">
        <v>7.4999999999999997E-3</v>
      </c>
      <c r="H93" s="301">
        <v>-0.19500000000000001</v>
      </c>
      <c r="I93" s="301">
        <v>7.7499999999999999E-2</v>
      </c>
      <c r="J93" s="301">
        <v>0.1575</v>
      </c>
      <c r="K93" s="301">
        <v>-4.4999999999999998E-2</v>
      </c>
      <c r="L93" s="301">
        <v>-1.2999999999999999E-2</v>
      </c>
      <c r="M93" s="301">
        <v>-0.29249999999999998</v>
      </c>
      <c r="N93" s="301">
        <v>6.4999999999999997E-3</v>
      </c>
      <c r="O93" s="301">
        <v>5.0000000000000001E-4</v>
      </c>
      <c r="P93" s="298">
        <v>-2.5499999999999998E-2</v>
      </c>
      <c r="Q93" s="298">
        <v>-0.05</v>
      </c>
      <c r="R93" s="298">
        <v>-3.3500000000000002E-2</v>
      </c>
      <c r="S93" s="298">
        <v>-6.0999999999999999E-2</v>
      </c>
      <c r="T93" s="298">
        <v>-0.105</v>
      </c>
      <c r="U93" s="298">
        <v>0.255</v>
      </c>
      <c r="V93" s="298">
        <v>5.0000000000000001E-3</v>
      </c>
      <c r="W93" s="298">
        <v>-0.16500000000000001</v>
      </c>
      <c r="X93" s="298">
        <v>-1.9E-2</v>
      </c>
      <c r="Y93" s="313">
        <v>0.21249999999999999</v>
      </c>
      <c r="Z93" s="313">
        <v>1.4999999999999999E-2</v>
      </c>
      <c r="AA93" s="445">
        <v>0.158</v>
      </c>
      <c r="AB93" s="445">
        <v>0.154</v>
      </c>
      <c r="AC93" s="445">
        <v>0.158</v>
      </c>
      <c r="AD93" s="445">
        <v>0.158</v>
      </c>
      <c r="AE93" s="445">
        <v>0.154</v>
      </c>
      <c r="AF93" s="445">
        <v>0.158</v>
      </c>
      <c r="AG93" s="445">
        <v>0.158</v>
      </c>
      <c r="AH93" s="445">
        <v>0.158</v>
      </c>
      <c r="AI93" s="446">
        <v>0.158</v>
      </c>
      <c r="AJ93" s="446">
        <v>0.158</v>
      </c>
      <c r="AK93" s="446">
        <v>0.158</v>
      </c>
      <c r="AL93" s="445">
        <v>0.158</v>
      </c>
      <c r="AM93" s="298">
        <v>7.1760479087462997E-2</v>
      </c>
      <c r="AN93" s="298"/>
      <c r="AO93" s="313">
        <f t="shared" si="10"/>
        <v>0.154</v>
      </c>
      <c r="AP93" s="313">
        <f t="shared" si="11"/>
        <v>0.154</v>
      </c>
      <c r="AQ93" s="316">
        <f t="shared" si="12"/>
        <v>0.154</v>
      </c>
      <c r="IU93" s="315">
        <f t="shared" si="8"/>
        <v>39022</v>
      </c>
      <c r="IV93" s="298">
        <v>82</v>
      </c>
    </row>
    <row r="94" spans="1:256" x14ac:dyDescent="0.25">
      <c r="A94" s="326"/>
      <c r="B94" s="303">
        <f t="shared" si="9"/>
        <v>39022</v>
      </c>
      <c r="C94" s="301">
        <v>2.988</v>
      </c>
      <c r="D94" s="301">
        <v>0.1575</v>
      </c>
      <c r="E94" s="301">
        <v>7.1399863735167005E-2</v>
      </c>
      <c r="F94" s="301">
        <v>-0.19</v>
      </c>
      <c r="G94" s="301">
        <v>-3.2500000000000001E-2</v>
      </c>
      <c r="H94" s="301">
        <v>-0.19</v>
      </c>
      <c r="I94" s="301">
        <v>0.13500000000000001</v>
      </c>
      <c r="J94" s="301">
        <v>0.24</v>
      </c>
      <c r="K94" s="301">
        <v>-5.6500000000000002E-2</v>
      </c>
      <c r="L94" s="301">
        <v>-1.7999999999999999E-2</v>
      </c>
      <c r="M94" s="301">
        <v>-0.24249999999999999</v>
      </c>
      <c r="N94" s="301">
        <v>8.9999999999999993E-3</v>
      </c>
      <c r="O94" s="301">
        <v>5.0000000000000001E-3</v>
      </c>
      <c r="P94" s="298">
        <v>-2.8500000000000001E-2</v>
      </c>
      <c r="Q94" s="298">
        <v>-0.05</v>
      </c>
      <c r="R94" s="298">
        <v>-3.2500000000000001E-2</v>
      </c>
      <c r="S94" s="298">
        <v>-7.5999999999999998E-2</v>
      </c>
      <c r="T94" s="298">
        <v>-0.14499999999999999</v>
      </c>
      <c r="U94" s="298">
        <v>0.72499999999999998</v>
      </c>
      <c r="V94" s="298">
        <v>5.0000000000000001E-3</v>
      </c>
      <c r="W94" s="298">
        <v>-0.1875</v>
      </c>
      <c r="X94" s="298">
        <v>-1.6500000000000001E-2</v>
      </c>
      <c r="Y94" s="313">
        <v>0.10249999999999999</v>
      </c>
      <c r="Z94" s="313">
        <v>2.4500000000000001E-2</v>
      </c>
      <c r="AA94" s="445">
        <v>0.158</v>
      </c>
      <c r="AB94" s="445">
        <v>0.17299999999999999</v>
      </c>
      <c r="AC94" s="445">
        <v>0.158</v>
      </c>
      <c r="AD94" s="445">
        <v>0.158</v>
      </c>
      <c r="AE94" s="445">
        <v>0.158</v>
      </c>
      <c r="AF94" s="445">
        <v>0.158</v>
      </c>
      <c r="AG94" s="445">
        <v>0.158</v>
      </c>
      <c r="AH94" s="445">
        <v>0.158</v>
      </c>
      <c r="AI94" s="446">
        <v>0.158</v>
      </c>
      <c r="AJ94" s="446">
        <v>0.158</v>
      </c>
      <c r="AK94" s="446">
        <v>0.158</v>
      </c>
      <c r="AL94" s="445">
        <v>0.158</v>
      </c>
      <c r="AM94" s="298">
        <v>7.1781588984080005E-2</v>
      </c>
      <c r="AN94" s="298"/>
      <c r="AO94" s="313">
        <f t="shared" si="10"/>
        <v>0.17299999999999999</v>
      </c>
      <c r="AP94" s="313">
        <f t="shared" si="11"/>
        <v>0.17299999999999999</v>
      </c>
      <c r="AQ94" s="316">
        <f t="shared" si="12"/>
        <v>0.17299999999999999</v>
      </c>
      <c r="IU94" s="315">
        <f t="shared" si="8"/>
        <v>39052</v>
      </c>
      <c r="IV94" s="298">
        <v>83</v>
      </c>
    </row>
    <row r="95" spans="1:256" x14ac:dyDescent="0.25">
      <c r="A95" s="326"/>
      <c r="B95" s="303">
        <f t="shared" si="9"/>
        <v>39052</v>
      </c>
      <c r="C95" s="301">
        <v>3.1019999999999999</v>
      </c>
      <c r="D95" s="301">
        <v>0.1575</v>
      </c>
      <c r="E95" s="301">
        <v>7.1422460421469006E-2</v>
      </c>
      <c r="F95" s="301">
        <v>-0.19750000000000001</v>
      </c>
      <c r="G95" s="301">
        <v>-5.5E-2</v>
      </c>
      <c r="H95" s="301">
        <v>-0.19750000000000001</v>
      </c>
      <c r="I95" s="301">
        <v>0.17499999999999999</v>
      </c>
      <c r="J95" s="301">
        <v>0.29499999999999998</v>
      </c>
      <c r="K95" s="301">
        <v>-5.6500000000000002E-2</v>
      </c>
      <c r="L95" s="301">
        <v>-2.0500000000000001E-2</v>
      </c>
      <c r="M95" s="301">
        <v>-0.24249999999999999</v>
      </c>
      <c r="N95" s="301">
        <v>8.9999999999999993E-3</v>
      </c>
      <c r="O95" s="301">
        <v>5.0000000000000001E-3</v>
      </c>
      <c r="P95" s="298">
        <v>-2.8500000000000001E-2</v>
      </c>
      <c r="Q95" s="298">
        <v>-0.05</v>
      </c>
      <c r="R95" s="298">
        <v>-3.2500000000000001E-2</v>
      </c>
      <c r="S95" s="298">
        <v>-9.0999999999999998E-2</v>
      </c>
      <c r="T95" s="298">
        <v>-0.14499999999999999</v>
      </c>
      <c r="U95" s="298">
        <v>1.0449999999999999</v>
      </c>
      <c r="V95" s="298">
        <v>5.0000000000000001E-3</v>
      </c>
      <c r="W95" s="298">
        <v>-0.1875</v>
      </c>
      <c r="X95" s="298">
        <v>-1.6500000000000001E-2</v>
      </c>
      <c r="Y95" s="313">
        <v>0.10249999999999999</v>
      </c>
      <c r="Z95" s="313">
        <v>2.4500000000000001E-2</v>
      </c>
      <c r="AA95" s="445">
        <v>0.158</v>
      </c>
      <c r="AB95" s="445">
        <v>0.17299999999999999</v>
      </c>
      <c r="AC95" s="445">
        <v>0.158</v>
      </c>
      <c r="AD95" s="445">
        <v>0.158</v>
      </c>
      <c r="AE95" s="445">
        <v>0.158</v>
      </c>
      <c r="AF95" s="445">
        <v>0.158</v>
      </c>
      <c r="AG95" s="445">
        <v>0.158</v>
      </c>
      <c r="AH95" s="445">
        <v>0.158</v>
      </c>
      <c r="AI95" s="446">
        <v>0.158</v>
      </c>
      <c r="AJ95" s="446">
        <v>0.158</v>
      </c>
      <c r="AK95" s="446">
        <v>0.158</v>
      </c>
      <c r="AL95" s="445">
        <v>0.158</v>
      </c>
      <c r="AM95" s="298">
        <v>7.1802017916429997E-2</v>
      </c>
      <c r="AN95" s="298"/>
      <c r="AO95" s="313">
        <f t="shared" si="10"/>
        <v>0.17299999999999999</v>
      </c>
      <c r="AP95" s="313">
        <f t="shared" si="11"/>
        <v>0.17299999999999999</v>
      </c>
      <c r="AQ95" s="316">
        <f t="shared" si="12"/>
        <v>0.17299999999999999</v>
      </c>
      <c r="IU95" s="315">
        <f t="shared" si="8"/>
        <v>39083</v>
      </c>
      <c r="IV95" s="298">
        <v>84</v>
      </c>
    </row>
    <row r="96" spans="1:256" x14ac:dyDescent="0.25">
      <c r="A96" s="326"/>
      <c r="B96" s="303">
        <f t="shared" si="9"/>
        <v>39083</v>
      </c>
      <c r="C96" s="301">
        <v>3.1480000000000001</v>
      </c>
      <c r="D96" s="301">
        <v>0.1575</v>
      </c>
      <c r="E96" s="301">
        <v>7.1445810330826004E-2</v>
      </c>
      <c r="F96" s="301">
        <v>-0.2</v>
      </c>
      <c r="G96" s="301">
        <v>-5.7500000000000002E-2</v>
      </c>
      <c r="H96" s="301">
        <v>-0.2</v>
      </c>
      <c r="I96" s="301">
        <v>0.22</v>
      </c>
      <c r="J96" s="301">
        <v>0.34250000000000003</v>
      </c>
      <c r="K96" s="301">
        <v>-6.0499999999999998E-2</v>
      </c>
      <c r="L96" s="301">
        <v>-1.4500000000000001E-2</v>
      </c>
      <c r="M96" s="301">
        <v>-0.24249999999999999</v>
      </c>
      <c r="N96" s="301">
        <v>8.9999999999999993E-3</v>
      </c>
      <c r="O96" s="301">
        <v>5.0000000000000001E-3</v>
      </c>
      <c r="P96" s="298">
        <v>-2.4E-2</v>
      </c>
      <c r="Q96" s="298">
        <v>-0.05</v>
      </c>
      <c r="R96" s="298">
        <v>-3.2500000000000001E-2</v>
      </c>
      <c r="S96" s="298">
        <v>-0.10150000000000001</v>
      </c>
      <c r="T96" s="298">
        <v>-0.14499999999999999</v>
      </c>
      <c r="U96" s="298">
        <v>1.52</v>
      </c>
      <c r="V96" s="298">
        <v>5.0000000000000001E-3</v>
      </c>
      <c r="W96" s="298">
        <v>-0.1875</v>
      </c>
      <c r="X96" s="298">
        <v>-1.6500000000000001E-2</v>
      </c>
      <c r="Y96" s="313">
        <v>0.10249999999999999</v>
      </c>
      <c r="Z96" s="313">
        <v>2.4500000000000001E-2</v>
      </c>
      <c r="AA96" s="445">
        <v>0.158</v>
      </c>
      <c r="AB96" s="445">
        <v>0.158</v>
      </c>
      <c r="AC96" s="445">
        <v>0.158</v>
      </c>
      <c r="AD96" s="445">
        <v>0.158</v>
      </c>
      <c r="AE96" s="445">
        <v>0.158</v>
      </c>
      <c r="AF96" s="445">
        <v>0.158</v>
      </c>
      <c r="AG96" s="445">
        <v>0.158</v>
      </c>
      <c r="AH96" s="445">
        <v>0.158</v>
      </c>
      <c r="AI96" s="446">
        <v>0.158</v>
      </c>
      <c r="AJ96" s="446">
        <v>0.158</v>
      </c>
      <c r="AK96" s="446">
        <v>0.158</v>
      </c>
      <c r="AL96" s="445">
        <v>0.158</v>
      </c>
      <c r="AM96" s="298">
        <v>7.1823127813335996E-2</v>
      </c>
      <c r="AN96" s="298"/>
      <c r="AO96" s="313">
        <f t="shared" si="10"/>
        <v>0.158</v>
      </c>
      <c r="AP96" s="313">
        <f t="shared" si="11"/>
        <v>0.158</v>
      </c>
      <c r="AQ96" s="316">
        <f t="shared" si="12"/>
        <v>0.158</v>
      </c>
      <c r="IU96" s="315">
        <f t="shared" si="8"/>
        <v>39114</v>
      </c>
      <c r="IV96" s="298">
        <v>85</v>
      </c>
    </row>
    <row r="97" spans="1:256" x14ac:dyDescent="0.25">
      <c r="A97" s="326"/>
      <c r="B97" s="303">
        <f t="shared" si="9"/>
        <v>39114</v>
      </c>
      <c r="C97" s="301">
        <v>3.0510000000000002</v>
      </c>
      <c r="D97" s="301">
        <v>0.1575</v>
      </c>
      <c r="E97" s="301">
        <v>7.1469160240361998E-2</v>
      </c>
      <c r="F97" s="301">
        <v>-0.20250000000000001</v>
      </c>
      <c r="G97" s="301">
        <v>-0.04</v>
      </c>
      <c r="H97" s="301">
        <v>-0.20250000000000001</v>
      </c>
      <c r="I97" s="301">
        <v>0.19500000000000001</v>
      </c>
      <c r="J97" s="301">
        <v>0.33750000000000002</v>
      </c>
      <c r="K97" s="301">
        <v>-5.6500000000000002E-2</v>
      </c>
      <c r="L97" s="301">
        <v>-2.0500000000000001E-2</v>
      </c>
      <c r="M97" s="301">
        <v>-0.24249999999999999</v>
      </c>
      <c r="N97" s="301">
        <v>8.9999999999999993E-3</v>
      </c>
      <c r="O97" s="301">
        <v>5.0000000000000001E-3</v>
      </c>
      <c r="P97" s="298">
        <v>-2.4E-2</v>
      </c>
      <c r="Q97" s="298">
        <v>-0.05</v>
      </c>
      <c r="R97" s="298">
        <v>-3.2500000000000001E-2</v>
      </c>
      <c r="S97" s="298">
        <v>-8.8999999999999996E-2</v>
      </c>
      <c r="T97" s="298">
        <v>-0.14499999999999999</v>
      </c>
      <c r="U97" s="298">
        <v>1.4</v>
      </c>
      <c r="V97" s="298">
        <v>5.0000000000000001E-3</v>
      </c>
      <c r="W97" s="298">
        <v>-0.1875</v>
      </c>
      <c r="X97" s="298">
        <v>-1.6500000000000001E-2</v>
      </c>
      <c r="Y97" s="313">
        <v>0.10249999999999999</v>
      </c>
      <c r="Z97" s="313">
        <v>2.4500000000000001E-2</v>
      </c>
      <c r="AA97" s="445">
        <v>0.158</v>
      </c>
      <c r="AB97" s="445">
        <v>0.17299999999999999</v>
      </c>
      <c r="AC97" s="445">
        <v>0.158</v>
      </c>
      <c r="AD97" s="445">
        <v>0.158</v>
      </c>
      <c r="AE97" s="445">
        <v>0.158</v>
      </c>
      <c r="AF97" s="445">
        <v>0.158</v>
      </c>
      <c r="AG97" s="445">
        <v>0.158</v>
      </c>
      <c r="AH97" s="445">
        <v>0.158</v>
      </c>
      <c r="AI97" s="446">
        <v>0.158</v>
      </c>
      <c r="AJ97" s="446">
        <v>0.158</v>
      </c>
      <c r="AK97" s="446">
        <v>0.158</v>
      </c>
      <c r="AL97" s="445">
        <v>0.158</v>
      </c>
      <c r="AM97" s="298">
        <v>7.1844237710390002E-2</v>
      </c>
      <c r="AN97" s="298"/>
      <c r="AO97" s="313">
        <f t="shared" si="10"/>
        <v>0.17299999999999999</v>
      </c>
      <c r="AP97" s="313">
        <f t="shared" si="11"/>
        <v>0.17299999999999999</v>
      </c>
      <c r="AQ97" s="316">
        <f t="shared" si="12"/>
        <v>0.17299999999999999</v>
      </c>
      <c r="IU97" s="315">
        <f t="shared" si="8"/>
        <v>39142</v>
      </c>
      <c r="IV97" s="298">
        <v>86</v>
      </c>
    </row>
    <row r="98" spans="1:256" x14ac:dyDescent="0.25">
      <c r="A98" s="326"/>
      <c r="B98" s="303">
        <f t="shared" si="9"/>
        <v>39142</v>
      </c>
      <c r="C98" s="301">
        <v>2.948</v>
      </c>
      <c r="D98" s="301">
        <v>0.1575</v>
      </c>
      <c r="E98" s="301">
        <v>7.1490250481389003E-2</v>
      </c>
      <c r="F98" s="301">
        <v>-0.20499999999999999</v>
      </c>
      <c r="G98" s="301">
        <v>-2.75E-2</v>
      </c>
      <c r="H98" s="301">
        <v>-0.20499999999999999</v>
      </c>
      <c r="I98" s="301">
        <v>0.1925</v>
      </c>
      <c r="J98" s="301">
        <v>0.26</v>
      </c>
      <c r="K98" s="301">
        <v>-5.8000000000000003E-2</v>
      </c>
      <c r="L98" s="301">
        <v>-2.35E-2</v>
      </c>
      <c r="M98" s="301">
        <v>-0.24249999999999999</v>
      </c>
      <c r="N98" s="301">
        <v>8.9999999999999993E-3</v>
      </c>
      <c r="O98" s="301">
        <v>5.0000000000000001E-3</v>
      </c>
      <c r="P98" s="298">
        <v>-2.4E-2</v>
      </c>
      <c r="Q98" s="298">
        <v>-0.05</v>
      </c>
      <c r="R98" s="298">
        <v>-1.4200000000000001E-2</v>
      </c>
      <c r="S98" s="298">
        <v>-7.6499999999999999E-2</v>
      </c>
      <c r="T98" s="298">
        <v>-0.14499999999999999</v>
      </c>
      <c r="U98" s="298">
        <v>0.88</v>
      </c>
      <c r="V98" s="298">
        <v>5.0000000000000001E-3</v>
      </c>
      <c r="W98" s="298">
        <v>-0.1875</v>
      </c>
      <c r="X98" s="298">
        <v>-1.6500000000000001E-2</v>
      </c>
      <c r="Y98" s="313">
        <v>0.10249999999999999</v>
      </c>
      <c r="Z98" s="313">
        <v>2.4500000000000001E-2</v>
      </c>
      <c r="AA98" s="445">
        <v>0.158</v>
      </c>
      <c r="AB98" s="445">
        <v>0.17299999999999999</v>
      </c>
      <c r="AC98" s="445">
        <v>0.158</v>
      </c>
      <c r="AD98" s="445">
        <v>0.158</v>
      </c>
      <c r="AE98" s="445">
        <v>0.158</v>
      </c>
      <c r="AF98" s="445">
        <v>0.158</v>
      </c>
      <c r="AG98" s="445">
        <v>0.158</v>
      </c>
      <c r="AH98" s="445">
        <v>0.158</v>
      </c>
      <c r="AI98" s="446">
        <v>0.158</v>
      </c>
      <c r="AJ98" s="446">
        <v>0.158</v>
      </c>
      <c r="AK98" s="446">
        <v>0.158</v>
      </c>
      <c r="AL98" s="445">
        <v>0.158</v>
      </c>
      <c r="AM98" s="298">
        <v>7.1863304714307005E-2</v>
      </c>
      <c r="AN98" s="298"/>
      <c r="AO98" s="313">
        <f t="shared" si="10"/>
        <v>0.17299999999999999</v>
      </c>
      <c r="AP98" s="313">
        <f t="shared" si="11"/>
        <v>0.17299999999999999</v>
      </c>
      <c r="AQ98" s="316">
        <f t="shared" si="12"/>
        <v>0.17299999999999999</v>
      </c>
      <c r="IU98" s="315">
        <f t="shared" si="8"/>
        <v>39173</v>
      </c>
      <c r="IV98" s="298">
        <v>87</v>
      </c>
    </row>
    <row r="99" spans="1:256" x14ac:dyDescent="0.25">
      <c r="A99" s="326"/>
      <c r="B99" s="303">
        <f t="shared" si="9"/>
        <v>39173</v>
      </c>
      <c r="C99" s="301">
        <v>2.86</v>
      </c>
      <c r="D99" s="301">
        <v>0.1575</v>
      </c>
      <c r="E99" s="301">
        <v>7.1513600391269E-2</v>
      </c>
      <c r="F99" s="301">
        <v>-0.19500000000000001</v>
      </c>
      <c r="G99" s="301">
        <v>1.4999999999999999E-2</v>
      </c>
      <c r="H99" s="301">
        <v>-0.19500000000000001</v>
      </c>
      <c r="I99" s="301">
        <v>0.09</v>
      </c>
      <c r="J99" s="301">
        <v>0.17</v>
      </c>
      <c r="K99" s="301">
        <v>-6.8000000000000005E-2</v>
      </c>
      <c r="L99" s="301">
        <v>-3.5999999999999997E-2</v>
      </c>
      <c r="M99" s="301">
        <v>-0.29249999999999998</v>
      </c>
      <c r="N99" s="301">
        <v>6.4999999999999997E-3</v>
      </c>
      <c r="O99" s="301">
        <v>2.5000000000000001E-3</v>
      </c>
      <c r="P99" s="298">
        <v>-2.5999999999999999E-2</v>
      </c>
      <c r="Q99" s="298">
        <v>-4.7500000000000001E-2</v>
      </c>
      <c r="R99" s="298">
        <v>-1.4200000000000001E-2</v>
      </c>
      <c r="S99" s="298">
        <v>-5.8999999999999997E-2</v>
      </c>
      <c r="T99" s="298">
        <v>-0.105</v>
      </c>
      <c r="U99" s="298">
        <v>0.37</v>
      </c>
      <c r="V99" s="298">
        <v>5.0000000000000001E-3</v>
      </c>
      <c r="W99" s="298">
        <v>-0.16500000000000001</v>
      </c>
      <c r="X99" s="298">
        <v>-1.6500000000000001E-2</v>
      </c>
      <c r="Y99" s="313">
        <v>0.21249999999999999</v>
      </c>
      <c r="Z99" s="313">
        <v>1.7000000000000001E-2</v>
      </c>
      <c r="AA99" s="445">
        <v>0.158</v>
      </c>
      <c r="AB99" s="445">
        <v>0.154</v>
      </c>
      <c r="AC99" s="445">
        <v>0.158</v>
      </c>
      <c r="AD99" s="445">
        <v>0.158</v>
      </c>
      <c r="AE99" s="445">
        <v>0.154</v>
      </c>
      <c r="AF99" s="445">
        <v>0.158</v>
      </c>
      <c r="AG99" s="445">
        <v>0.158</v>
      </c>
      <c r="AH99" s="445">
        <v>0.158</v>
      </c>
      <c r="AI99" s="446">
        <v>0.158</v>
      </c>
      <c r="AJ99" s="446">
        <v>0.158</v>
      </c>
      <c r="AK99" s="446">
        <v>0.158</v>
      </c>
      <c r="AL99" s="445">
        <v>0.158</v>
      </c>
      <c r="AM99" s="298">
        <v>7.1884414611640995E-2</v>
      </c>
      <c r="AN99" s="298"/>
      <c r="AO99" s="313">
        <f t="shared" si="10"/>
        <v>0.154</v>
      </c>
      <c r="AP99" s="313">
        <f t="shared" si="11"/>
        <v>0.154</v>
      </c>
      <c r="AQ99" s="316">
        <f t="shared" si="12"/>
        <v>0.154</v>
      </c>
      <c r="IU99" s="315">
        <f t="shared" si="8"/>
        <v>39203</v>
      </c>
      <c r="IV99" s="298">
        <v>88</v>
      </c>
    </row>
    <row r="100" spans="1:256" x14ac:dyDescent="0.25">
      <c r="A100" s="326"/>
      <c r="B100" s="303">
        <f t="shared" si="9"/>
        <v>39203</v>
      </c>
      <c r="C100" s="301">
        <v>2.8864999999999998</v>
      </c>
      <c r="D100" s="301">
        <v>0.1575</v>
      </c>
      <c r="E100" s="301">
        <v>7.1532902295052006E-2</v>
      </c>
      <c r="F100" s="301">
        <v>-0.19500000000000001</v>
      </c>
      <c r="G100" s="301">
        <v>1.4999999999999999E-2</v>
      </c>
      <c r="H100" s="301">
        <v>-0.19500000000000001</v>
      </c>
      <c r="I100" s="301">
        <v>9.2499999999999999E-2</v>
      </c>
      <c r="J100" s="301">
        <v>0.155</v>
      </c>
      <c r="K100" s="301">
        <v>-4.2999999999999997E-2</v>
      </c>
      <c r="L100" s="301">
        <v>-1.0999999999999999E-2</v>
      </c>
      <c r="M100" s="301">
        <v>-0.29249999999999998</v>
      </c>
      <c r="N100" s="301">
        <v>6.4999999999999997E-3</v>
      </c>
      <c r="O100" s="301">
        <v>2.5000000000000001E-3</v>
      </c>
      <c r="P100" s="298">
        <v>-2.5999999999999999E-2</v>
      </c>
      <c r="Q100" s="298">
        <v>-4.7500000000000001E-2</v>
      </c>
      <c r="R100" s="298">
        <v>-1.4250000000000001E-2</v>
      </c>
      <c r="S100" s="298">
        <v>-6.1499999999999999E-2</v>
      </c>
      <c r="T100" s="298">
        <v>-0.105</v>
      </c>
      <c r="U100" s="298">
        <v>0.2525</v>
      </c>
      <c r="V100" s="298">
        <v>5.0000000000000001E-3</v>
      </c>
      <c r="W100" s="298">
        <v>-0.16500000000000001</v>
      </c>
      <c r="X100" s="298">
        <v>-1.2999999999999999E-2</v>
      </c>
      <c r="Y100" s="313">
        <v>0.21249999999999999</v>
      </c>
      <c r="Z100" s="313">
        <v>1.7000000000000001E-2</v>
      </c>
      <c r="AA100" s="445">
        <v>0.158</v>
      </c>
      <c r="AB100" s="445">
        <v>0.154</v>
      </c>
      <c r="AC100" s="445">
        <v>0.158</v>
      </c>
      <c r="AD100" s="445">
        <v>0.158</v>
      </c>
      <c r="AE100" s="445">
        <v>0.154</v>
      </c>
      <c r="AF100" s="445">
        <v>0.158</v>
      </c>
      <c r="AG100" s="445">
        <v>0.158</v>
      </c>
      <c r="AH100" s="445">
        <v>0.158</v>
      </c>
      <c r="AI100" s="446">
        <v>0.158</v>
      </c>
      <c r="AJ100" s="446">
        <v>0.158</v>
      </c>
      <c r="AK100" s="446">
        <v>0.158</v>
      </c>
      <c r="AL100" s="445">
        <v>0.158</v>
      </c>
      <c r="AM100" s="298">
        <v>7.1900807257206004E-2</v>
      </c>
      <c r="AN100" s="298"/>
      <c r="AO100" s="313">
        <f t="shared" si="10"/>
        <v>0.154</v>
      </c>
      <c r="AP100" s="313">
        <f t="shared" si="11"/>
        <v>0.154</v>
      </c>
      <c r="AQ100" s="316">
        <f t="shared" si="12"/>
        <v>0.154</v>
      </c>
      <c r="IU100" s="315">
        <f t="shared" si="8"/>
        <v>39234</v>
      </c>
      <c r="IV100" s="298">
        <v>89</v>
      </c>
    </row>
    <row r="101" spans="1:256" x14ac:dyDescent="0.25">
      <c r="A101" s="326"/>
      <c r="B101" s="303">
        <f t="shared" si="9"/>
        <v>39234</v>
      </c>
      <c r="C101" s="301">
        <v>2.8975</v>
      </c>
      <c r="D101" s="301">
        <v>0.1575</v>
      </c>
      <c r="E101" s="301">
        <v>7.1548395414106999E-2</v>
      </c>
      <c r="F101" s="301">
        <v>-0.19500000000000001</v>
      </c>
      <c r="G101" s="301">
        <v>0.02</v>
      </c>
      <c r="H101" s="301">
        <v>-0.19500000000000001</v>
      </c>
      <c r="I101" s="301">
        <v>8.7499999999999994E-2</v>
      </c>
      <c r="J101" s="301">
        <v>0.155</v>
      </c>
      <c r="K101" s="301">
        <v>-4.0500000000000001E-2</v>
      </c>
      <c r="L101" s="301">
        <v>-8.5000000000000006E-3</v>
      </c>
      <c r="M101" s="301">
        <v>-0.29249999999999998</v>
      </c>
      <c r="N101" s="301">
        <v>6.4999999999999997E-3</v>
      </c>
      <c r="O101" s="301">
        <v>2.5000000000000001E-3</v>
      </c>
      <c r="P101" s="298">
        <v>-2.35E-2</v>
      </c>
      <c r="Q101" s="298">
        <v>-4.7500000000000001E-2</v>
      </c>
      <c r="R101" s="298">
        <v>-1.4250000000000001E-2</v>
      </c>
      <c r="S101" s="298">
        <v>-5.1499999999999997E-2</v>
      </c>
      <c r="T101" s="298">
        <v>-0.105</v>
      </c>
      <c r="U101" s="298">
        <v>0.2525</v>
      </c>
      <c r="V101" s="298">
        <v>5.0000000000000001E-3</v>
      </c>
      <c r="W101" s="298">
        <v>-0.16500000000000001</v>
      </c>
      <c r="X101" s="298">
        <v>-1.55E-2</v>
      </c>
      <c r="Y101" s="313">
        <v>0.21249999999999999</v>
      </c>
      <c r="Z101" s="313">
        <v>1.7000000000000001E-2</v>
      </c>
      <c r="AA101" s="445">
        <v>0.158</v>
      </c>
      <c r="AB101" s="445">
        <v>0.154</v>
      </c>
      <c r="AC101" s="445">
        <v>0.158</v>
      </c>
      <c r="AD101" s="445">
        <v>0.158</v>
      </c>
      <c r="AE101" s="445">
        <v>0.154</v>
      </c>
      <c r="AF101" s="445">
        <v>0.158</v>
      </c>
      <c r="AG101" s="445">
        <v>0.158</v>
      </c>
      <c r="AH101" s="445">
        <v>0.158</v>
      </c>
      <c r="AI101" s="446">
        <v>0.158</v>
      </c>
      <c r="AJ101" s="446">
        <v>0.158</v>
      </c>
      <c r="AK101" s="446">
        <v>0.158</v>
      </c>
      <c r="AL101" s="445">
        <v>0.158</v>
      </c>
      <c r="AM101" s="298">
        <v>7.1912979661054005E-2</v>
      </c>
      <c r="AN101" s="298"/>
      <c r="AO101" s="313">
        <f t="shared" si="10"/>
        <v>0.154</v>
      </c>
      <c r="AP101" s="313">
        <f t="shared" si="11"/>
        <v>0.154</v>
      </c>
      <c r="AQ101" s="316">
        <f t="shared" si="12"/>
        <v>0.154</v>
      </c>
      <c r="IU101" s="315">
        <f t="shared" si="8"/>
        <v>39264</v>
      </c>
      <c r="IV101" s="298">
        <v>90</v>
      </c>
    </row>
    <row r="102" spans="1:256" x14ac:dyDescent="0.25">
      <c r="A102" s="326"/>
      <c r="B102" s="303">
        <f t="shared" si="9"/>
        <v>39264</v>
      </c>
      <c r="C102" s="301">
        <v>2.9005000000000001</v>
      </c>
      <c r="D102" s="301">
        <v>0.1575</v>
      </c>
      <c r="E102" s="301">
        <v>7.1563388755202004E-2</v>
      </c>
      <c r="F102" s="301">
        <v>-0.19500000000000001</v>
      </c>
      <c r="G102" s="301">
        <v>2.2499999999999999E-2</v>
      </c>
      <c r="H102" s="301">
        <v>-0.19500000000000001</v>
      </c>
      <c r="I102" s="301">
        <v>7.7499999999999999E-2</v>
      </c>
      <c r="J102" s="301">
        <v>0.155</v>
      </c>
      <c r="K102" s="301">
        <v>-4.0500000000000001E-2</v>
      </c>
      <c r="L102" s="301">
        <v>-8.5000000000000006E-3</v>
      </c>
      <c r="M102" s="301">
        <v>-0.29249999999999998</v>
      </c>
      <c r="N102" s="301">
        <v>6.4999999999999997E-3</v>
      </c>
      <c r="O102" s="301">
        <v>2.5000000000000001E-3</v>
      </c>
      <c r="P102" s="298">
        <v>-2.35E-2</v>
      </c>
      <c r="Q102" s="298">
        <v>-4.7500000000000001E-2</v>
      </c>
      <c r="R102" s="298">
        <v>-1.4250000000000001E-2</v>
      </c>
      <c r="S102" s="298">
        <v>-5.1499999999999997E-2</v>
      </c>
      <c r="T102" s="298">
        <v>-0.105</v>
      </c>
      <c r="U102" s="298">
        <v>0.25750000000000001</v>
      </c>
      <c r="V102" s="298">
        <v>5.0000000000000001E-3</v>
      </c>
      <c r="W102" s="298">
        <v>-0.16500000000000001</v>
      </c>
      <c r="X102" s="298">
        <v>-1.55E-2</v>
      </c>
      <c r="Y102" s="313">
        <v>0.21249999999999999</v>
      </c>
      <c r="Z102" s="313">
        <v>1.7000000000000001E-2</v>
      </c>
      <c r="AA102" s="445">
        <v>0.158</v>
      </c>
      <c r="AB102" s="445">
        <v>0.154</v>
      </c>
      <c r="AC102" s="445">
        <v>0.158</v>
      </c>
      <c r="AD102" s="445">
        <v>0.158</v>
      </c>
      <c r="AE102" s="445">
        <v>0.154</v>
      </c>
      <c r="AF102" s="445">
        <v>0.158</v>
      </c>
      <c r="AG102" s="445">
        <v>0.158</v>
      </c>
      <c r="AH102" s="445">
        <v>0.158</v>
      </c>
      <c r="AI102" s="446">
        <v>0.158</v>
      </c>
      <c r="AJ102" s="446">
        <v>0.158</v>
      </c>
      <c r="AK102" s="446">
        <v>0.158</v>
      </c>
      <c r="AL102" s="445">
        <v>0.158</v>
      </c>
      <c r="AM102" s="298">
        <v>7.1924759406760005E-2</v>
      </c>
      <c r="AN102" s="298"/>
      <c r="AO102" s="313">
        <f t="shared" si="10"/>
        <v>0.154</v>
      </c>
      <c r="AP102" s="313">
        <f t="shared" si="11"/>
        <v>0.154</v>
      </c>
      <c r="AQ102" s="316">
        <f t="shared" si="12"/>
        <v>0.154</v>
      </c>
      <c r="IU102" s="315">
        <f t="shared" si="8"/>
        <v>39295</v>
      </c>
      <c r="IV102" s="298">
        <v>91</v>
      </c>
    </row>
    <row r="103" spans="1:256" x14ac:dyDescent="0.25">
      <c r="A103" s="326"/>
      <c r="B103" s="303">
        <f t="shared" si="9"/>
        <v>39295</v>
      </c>
      <c r="C103" s="301">
        <v>2.9064999999999999</v>
      </c>
      <c r="D103" s="301">
        <v>0.1575</v>
      </c>
      <c r="E103" s="301">
        <v>7.1578881874411998E-2</v>
      </c>
      <c r="F103" s="301">
        <v>-0.19500000000000001</v>
      </c>
      <c r="G103" s="301">
        <v>2.5000000000000001E-2</v>
      </c>
      <c r="H103" s="301">
        <v>-0.19500000000000001</v>
      </c>
      <c r="I103" s="301">
        <v>7.4999999999999997E-2</v>
      </c>
      <c r="J103" s="301">
        <v>0.155</v>
      </c>
      <c r="K103" s="301">
        <v>-4.0500000000000001E-2</v>
      </c>
      <c r="L103" s="301">
        <v>-8.5000000000000006E-3</v>
      </c>
      <c r="M103" s="301">
        <v>-0.29249999999999998</v>
      </c>
      <c r="N103" s="301">
        <v>6.4999999999999997E-3</v>
      </c>
      <c r="O103" s="301">
        <v>2.5000000000000001E-3</v>
      </c>
      <c r="P103" s="298">
        <v>-2.35E-2</v>
      </c>
      <c r="Q103" s="298">
        <v>-4.7500000000000001E-2</v>
      </c>
      <c r="R103" s="298">
        <v>-1.175E-2</v>
      </c>
      <c r="S103" s="298">
        <v>-5.1499999999999997E-2</v>
      </c>
      <c r="T103" s="298">
        <v>-0.105</v>
      </c>
      <c r="U103" s="298">
        <v>0.25750000000000001</v>
      </c>
      <c r="V103" s="298">
        <v>5.0000000000000001E-3</v>
      </c>
      <c r="W103" s="298">
        <v>-0.16500000000000001</v>
      </c>
      <c r="X103" s="298">
        <v>-1.55E-2</v>
      </c>
      <c r="Y103" s="313">
        <v>0.21249999999999999</v>
      </c>
      <c r="Z103" s="313">
        <v>1.7000000000000001E-2</v>
      </c>
      <c r="AA103" s="445">
        <v>0.158</v>
      </c>
      <c r="AB103" s="445">
        <v>0.154</v>
      </c>
      <c r="AC103" s="445">
        <v>0.158</v>
      </c>
      <c r="AD103" s="445">
        <v>0.158</v>
      </c>
      <c r="AE103" s="445">
        <v>0.154</v>
      </c>
      <c r="AF103" s="445">
        <v>0.158</v>
      </c>
      <c r="AG103" s="445">
        <v>0.158</v>
      </c>
      <c r="AH103" s="445">
        <v>0.158</v>
      </c>
      <c r="AI103" s="446">
        <v>0.158</v>
      </c>
      <c r="AJ103" s="446">
        <v>0.158</v>
      </c>
      <c r="AK103" s="446">
        <v>0.158</v>
      </c>
      <c r="AL103" s="445">
        <v>0.158</v>
      </c>
      <c r="AM103" s="298">
        <v>7.1936931810704E-2</v>
      </c>
      <c r="AN103" s="298"/>
      <c r="AO103" s="313">
        <f t="shared" si="10"/>
        <v>0.154</v>
      </c>
      <c r="AP103" s="313">
        <f t="shared" si="11"/>
        <v>0.154</v>
      </c>
      <c r="AQ103" s="316">
        <f t="shared" si="12"/>
        <v>0.154</v>
      </c>
      <c r="IU103" s="315">
        <f t="shared" si="8"/>
        <v>39326</v>
      </c>
      <c r="IV103" s="298">
        <v>92</v>
      </c>
    </row>
    <row r="104" spans="1:256" x14ac:dyDescent="0.25">
      <c r="A104" s="326"/>
      <c r="B104" s="303">
        <f t="shared" si="9"/>
        <v>39326</v>
      </c>
      <c r="C104" s="301">
        <v>2.9064999999999999</v>
      </c>
      <c r="D104" s="301">
        <v>0.1575</v>
      </c>
      <c r="E104" s="301">
        <v>7.1594374993701998E-2</v>
      </c>
      <c r="F104" s="301">
        <v>-0.19500000000000001</v>
      </c>
      <c r="G104" s="301">
        <v>1.7500000000000002E-2</v>
      </c>
      <c r="H104" s="301">
        <v>-0.19500000000000001</v>
      </c>
      <c r="I104" s="301">
        <v>7.2499999999999995E-2</v>
      </c>
      <c r="J104" s="301">
        <v>0.155</v>
      </c>
      <c r="K104" s="301">
        <v>-4.2999999999999997E-2</v>
      </c>
      <c r="L104" s="301">
        <v>-1.0999999999999999E-2</v>
      </c>
      <c r="M104" s="301">
        <v>-0.29249999999999998</v>
      </c>
      <c r="N104" s="301">
        <v>6.4999999999999997E-3</v>
      </c>
      <c r="O104" s="301">
        <v>2.5000000000000001E-3</v>
      </c>
      <c r="P104" s="298">
        <v>-2.35E-2</v>
      </c>
      <c r="Q104" s="298">
        <v>-4.7500000000000001E-2</v>
      </c>
      <c r="R104" s="298">
        <v>-1.175E-2</v>
      </c>
      <c r="S104" s="298">
        <v>-5.8999999999999997E-2</v>
      </c>
      <c r="T104" s="298">
        <v>-0.105</v>
      </c>
      <c r="U104" s="298">
        <v>0.2525</v>
      </c>
      <c r="V104" s="298">
        <v>5.0000000000000001E-3</v>
      </c>
      <c r="W104" s="298">
        <v>-0.16500000000000001</v>
      </c>
      <c r="X104" s="298">
        <v>-1.7999999999999999E-2</v>
      </c>
      <c r="Y104" s="313">
        <v>0.21249999999999999</v>
      </c>
      <c r="Z104" s="313">
        <v>1.7000000000000001E-2</v>
      </c>
      <c r="AA104" s="445">
        <v>0.158</v>
      </c>
      <c r="AB104" s="445">
        <v>0.154</v>
      </c>
      <c r="AC104" s="445">
        <v>0.158</v>
      </c>
      <c r="AD104" s="445">
        <v>0.158</v>
      </c>
      <c r="AE104" s="445">
        <v>0.154</v>
      </c>
      <c r="AF104" s="445">
        <v>0.158</v>
      </c>
      <c r="AG104" s="445">
        <v>0.158</v>
      </c>
      <c r="AH104" s="445">
        <v>0.158</v>
      </c>
      <c r="AI104" s="446">
        <v>0.158</v>
      </c>
      <c r="AJ104" s="446">
        <v>0.158</v>
      </c>
      <c r="AK104" s="446">
        <v>0.158</v>
      </c>
      <c r="AL104" s="445">
        <v>0.158</v>
      </c>
      <c r="AM104" s="298">
        <v>7.1949104214696996E-2</v>
      </c>
      <c r="AN104" s="298"/>
      <c r="AO104" s="313">
        <f t="shared" si="10"/>
        <v>0.154</v>
      </c>
      <c r="AP104" s="313">
        <f t="shared" si="11"/>
        <v>0.154</v>
      </c>
      <c r="AQ104" s="316">
        <f t="shared" si="12"/>
        <v>0.154</v>
      </c>
      <c r="IU104" s="315">
        <f t="shared" si="8"/>
        <v>39356</v>
      </c>
      <c r="IV104" s="298">
        <v>93</v>
      </c>
    </row>
    <row r="105" spans="1:256" x14ac:dyDescent="0.25">
      <c r="A105" s="326"/>
      <c r="B105" s="303">
        <f t="shared" si="9"/>
        <v>39356</v>
      </c>
      <c r="C105" s="301">
        <v>2.9295</v>
      </c>
      <c r="D105" s="301">
        <v>0.1575</v>
      </c>
      <c r="E105" s="301">
        <v>7.1609368335025E-2</v>
      </c>
      <c r="F105" s="301">
        <v>-0.19500000000000001</v>
      </c>
      <c r="G105" s="301">
        <v>7.4999999999999997E-3</v>
      </c>
      <c r="H105" s="301">
        <v>-0.19500000000000001</v>
      </c>
      <c r="I105" s="301">
        <v>8.7499999999999994E-2</v>
      </c>
      <c r="J105" s="301">
        <v>0.1575</v>
      </c>
      <c r="K105" s="301">
        <v>-4.2999999999999997E-2</v>
      </c>
      <c r="L105" s="301">
        <v>-1.0999999999999999E-2</v>
      </c>
      <c r="M105" s="301">
        <v>-0.29249999999999998</v>
      </c>
      <c r="N105" s="301">
        <v>6.4999999999999997E-3</v>
      </c>
      <c r="O105" s="301">
        <v>2.5000000000000001E-3</v>
      </c>
      <c r="P105" s="298">
        <v>-2.35E-2</v>
      </c>
      <c r="Q105" s="298">
        <v>-4.7500000000000001E-2</v>
      </c>
      <c r="R105" s="298">
        <v>-3.2500000000000001E-2</v>
      </c>
      <c r="S105" s="298">
        <v>-5.8999999999999997E-2</v>
      </c>
      <c r="T105" s="298">
        <v>-0.105</v>
      </c>
      <c r="U105" s="298">
        <v>0.255</v>
      </c>
      <c r="V105" s="298">
        <v>5.0000000000000001E-3</v>
      </c>
      <c r="W105" s="298">
        <v>-0.16500000000000001</v>
      </c>
      <c r="X105" s="298">
        <v>-1.7999999999999999E-2</v>
      </c>
      <c r="Y105" s="313">
        <v>0.21249999999999999</v>
      </c>
      <c r="Z105" s="313">
        <v>1.7000000000000001E-2</v>
      </c>
      <c r="AA105" s="445">
        <v>0.158</v>
      </c>
      <c r="AB105" s="445">
        <v>0.154</v>
      </c>
      <c r="AC105" s="445">
        <v>0.158</v>
      </c>
      <c r="AD105" s="445">
        <v>0.158</v>
      </c>
      <c r="AE105" s="445">
        <v>0.154</v>
      </c>
      <c r="AF105" s="445">
        <v>0.158</v>
      </c>
      <c r="AG105" s="445">
        <v>0.158</v>
      </c>
      <c r="AH105" s="445">
        <v>0.158</v>
      </c>
      <c r="AI105" s="446">
        <v>0.158</v>
      </c>
      <c r="AJ105" s="446">
        <v>0.158</v>
      </c>
      <c r="AK105" s="446">
        <v>0.158</v>
      </c>
      <c r="AL105" s="445">
        <v>0.158</v>
      </c>
      <c r="AM105" s="298">
        <v>7.1960883960543995E-2</v>
      </c>
      <c r="AN105" s="298"/>
      <c r="AO105" s="313">
        <f t="shared" si="10"/>
        <v>0.154</v>
      </c>
      <c r="AP105" s="313">
        <f t="shared" si="11"/>
        <v>0.154</v>
      </c>
      <c r="AQ105" s="316">
        <f t="shared" si="12"/>
        <v>0.154</v>
      </c>
      <c r="IU105" s="315">
        <f t="shared" si="8"/>
        <v>39387</v>
      </c>
      <c r="IV105" s="298">
        <v>94</v>
      </c>
    </row>
    <row r="106" spans="1:256" x14ac:dyDescent="0.25">
      <c r="A106" s="326"/>
      <c r="B106" s="303">
        <f t="shared" si="9"/>
        <v>39387</v>
      </c>
      <c r="C106" s="301">
        <v>3.0425</v>
      </c>
      <c r="D106" s="301">
        <v>0.1575</v>
      </c>
      <c r="E106" s="301">
        <v>7.1624861454471E-2</v>
      </c>
      <c r="F106" s="301">
        <v>-0.19</v>
      </c>
      <c r="G106" s="301">
        <v>-3.2500000000000001E-2</v>
      </c>
      <c r="H106" s="301">
        <v>-0.19</v>
      </c>
      <c r="I106" s="301">
        <v>0.16500000000000001</v>
      </c>
      <c r="J106" s="301">
        <v>0.24</v>
      </c>
      <c r="K106" s="301">
        <v>-5.45E-2</v>
      </c>
      <c r="L106" s="301">
        <v>-1.6E-2</v>
      </c>
      <c r="M106" s="301">
        <v>-0.24249999999999999</v>
      </c>
      <c r="N106" s="301">
        <v>0.01</v>
      </c>
      <c r="O106" s="301">
        <v>7.0000000000000001E-3</v>
      </c>
      <c r="P106" s="298">
        <v>-2.6499999999999999E-2</v>
      </c>
      <c r="Q106" s="298">
        <v>-0.03</v>
      </c>
      <c r="R106" s="298">
        <v>-3.15E-2</v>
      </c>
      <c r="S106" s="298">
        <v>-7.3999999999999996E-2</v>
      </c>
      <c r="T106" s="298">
        <v>-0.14499999999999999</v>
      </c>
      <c r="U106" s="298">
        <v>0.72499999999999998</v>
      </c>
      <c r="V106" s="298">
        <v>5.0000000000000001E-3</v>
      </c>
      <c r="W106" s="298">
        <v>-0.1875</v>
      </c>
      <c r="X106" s="298">
        <v>-1.55E-2</v>
      </c>
      <c r="Y106" s="313">
        <v>0.10249999999999999</v>
      </c>
      <c r="Z106" s="313">
        <v>2.6499999999999999E-2</v>
      </c>
      <c r="AA106" s="445">
        <v>0.158</v>
      </c>
      <c r="AB106" s="445">
        <v>0.17299999999999999</v>
      </c>
      <c r="AC106" s="445">
        <v>0.158</v>
      </c>
      <c r="AD106" s="445">
        <v>0.158</v>
      </c>
      <c r="AE106" s="445">
        <v>0.158</v>
      </c>
      <c r="AF106" s="445">
        <v>0.158</v>
      </c>
      <c r="AG106" s="445">
        <v>0.158</v>
      </c>
      <c r="AH106" s="445">
        <v>0.158</v>
      </c>
      <c r="AI106" s="446">
        <v>0.158</v>
      </c>
      <c r="AJ106" s="446">
        <v>0.158</v>
      </c>
      <c r="AK106" s="446">
        <v>0.158</v>
      </c>
      <c r="AL106" s="445">
        <v>0.158</v>
      </c>
      <c r="AM106" s="298">
        <v>7.1973056364632998E-2</v>
      </c>
      <c r="AN106" s="298"/>
      <c r="AO106" s="313">
        <f t="shared" si="10"/>
        <v>0.17299999999999999</v>
      </c>
      <c r="AP106" s="313">
        <f t="shared" si="11"/>
        <v>0.17299999999999999</v>
      </c>
      <c r="AQ106" s="316">
        <f t="shared" si="12"/>
        <v>0.17299999999999999</v>
      </c>
      <c r="IU106" s="315">
        <f t="shared" si="8"/>
        <v>39417</v>
      </c>
      <c r="IV106" s="298">
        <v>95</v>
      </c>
    </row>
    <row r="107" spans="1:256" x14ac:dyDescent="0.25">
      <c r="A107" s="326"/>
      <c r="B107" s="303">
        <f t="shared" si="9"/>
        <v>39417</v>
      </c>
      <c r="C107" s="301">
        <v>3.1535000000000002</v>
      </c>
      <c r="D107" s="301">
        <v>0.1575</v>
      </c>
      <c r="E107" s="301">
        <v>7.1639854795944993E-2</v>
      </c>
      <c r="F107" s="301">
        <v>-0.19750000000000001</v>
      </c>
      <c r="G107" s="301">
        <v>-5.5E-2</v>
      </c>
      <c r="H107" s="301">
        <v>-0.19750000000000001</v>
      </c>
      <c r="I107" s="301">
        <v>0.20499999999999999</v>
      </c>
      <c r="J107" s="301">
        <v>0.29499999999999998</v>
      </c>
      <c r="K107" s="301">
        <v>-5.45E-2</v>
      </c>
      <c r="L107" s="301">
        <v>-1.8499999999999999E-2</v>
      </c>
      <c r="M107" s="301">
        <v>-0.24249999999999999</v>
      </c>
      <c r="N107" s="301">
        <v>0.01</v>
      </c>
      <c r="O107" s="301">
        <v>7.0000000000000001E-3</v>
      </c>
      <c r="P107" s="298">
        <v>-2.6499999999999999E-2</v>
      </c>
      <c r="Q107" s="298">
        <v>-0.03</v>
      </c>
      <c r="R107" s="298">
        <v>-3.15E-2</v>
      </c>
      <c r="S107" s="298">
        <v>-8.8999999999999996E-2</v>
      </c>
      <c r="T107" s="298">
        <v>-0.14499999999999999</v>
      </c>
      <c r="U107" s="298">
        <v>1.0449999999999999</v>
      </c>
      <c r="V107" s="298">
        <v>5.0000000000000001E-3</v>
      </c>
      <c r="W107" s="298">
        <v>-0.1875</v>
      </c>
      <c r="X107" s="298">
        <v>-1.55E-2</v>
      </c>
      <c r="Y107" s="313">
        <v>0.10249999999999999</v>
      </c>
      <c r="Z107" s="313">
        <v>2.6499999999999999E-2</v>
      </c>
      <c r="AA107" s="445">
        <v>0.158</v>
      </c>
      <c r="AB107" s="445">
        <v>0.17299999999999999</v>
      </c>
      <c r="AC107" s="445">
        <v>0.158</v>
      </c>
      <c r="AD107" s="445">
        <v>0.158</v>
      </c>
      <c r="AE107" s="445">
        <v>0.158</v>
      </c>
      <c r="AF107" s="445">
        <v>0.158</v>
      </c>
      <c r="AG107" s="445">
        <v>0.158</v>
      </c>
      <c r="AH107" s="445">
        <v>0.158</v>
      </c>
      <c r="AI107" s="446">
        <v>0.158</v>
      </c>
      <c r="AJ107" s="446">
        <v>0.158</v>
      </c>
      <c r="AK107" s="446">
        <v>0.158</v>
      </c>
      <c r="AL107" s="445">
        <v>0.158</v>
      </c>
      <c r="AM107" s="298">
        <v>7.1984836110573006E-2</v>
      </c>
      <c r="AN107" s="298"/>
      <c r="AO107" s="313">
        <f t="shared" si="10"/>
        <v>0.17299999999999999</v>
      </c>
      <c r="AP107" s="313">
        <f t="shared" si="11"/>
        <v>0.17299999999999999</v>
      </c>
      <c r="AQ107" s="316">
        <f t="shared" si="12"/>
        <v>0.17299999999999999</v>
      </c>
      <c r="IU107" s="315">
        <f t="shared" si="8"/>
        <v>39448</v>
      </c>
      <c r="IV107" s="298">
        <v>96</v>
      </c>
    </row>
    <row r="108" spans="1:256" x14ac:dyDescent="0.25">
      <c r="A108" s="326"/>
      <c r="B108" s="303">
        <f t="shared" si="9"/>
        <v>39448</v>
      </c>
      <c r="C108" s="301">
        <v>3.2025000000000001</v>
      </c>
      <c r="D108" s="301">
        <v>0.1575</v>
      </c>
      <c r="E108" s="301">
        <v>7.1655347915546994E-2</v>
      </c>
      <c r="F108" s="301">
        <v>-0.2</v>
      </c>
      <c r="G108" s="301">
        <v>-5.7500000000000002E-2</v>
      </c>
      <c r="H108" s="301">
        <v>-0.2</v>
      </c>
      <c r="I108" s="301">
        <v>0.26</v>
      </c>
      <c r="J108" s="301">
        <v>0.34250000000000003</v>
      </c>
      <c r="K108" s="301">
        <v>-5.8500000000000003E-2</v>
      </c>
      <c r="L108" s="301">
        <v>-1.2500000000000001E-2</v>
      </c>
      <c r="M108" s="301">
        <v>-0.24249999999999999</v>
      </c>
      <c r="N108" s="301">
        <v>0.01</v>
      </c>
      <c r="O108" s="301">
        <v>7.0000000000000001E-3</v>
      </c>
      <c r="P108" s="298">
        <v>-2.1999999999999999E-2</v>
      </c>
      <c r="Q108" s="298">
        <v>-0.03</v>
      </c>
      <c r="R108" s="298">
        <v>-3.15E-2</v>
      </c>
      <c r="S108" s="298">
        <v>-9.9500000000000005E-2</v>
      </c>
      <c r="T108" s="298">
        <v>-0.14499999999999999</v>
      </c>
      <c r="U108" s="298">
        <v>1.52</v>
      </c>
      <c r="V108" s="298">
        <v>5.0000000000000001E-3</v>
      </c>
      <c r="W108" s="298">
        <v>-0.1875</v>
      </c>
      <c r="X108" s="298">
        <v>-1.55E-2</v>
      </c>
      <c r="Y108" s="313">
        <v>0.10249999999999999</v>
      </c>
      <c r="Z108" s="313">
        <v>2.6499999999999999E-2</v>
      </c>
      <c r="AA108" s="445">
        <v>0.158</v>
      </c>
      <c r="AB108" s="445">
        <v>0.158</v>
      </c>
      <c r="AC108" s="445">
        <v>0.158</v>
      </c>
      <c r="AD108" s="445">
        <v>0.158</v>
      </c>
      <c r="AE108" s="445">
        <v>0.158</v>
      </c>
      <c r="AF108" s="445">
        <v>0.158</v>
      </c>
      <c r="AG108" s="445">
        <v>0.158</v>
      </c>
      <c r="AH108" s="445">
        <v>0.158</v>
      </c>
      <c r="AI108" s="446">
        <v>0.158</v>
      </c>
      <c r="AJ108" s="446">
        <v>0.158</v>
      </c>
      <c r="AK108" s="446">
        <v>0.158</v>
      </c>
      <c r="AL108" s="445">
        <v>0.158</v>
      </c>
      <c r="AM108" s="298">
        <v>7.1997008514759001E-2</v>
      </c>
      <c r="AN108" s="298"/>
      <c r="AO108" s="313">
        <f t="shared" si="10"/>
        <v>0.158</v>
      </c>
      <c r="AP108" s="313">
        <f t="shared" si="11"/>
        <v>0.158</v>
      </c>
      <c r="AQ108" s="316">
        <f t="shared" si="12"/>
        <v>0.158</v>
      </c>
      <c r="IU108" s="315">
        <f t="shared" si="8"/>
        <v>39479</v>
      </c>
      <c r="IV108" s="298">
        <v>97</v>
      </c>
    </row>
    <row r="109" spans="1:256" x14ac:dyDescent="0.25">
      <c r="A109" s="326"/>
      <c r="B109" s="303">
        <f t="shared" si="9"/>
        <v>39479</v>
      </c>
      <c r="C109" s="301">
        <v>3.1095000000000002</v>
      </c>
      <c r="D109" s="301">
        <v>0.1575</v>
      </c>
      <c r="E109" s="301">
        <v>7.1670841035228E-2</v>
      </c>
      <c r="F109" s="301">
        <v>-0.20250000000000001</v>
      </c>
      <c r="G109" s="301">
        <v>-0.04</v>
      </c>
      <c r="H109" s="301">
        <v>-0.20250000000000001</v>
      </c>
      <c r="I109" s="301">
        <v>0.23499999999999999</v>
      </c>
      <c r="J109" s="301">
        <v>0.33750000000000002</v>
      </c>
      <c r="K109" s="301">
        <v>-5.45E-2</v>
      </c>
      <c r="L109" s="301">
        <v>-1.8499999999999999E-2</v>
      </c>
      <c r="M109" s="301">
        <v>-0.24249999999999999</v>
      </c>
      <c r="N109" s="301">
        <v>0.01</v>
      </c>
      <c r="O109" s="301">
        <v>7.0000000000000001E-3</v>
      </c>
      <c r="P109" s="298">
        <v>-2.1999999999999999E-2</v>
      </c>
      <c r="Q109" s="298">
        <v>-0.03</v>
      </c>
      <c r="R109" s="298">
        <v>-3.15E-2</v>
      </c>
      <c r="S109" s="298">
        <v>-8.6999999999999994E-2</v>
      </c>
      <c r="T109" s="298">
        <v>-0.14499999999999999</v>
      </c>
      <c r="U109" s="298">
        <v>1.4</v>
      </c>
      <c r="V109" s="298">
        <v>5.0000000000000001E-3</v>
      </c>
      <c r="W109" s="298">
        <v>-0.1875</v>
      </c>
      <c r="X109" s="298">
        <v>-1.55E-2</v>
      </c>
      <c r="Y109" s="313">
        <v>0.10249999999999999</v>
      </c>
      <c r="Z109" s="313">
        <v>2.6499999999999999E-2</v>
      </c>
      <c r="AA109" s="445">
        <v>0.158</v>
      </c>
      <c r="AB109" s="445">
        <v>0.17299999999999999</v>
      </c>
      <c r="AC109" s="445">
        <v>0.158</v>
      </c>
      <c r="AD109" s="445">
        <v>0.158</v>
      </c>
      <c r="AE109" s="445">
        <v>0.158</v>
      </c>
      <c r="AF109" s="445">
        <v>0.158</v>
      </c>
      <c r="AG109" s="445">
        <v>0.158</v>
      </c>
      <c r="AH109" s="445">
        <v>0.158</v>
      </c>
      <c r="AI109" s="446">
        <v>0.158</v>
      </c>
      <c r="AJ109" s="446">
        <v>0.158</v>
      </c>
      <c r="AK109" s="446">
        <v>0.158</v>
      </c>
      <c r="AL109" s="445">
        <v>0.158</v>
      </c>
      <c r="AM109" s="298">
        <v>7.2009180918999993E-2</v>
      </c>
      <c r="AN109" s="298"/>
      <c r="AO109" s="313">
        <f t="shared" si="10"/>
        <v>0.17299999999999999</v>
      </c>
      <c r="AP109" s="313">
        <f t="shared" si="11"/>
        <v>0.17299999999999999</v>
      </c>
      <c r="AQ109" s="316">
        <f t="shared" si="12"/>
        <v>0.17299999999999999</v>
      </c>
      <c r="IU109" s="315">
        <f t="shared" si="8"/>
        <v>39508</v>
      </c>
      <c r="IV109" s="298">
        <v>98</v>
      </c>
    </row>
    <row r="110" spans="1:256" x14ac:dyDescent="0.25">
      <c r="A110" s="326"/>
      <c r="B110" s="303">
        <f t="shared" si="9"/>
        <v>39508</v>
      </c>
      <c r="C110" s="301">
        <v>3.0095000000000001</v>
      </c>
      <c r="D110" s="301">
        <v>0.1575</v>
      </c>
      <c r="E110" s="301">
        <v>7.1685334598871997E-2</v>
      </c>
      <c r="F110" s="301">
        <v>-0.20499999999999999</v>
      </c>
      <c r="G110" s="301">
        <v>-2.75E-2</v>
      </c>
      <c r="H110" s="301">
        <v>-0.20499999999999999</v>
      </c>
      <c r="I110" s="301">
        <v>0.23250000000000001</v>
      </c>
      <c r="J110" s="301">
        <v>0.26</v>
      </c>
      <c r="K110" s="301">
        <v>-5.6000000000000001E-2</v>
      </c>
      <c r="L110" s="301">
        <v>-2.1499999999999998E-2</v>
      </c>
      <c r="M110" s="301">
        <v>-0.24249999999999999</v>
      </c>
      <c r="N110" s="301">
        <v>0.01</v>
      </c>
      <c r="O110" s="301">
        <v>7.0000000000000001E-3</v>
      </c>
      <c r="P110" s="298">
        <v>-2.1999999999999999E-2</v>
      </c>
      <c r="Q110" s="298">
        <v>-0.03</v>
      </c>
      <c r="R110" s="298">
        <v>-1.32E-2</v>
      </c>
      <c r="S110" s="298">
        <v>-7.4499999999999997E-2</v>
      </c>
      <c r="T110" s="298">
        <v>-0.14499999999999999</v>
      </c>
      <c r="U110" s="298">
        <v>0.88</v>
      </c>
      <c r="V110" s="298">
        <v>5.0000000000000001E-3</v>
      </c>
      <c r="W110" s="298">
        <v>-0.1875</v>
      </c>
      <c r="X110" s="298">
        <v>-1.55E-2</v>
      </c>
      <c r="Y110" s="313">
        <v>0.10249999999999999</v>
      </c>
      <c r="Z110" s="313">
        <v>2.6499999999999999E-2</v>
      </c>
      <c r="AA110" s="445">
        <v>0.158</v>
      </c>
      <c r="AB110" s="445">
        <v>0.17299999999999999</v>
      </c>
      <c r="AC110" s="445">
        <v>0.158</v>
      </c>
      <c r="AD110" s="445">
        <v>0.158</v>
      </c>
      <c r="AE110" s="445">
        <v>0.158</v>
      </c>
      <c r="AF110" s="445">
        <v>0.158</v>
      </c>
      <c r="AG110" s="445">
        <v>0.158</v>
      </c>
      <c r="AH110" s="445">
        <v>0.158</v>
      </c>
      <c r="AI110" s="446">
        <v>0.158</v>
      </c>
      <c r="AJ110" s="446">
        <v>0.158</v>
      </c>
      <c r="AK110" s="446">
        <v>0.158</v>
      </c>
      <c r="AL110" s="445">
        <v>0.158</v>
      </c>
      <c r="AM110" s="298">
        <v>7.2020568006870997E-2</v>
      </c>
      <c r="AN110" s="298"/>
      <c r="AO110" s="313">
        <f t="shared" si="10"/>
        <v>0.17299999999999999</v>
      </c>
      <c r="AP110" s="313">
        <f t="shared" si="11"/>
        <v>0.17299999999999999</v>
      </c>
      <c r="AQ110" s="316">
        <f t="shared" si="12"/>
        <v>0.17299999999999999</v>
      </c>
      <c r="IU110" s="315">
        <f t="shared" si="8"/>
        <v>39539</v>
      </c>
      <c r="IV110" s="298">
        <v>99</v>
      </c>
    </row>
    <row r="111" spans="1:256" x14ac:dyDescent="0.25">
      <c r="A111" s="326"/>
      <c r="B111" s="303">
        <f t="shared" si="9"/>
        <v>39539</v>
      </c>
      <c r="C111" s="301">
        <v>2.9245000000000001</v>
      </c>
      <c r="D111" s="301">
        <v>0.1575</v>
      </c>
      <c r="E111" s="301">
        <v>7.1700827718707005E-2</v>
      </c>
      <c r="F111" s="301">
        <v>-0.19500000000000001</v>
      </c>
      <c r="G111" s="301">
        <v>1.4999999999999999E-2</v>
      </c>
      <c r="H111" s="301">
        <v>-0.19500000000000001</v>
      </c>
      <c r="I111" s="301">
        <v>0.13</v>
      </c>
      <c r="J111" s="301">
        <v>0.17</v>
      </c>
      <c r="K111" s="301">
        <v>-6.6000000000000003E-2</v>
      </c>
      <c r="L111" s="301">
        <v>-3.4000000000000002E-2</v>
      </c>
      <c r="M111" s="301">
        <v>-0.29249999999999998</v>
      </c>
      <c r="N111" s="301">
        <v>6.4999999999999997E-3</v>
      </c>
      <c r="O111" s="301">
        <v>4.4999999999999997E-3</v>
      </c>
      <c r="P111" s="298">
        <v>-2.4E-2</v>
      </c>
      <c r="Q111" s="298">
        <v>-0.03</v>
      </c>
      <c r="R111" s="298">
        <v>-1.32E-2</v>
      </c>
      <c r="S111" s="298">
        <v>-5.7000000000000002E-2</v>
      </c>
      <c r="T111" s="298">
        <v>-0.105</v>
      </c>
      <c r="U111" s="298">
        <v>0.37</v>
      </c>
      <c r="V111" s="298">
        <v>5.0000000000000001E-3</v>
      </c>
      <c r="W111" s="298">
        <v>-0.16500000000000001</v>
      </c>
      <c r="X111" s="298">
        <v>-1.55E-2</v>
      </c>
      <c r="Y111" s="313">
        <v>0.21249999999999999</v>
      </c>
      <c r="Z111" s="313">
        <v>1.9E-2</v>
      </c>
      <c r="AA111" s="445">
        <v>0.158</v>
      </c>
      <c r="AB111" s="445">
        <v>0.154</v>
      </c>
      <c r="AC111" s="445">
        <v>0.158</v>
      </c>
      <c r="AD111" s="445">
        <v>0.158</v>
      </c>
      <c r="AE111" s="445">
        <v>0.154</v>
      </c>
      <c r="AF111" s="445">
        <v>0.158</v>
      </c>
      <c r="AG111" s="445">
        <v>0.158</v>
      </c>
      <c r="AH111" s="445">
        <v>0.158</v>
      </c>
      <c r="AI111" s="446">
        <v>0.158</v>
      </c>
      <c r="AJ111" s="446">
        <v>0.158</v>
      </c>
      <c r="AK111" s="446">
        <v>0.158</v>
      </c>
      <c r="AL111" s="445">
        <v>0.158</v>
      </c>
      <c r="AM111" s="298">
        <v>7.2032740411200002E-2</v>
      </c>
      <c r="AN111" s="298"/>
      <c r="AO111" s="313">
        <f t="shared" si="10"/>
        <v>0.154</v>
      </c>
      <c r="AP111" s="313">
        <f t="shared" si="11"/>
        <v>0.154</v>
      </c>
      <c r="AQ111" s="316">
        <f t="shared" si="12"/>
        <v>0.154</v>
      </c>
      <c r="IU111" s="315">
        <f t="shared" si="8"/>
        <v>39569</v>
      </c>
      <c r="IV111" s="298">
        <v>100</v>
      </c>
    </row>
    <row r="112" spans="1:256" x14ac:dyDescent="0.25">
      <c r="B112" s="303">
        <f t="shared" si="9"/>
        <v>39569</v>
      </c>
      <c r="C112" s="301">
        <v>2.952</v>
      </c>
      <c r="D112" s="301">
        <v>0.1575</v>
      </c>
      <c r="E112" s="301">
        <v>7.1715821060558002E-2</v>
      </c>
      <c r="F112" s="301">
        <v>-0.19500000000000001</v>
      </c>
      <c r="G112" s="301">
        <v>1.4999999999999999E-2</v>
      </c>
      <c r="H112" s="301">
        <v>-0.19500000000000001</v>
      </c>
      <c r="I112" s="301">
        <v>0.13250000000000001</v>
      </c>
      <c r="J112" s="301">
        <v>0.155</v>
      </c>
      <c r="K112" s="301">
        <v>-4.1000000000000002E-2</v>
      </c>
      <c r="L112" s="301">
        <v>-8.9999999999999993E-3</v>
      </c>
      <c r="M112" s="301">
        <v>-0.29249999999999998</v>
      </c>
      <c r="N112" s="301">
        <v>6.4999999999999997E-3</v>
      </c>
      <c r="O112" s="301">
        <v>4.4999999999999997E-3</v>
      </c>
      <c r="P112" s="298">
        <v>-2.4E-2</v>
      </c>
      <c r="Q112" s="298">
        <v>-0.03</v>
      </c>
      <c r="R112" s="298">
        <v>-1.325E-2</v>
      </c>
      <c r="S112" s="298">
        <v>-5.9499999999999997E-2</v>
      </c>
      <c r="T112" s="298">
        <v>-0.105</v>
      </c>
      <c r="U112" s="298">
        <v>0.2525</v>
      </c>
      <c r="V112" s="298">
        <v>5.0000000000000001E-3</v>
      </c>
      <c r="W112" s="298">
        <v>-0.16500000000000001</v>
      </c>
      <c r="X112" s="298">
        <v>-1.2E-2</v>
      </c>
      <c r="Y112" s="313">
        <v>0.21249999999999999</v>
      </c>
      <c r="Z112" s="313">
        <v>1.9E-2</v>
      </c>
      <c r="AA112" s="445">
        <v>0.158</v>
      </c>
      <c r="AB112" s="445">
        <v>0.154</v>
      </c>
      <c r="AC112" s="445">
        <v>0.158</v>
      </c>
      <c r="AD112" s="445">
        <v>0.158</v>
      </c>
      <c r="AE112" s="445">
        <v>0.154</v>
      </c>
      <c r="AF112" s="445">
        <v>0.158</v>
      </c>
      <c r="AG112" s="445">
        <v>0.158</v>
      </c>
      <c r="AH112" s="445">
        <v>0.158</v>
      </c>
      <c r="AI112" s="446">
        <v>0.158</v>
      </c>
      <c r="AJ112" s="446">
        <v>0.158</v>
      </c>
      <c r="AK112" s="446">
        <v>0.158</v>
      </c>
      <c r="AL112" s="445">
        <v>0.158</v>
      </c>
      <c r="AM112" s="298">
        <v>7.2044520157372005E-2</v>
      </c>
      <c r="AN112" s="298"/>
      <c r="AO112" s="313">
        <f t="shared" si="10"/>
        <v>0.154</v>
      </c>
      <c r="AP112" s="313">
        <f t="shared" si="11"/>
        <v>0.154</v>
      </c>
      <c r="AQ112" s="316">
        <f t="shared" si="12"/>
        <v>0.154</v>
      </c>
      <c r="IU112" s="315">
        <f t="shared" si="8"/>
        <v>39600</v>
      </c>
      <c r="IV112" s="298">
        <v>101</v>
      </c>
    </row>
    <row r="113" spans="1:256" x14ac:dyDescent="0.25">
      <c r="B113" s="303">
        <f t="shared" ref="B113:B144" si="13">EOMONTH(B112,0)+1</f>
        <v>39600</v>
      </c>
      <c r="C113" s="301">
        <v>2.964</v>
      </c>
      <c r="D113" s="301">
        <v>0.1575</v>
      </c>
      <c r="E113" s="301">
        <v>7.1731314180547998E-2</v>
      </c>
      <c r="F113" s="301">
        <v>-0.19500000000000001</v>
      </c>
      <c r="G113" s="301">
        <v>0.02</v>
      </c>
      <c r="H113" s="301">
        <v>-0.19500000000000001</v>
      </c>
      <c r="I113" s="301">
        <v>0.1275</v>
      </c>
      <c r="J113" s="301">
        <v>0.155</v>
      </c>
      <c r="K113" s="301">
        <v>-3.85E-2</v>
      </c>
      <c r="L113" s="301">
        <v>-6.4999999999999997E-3</v>
      </c>
      <c r="M113" s="301">
        <v>-0.29249999999999998</v>
      </c>
      <c r="N113" s="301">
        <v>6.4999999999999997E-3</v>
      </c>
      <c r="O113" s="301">
        <v>4.4999999999999997E-3</v>
      </c>
      <c r="P113" s="298">
        <v>-2.1499999999999998E-2</v>
      </c>
      <c r="Q113" s="298">
        <v>-0.03</v>
      </c>
      <c r="R113" s="298">
        <v>-1.325E-2</v>
      </c>
      <c r="S113" s="298">
        <v>-4.9500000000000002E-2</v>
      </c>
      <c r="T113" s="298">
        <v>-0.105</v>
      </c>
      <c r="U113" s="298">
        <v>0.2525</v>
      </c>
      <c r="V113" s="298">
        <v>5.0000000000000001E-3</v>
      </c>
      <c r="W113" s="298">
        <v>-0.16500000000000001</v>
      </c>
      <c r="X113" s="298">
        <v>-1.4500000000000001E-2</v>
      </c>
      <c r="Y113" s="313">
        <v>0.21249999999999999</v>
      </c>
      <c r="Z113" s="313">
        <v>1.9E-2</v>
      </c>
      <c r="AA113" s="445">
        <v>0.158</v>
      </c>
      <c r="AB113" s="445">
        <v>0.154</v>
      </c>
      <c r="AC113" s="445">
        <v>0.158</v>
      </c>
      <c r="AD113" s="445">
        <v>0.158</v>
      </c>
      <c r="AE113" s="445">
        <v>0.154</v>
      </c>
      <c r="AF113" s="445">
        <v>0.158</v>
      </c>
      <c r="AG113" s="445">
        <v>0.158</v>
      </c>
      <c r="AH113" s="445">
        <v>0.158</v>
      </c>
      <c r="AI113" s="446">
        <v>0.158</v>
      </c>
      <c r="AJ113" s="446">
        <v>0.158</v>
      </c>
      <c r="AK113" s="446">
        <v>0.158</v>
      </c>
      <c r="AL113" s="445">
        <v>0.158</v>
      </c>
      <c r="AM113" s="298">
        <v>7.2056692561798003E-2</v>
      </c>
      <c r="AN113" s="298"/>
      <c r="AO113" s="313">
        <f t="shared" si="10"/>
        <v>0.154</v>
      </c>
      <c r="AP113" s="313">
        <f t="shared" si="11"/>
        <v>0.154</v>
      </c>
      <c r="AQ113" s="316">
        <f t="shared" si="12"/>
        <v>0.154</v>
      </c>
      <c r="IU113" s="315">
        <f t="shared" si="8"/>
        <v>39630</v>
      </c>
      <c r="IV113" s="298">
        <v>102</v>
      </c>
    </row>
    <row r="114" spans="1:256" x14ac:dyDescent="0.25">
      <c r="B114" s="303">
        <f t="shared" si="13"/>
        <v>39630</v>
      </c>
      <c r="C114" s="301">
        <v>2.9670000000000001</v>
      </c>
      <c r="D114" s="301">
        <v>0.1575</v>
      </c>
      <c r="E114" s="301">
        <v>7.1746307522549999E-2</v>
      </c>
      <c r="F114" s="301">
        <v>-0.19500000000000001</v>
      </c>
      <c r="G114" s="301">
        <v>2.2499999999999999E-2</v>
      </c>
      <c r="H114" s="301">
        <v>-0.19500000000000001</v>
      </c>
      <c r="I114" s="301">
        <v>0.11749999999999999</v>
      </c>
      <c r="J114" s="301">
        <v>0.155</v>
      </c>
      <c r="K114" s="301">
        <v>-3.85E-2</v>
      </c>
      <c r="L114" s="301">
        <v>-6.4999999999999997E-3</v>
      </c>
      <c r="M114" s="301">
        <v>-0.29249999999999998</v>
      </c>
      <c r="N114" s="301">
        <v>6.4999999999999997E-3</v>
      </c>
      <c r="O114" s="301">
        <v>4.4999999999999997E-3</v>
      </c>
      <c r="P114" s="298">
        <v>-2.1499999999999998E-2</v>
      </c>
      <c r="Q114" s="298">
        <v>-0.03</v>
      </c>
      <c r="R114" s="298">
        <v>-1.325E-2</v>
      </c>
      <c r="S114" s="298">
        <v>-4.9500000000000002E-2</v>
      </c>
      <c r="T114" s="298">
        <v>-0.105</v>
      </c>
      <c r="U114" s="298">
        <v>0.25750000000000001</v>
      </c>
      <c r="V114" s="298">
        <v>5.0000000000000001E-3</v>
      </c>
      <c r="W114" s="298">
        <v>-0.16500000000000001</v>
      </c>
      <c r="X114" s="298">
        <v>-1.4500000000000001E-2</v>
      </c>
      <c r="Y114" s="313">
        <v>0.21249999999999999</v>
      </c>
      <c r="Z114" s="313">
        <v>1.9E-2</v>
      </c>
      <c r="AA114" s="445">
        <v>0.158</v>
      </c>
      <c r="AB114" s="445">
        <v>0.154</v>
      </c>
      <c r="AC114" s="445">
        <v>0.158</v>
      </c>
      <c r="AD114" s="445">
        <v>0.158</v>
      </c>
      <c r="AE114" s="445">
        <v>0.154</v>
      </c>
      <c r="AF114" s="445">
        <v>0.158</v>
      </c>
      <c r="AG114" s="445">
        <v>0.158</v>
      </c>
      <c r="AH114" s="445">
        <v>0.158</v>
      </c>
      <c r="AI114" s="446">
        <v>0.158</v>
      </c>
      <c r="AJ114" s="446">
        <v>0.158</v>
      </c>
      <c r="AK114" s="446">
        <v>0.158</v>
      </c>
      <c r="AL114" s="445">
        <v>0.158</v>
      </c>
      <c r="AM114" s="298">
        <v>7.2068472308063E-2</v>
      </c>
      <c r="AN114" s="298"/>
      <c r="AO114" s="313">
        <f t="shared" si="10"/>
        <v>0.154</v>
      </c>
      <c r="AP114" s="313">
        <f t="shared" si="11"/>
        <v>0.154</v>
      </c>
      <c r="AQ114" s="316">
        <f t="shared" si="12"/>
        <v>0.154</v>
      </c>
      <c r="IU114" s="315">
        <f t="shared" si="8"/>
        <v>39661</v>
      </c>
      <c r="IV114" s="298">
        <v>103</v>
      </c>
    </row>
    <row r="115" spans="1:256" x14ac:dyDescent="0.25">
      <c r="B115" s="303">
        <f t="shared" si="13"/>
        <v>39661</v>
      </c>
      <c r="C115" s="301">
        <v>2.9729999999999999</v>
      </c>
      <c r="D115" s="301">
        <v>0.1575</v>
      </c>
      <c r="E115" s="301">
        <v>7.1761800642695994E-2</v>
      </c>
      <c r="F115" s="301">
        <v>-0.19500000000000001</v>
      </c>
      <c r="G115" s="301">
        <v>2.5000000000000001E-2</v>
      </c>
      <c r="H115" s="301">
        <v>-0.19500000000000001</v>
      </c>
      <c r="I115" s="301">
        <v>0.115</v>
      </c>
      <c r="J115" s="301">
        <v>0.155</v>
      </c>
      <c r="K115" s="301">
        <v>-3.85E-2</v>
      </c>
      <c r="L115" s="301">
        <v>-6.4999999999999997E-3</v>
      </c>
      <c r="M115" s="301">
        <v>-0.29249999999999998</v>
      </c>
      <c r="N115" s="301">
        <v>6.4999999999999997E-3</v>
      </c>
      <c r="O115" s="301">
        <v>4.4999999999999997E-3</v>
      </c>
      <c r="P115" s="298">
        <v>-2.1499999999999998E-2</v>
      </c>
      <c r="Q115" s="298">
        <v>-0.03</v>
      </c>
      <c r="R115" s="298">
        <v>-1.0749999999999999E-2</v>
      </c>
      <c r="S115" s="298">
        <v>-4.9500000000000002E-2</v>
      </c>
      <c r="T115" s="298">
        <v>-0.105</v>
      </c>
      <c r="U115" s="298">
        <v>0.25750000000000001</v>
      </c>
      <c r="V115" s="298">
        <v>5.0000000000000001E-3</v>
      </c>
      <c r="W115" s="298">
        <v>-0.16500000000000001</v>
      </c>
      <c r="X115" s="298">
        <v>-1.4500000000000001E-2</v>
      </c>
      <c r="Y115" s="313">
        <v>0.21249999999999999</v>
      </c>
      <c r="Z115" s="313">
        <v>1.9E-2</v>
      </c>
      <c r="AA115" s="445">
        <v>0.158</v>
      </c>
      <c r="AB115" s="445">
        <v>0.154</v>
      </c>
      <c r="AC115" s="445">
        <v>0.158</v>
      </c>
      <c r="AD115" s="445">
        <v>0.158</v>
      </c>
      <c r="AE115" s="445">
        <v>0.154</v>
      </c>
      <c r="AF115" s="445">
        <v>0.158</v>
      </c>
      <c r="AG115" s="445">
        <v>0.158</v>
      </c>
      <c r="AH115" s="445">
        <v>0.158</v>
      </c>
      <c r="AI115" s="446">
        <v>0.158</v>
      </c>
      <c r="AJ115" s="446">
        <v>0.158</v>
      </c>
      <c r="AK115" s="446">
        <v>0.158</v>
      </c>
      <c r="AL115" s="445">
        <v>0.158</v>
      </c>
      <c r="AM115" s="298">
        <v>7.2080644712585004E-2</v>
      </c>
      <c r="AN115" s="298"/>
      <c r="AO115" s="313">
        <f t="shared" si="10"/>
        <v>0.154</v>
      </c>
      <c r="AP115" s="313">
        <f t="shared" si="11"/>
        <v>0.154</v>
      </c>
      <c r="AQ115" s="316">
        <f t="shared" si="12"/>
        <v>0.154</v>
      </c>
      <c r="IU115" s="315">
        <f t="shared" si="8"/>
        <v>39692</v>
      </c>
      <c r="IV115" s="298">
        <v>104</v>
      </c>
    </row>
    <row r="116" spans="1:256" x14ac:dyDescent="0.25">
      <c r="B116" s="303">
        <f t="shared" si="13"/>
        <v>39692</v>
      </c>
      <c r="C116" s="301">
        <v>2.972</v>
      </c>
      <c r="D116" s="301">
        <v>0.1575</v>
      </c>
      <c r="E116" s="301">
        <v>7.1777293762921995E-2</v>
      </c>
      <c r="F116" s="301">
        <v>-0.19500000000000001</v>
      </c>
      <c r="G116" s="301">
        <v>1.7500000000000002E-2</v>
      </c>
      <c r="H116" s="301">
        <v>-0.19500000000000001</v>
      </c>
      <c r="I116" s="301">
        <v>0.1125</v>
      </c>
      <c r="J116" s="301">
        <v>0.155</v>
      </c>
      <c r="K116" s="301">
        <v>-4.1000000000000002E-2</v>
      </c>
      <c r="L116" s="301">
        <v>-8.9999999999999993E-3</v>
      </c>
      <c r="M116" s="301">
        <v>-0.29249999999999998</v>
      </c>
      <c r="N116" s="301">
        <v>6.4999999999999997E-3</v>
      </c>
      <c r="O116" s="301">
        <v>4.4999999999999997E-3</v>
      </c>
      <c r="P116" s="298">
        <v>-2.1499999999999998E-2</v>
      </c>
      <c r="Q116" s="298">
        <v>-0.03</v>
      </c>
      <c r="R116" s="298">
        <v>-1.0749999999999999E-2</v>
      </c>
      <c r="S116" s="298">
        <v>-5.7000000000000002E-2</v>
      </c>
      <c r="T116" s="298">
        <v>-0.105</v>
      </c>
      <c r="U116" s="298">
        <v>0.2525</v>
      </c>
      <c r="V116" s="298">
        <v>5.0000000000000001E-3</v>
      </c>
      <c r="W116" s="298">
        <v>-0.16500000000000001</v>
      </c>
      <c r="X116" s="298">
        <v>-1.7000000000000001E-2</v>
      </c>
      <c r="Y116" s="313">
        <v>0.21249999999999999</v>
      </c>
      <c r="Z116" s="313">
        <v>1.9E-2</v>
      </c>
      <c r="AA116" s="445">
        <v>0.158</v>
      </c>
      <c r="AB116" s="445">
        <v>0.154</v>
      </c>
      <c r="AC116" s="445">
        <v>0.158</v>
      </c>
      <c r="AD116" s="445">
        <v>0.158</v>
      </c>
      <c r="AE116" s="445">
        <v>0.154</v>
      </c>
      <c r="AF116" s="445">
        <v>0.158</v>
      </c>
      <c r="AG116" s="445">
        <v>0.158</v>
      </c>
      <c r="AH116" s="445">
        <v>0.158</v>
      </c>
      <c r="AI116" s="446">
        <v>0.158</v>
      </c>
      <c r="AJ116" s="446">
        <v>0.158</v>
      </c>
      <c r="AK116" s="446">
        <v>0.158</v>
      </c>
      <c r="AL116" s="445">
        <v>0.158</v>
      </c>
      <c r="AM116" s="298">
        <v>7.2092817117156996E-2</v>
      </c>
      <c r="AN116" s="298"/>
      <c r="AO116" s="313">
        <f t="shared" si="10"/>
        <v>0.154</v>
      </c>
      <c r="AP116" s="313">
        <f t="shared" si="11"/>
        <v>0.154</v>
      </c>
      <c r="AQ116" s="316">
        <f t="shared" si="12"/>
        <v>0.154</v>
      </c>
      <c r="IU116" s="315">
        <f t="shared" si="8"/>
        <v>39722</v>
      </c>
      <c r="IV116" s="298">
        <v>105</v>
      </c>
    </row>
    <row r="117" spans="1:256" x14ac:dyDescent="0.25">
      <c r="B117" s="303">
        <f t="shared" si="13"/>
        <v>39722</v>
      </c>
      <c r="C117" s="301">
        <v>2.9940000000000002</v>
      </c>
      <c r="D117" s="301">
        <v>0.1575</v>
      </c>
      <c r="E117" s="301">
        <v>7.1792287105151995E-2</v>
      </c>
      <c r="F117" s="301">
        <v>-0.19500000000000001</v>
      </c>
      <c r="G117" s="301">
        <v>7.4999999999999997E-3</v>
      </c>
      <c r="H117" s="301">
        <v>-0.19500000000000001</v>
      </c>
      <c r="I117" s="301">
        <v>0.1275</v>
      </c>
      <c r="J117" s="301">
        <v>0.1575</v>
      </c>
      <c r="K117" s="301">
        <v>-4.1000000000000002E-2</v>
      </c>
      <c r="L117" s="301">
        <v>-8.9999999999999993E-3</v>
      </c>
      <c r="M117" s="301">
        <v>-0.29249999999999998</v>
      </c>
      <c r="N117" s="301">
        <v>6.4999999999999997E-3</v>
      </c>
      <c r="O117" s="301">
        <v>4.4999999999999997E-3</v>
      </c>
      <c r="P117" s="298">
        <v>-2.1499999999999998E-2</v>
      </c>
      <c r="Q117" s="298">
        <v>-0.03</v>
      </c>
      <c r="R117" s="298">
        <v>-3.15E-2</v>
      </c>
      <c r="S117" s="298">
        <v>-5.7000000000000002E-2</v>
      </c>
      <c r="T117" s="298">
        <v>-0.105</v>
      </c>
      <c r="U117" s="298">
        <v>0.255</v>
      </c>
      <c r="V117" s="298">
        <v>5.0000000000000001E-3</v>
      </c>
      <c r="W117" s="298">
        <v>-0.16500000000000001</v>
      </c>
      <c r="X117" s="298">
        <v>-1.7000000000000001E-2</v>
      </c>
      <c r="Y117" s="313">
        <v>0.21249999999999999</v>
      </c>
      <c r="Z117" s="313">
        <v>1.9E-2</v>
      </c>
      <c r="AA117" s="445">
        <v>0.158</v>
      </c>
      <c r="AB117" s="445">
        <v>0.154</v>
      </c>
      <c r="AC117" s="445">
        <v>0.158</v>
      </c>
      <c r="AD117" s="445">
        <v>0.158</v>
      </c>
      <c r="AE117" s="445">
        <v>0.154</v>
      </c>
      <c r="AF117" s="445">
        <v>0.158</v>
      </c>
      <c r="AG117" s="445">
        <v>0.158</v>
      </c>
      <c r="AH117" s="445">
        <v>0.158</v>
      </c>
      <c r="AI117" s="446">
        <v>0.158</v>
      </c>
      <c r="AJ117" s="446">
        <v>0.158</v>
      </c>
      <c r="AK117" s="446">
        <v>0.158</v>
      </c>
      <c r="AL117" s="445">
        <v>0.158</v>
      </c>
      <c r="AM117" s="298">
        <v>7.2104596863563006E-2</v>
      </c>
      <c r="AN117" s="298"/>
      <c r="AO117" s="313">
        <f t="shared" si="10"/>
        <v>0.154</v>
      </c>
      <c r="AP117" s="313">
        <f t="shared" si="11"/>
        <v>0.154</v>
      </c>
      <c r="AQ117" s="316">
        <f t="shared" si="12"/>
        <v>0.154</v>
      </c>
      <c r="IU117" s="315">
        <f t="shared" si="8"/>
        <v>39753</v>
      </c>
      <c r="IV117" s="298">
        <v>106</v>
      </c>
    </row>
    <row r="118" spans="1:256" x14ac:dyDescent="0.25">
      <c r="B118" s="303">
        <f t="shared" si="13"/>
        <v>39753</v>
      </c>
      <c r="C118" s="301">
        <v>3.1019999999999999</v>
      </c>
      <c r="D118" s="301">
        <v>0.1575</v>
      </c>
      <c r="E118" s="301">
        <v>7.1807780225533996E-2</v>
      </c>
      <c r="F118" s="301">
        <v>-0.19</v>
      </c>
      <c r="G118" s="301">
        <v>-3.2500000000000001E-2</v>
      </c>
      <c r="H118" s="301">
        <v>-0.19</v>
      </c>
      <c r="I118" s="301">
        <v>0.20499999999999999</v>
      </c>
      <c r="J118" s="301">
        <v>0.24</v>
      </c>
      <c r="K118" s="301">
        <v>-5.2499999999999998E-2</v>
      </c>
      <c r="L118" s="301">
        <v>-1.4E-2</v>
      </c>
      <c r="M118" s="301">
        <v>-0.24249999999999999</v>
      </c>
      <c r="N118" s="301">
        <v>1.0999999999999999E-2</v>
      </c>
      <c r="O118" s="301">
        <v>8.9999999999999993E-3</v>
      </c>
      <c r="P118" s="298">
        <v>-2.4500000000000001E-2</v>
      </c>
      <c r="Q118" s="298">
        <v>-0.03</v>
      </c>
      <c r="R118" s="298">
        <v>-3.3000000000000002E-2</v>
      </c>
      <c r="S118" s="298">
        <v>-7.1999999999999995E-2</v>
      </c>
      <c r="T118" s="298">
        <v>-0.14499999999999999</v>
      </c>
      <c r="U118" s="298">
        <v>0.72499999999999998</v>
      </c>
      <c r="V118" s="298">
        <v>5.0000000000000001E-3</v>
      </c>
      <c r="W118" s="298">
        <v>-0.1875</v>
      </c>
      <c r="X118" s="298">
        <v>-1.4500000000000001E-2</v>
      </c>
      <c r="Y118" s="313">
        <v>0.10249999999999999</v>
      </c>
      <c r="Z118" s="313">
        <v>2.8500000000000001E-2</v>
      </c>
      <c r="AA118" s="445">
        <v>0.158</v>
      </c>
      <c r="AB118" s="445">
        <v>0.17299999999999999</v>
      </c>
      <c r="AC118" s="445">
        <v>0.158</v>
      </c>
      <c r="AD118" s="445">
        <v>0.158</v>
      </c>
      <c r="AE118" s="445">
        <v>0.158</v>
      </c>
      <c r="AF118" s="445">
        <v>0.158</v>
      </c>
      <c r="AG118" s="445">
        <v>0.158</v>
      </c>
      <c r="AH118" s="445">
        <v>0.158</v>
      </c>
      <c r="AI118" s="446">
        <v>0.158</v>
      </c>
      <c r="AJ118" s="446">
        <v>0.158</v>
      </c>
      <c r="AK118" s="446">
        <v>0.158</v>
      </c>
      <c r="AL118" s="445">
        <v>0.158</v>
      </c>
      <c r="AM118" s="298">
        <v>7.2116769268229006E-2</v>
      </c>
      <c r="AN118" s="298"/>
      <c r="AO118" s="313">
        <f t="shared" si="10"/>
        <v>0.17299999999999999</v>
      </c>
      <c r="AP118" s="313">
        <f t="shared" si="11"/>
        <v>0.17299999999999999</v>
      </c>
      <c r="AQ118" s="316">
        <f t="shared" si="12"/>
        <v>0.17299999999999999</v>
      </c>
      <c r="IU118" s="315">
        <f t="shared" si="8"/>
        <v>39783</v>
      </c>
      <c r="IV118" s="298">
        <v>107</v>
      </c>
    </row>
    <row r="119" spans="1:256" x14ac:dyDescent="0.25">
      <c r="A119" s="325"/>
      <c r="B119" s="303">
        <f t="shared" si="13"/>
        <v>39783</v>
      </c>
      <c r="C119" s="301">
        <v>3.21</v>
      </c>
      <c r="D119" s="301">
        <v>0.1575</v>
      </c>
      <c r="E119" s="301">
        <v>7.1822773567914999E-2</v>
      </c>
      <c r="F119" s="301">
        <v>-0.19750000000000001</v>
      </c>
      <c r="G119" s="301">
        <v>-5.5E-2</v>
      </c>
      <c r="H119" s="301">
        <v>-0.19750000000000001</v>
      </c>
      <c r="I119" s="301">
        <v>0.245</v>
      </c>
      <c r="J119" s="301">
        <v>0.29499999999999998</v>
      </c>
      <c r="K119" s="301">
        <v>-5.2499999999999998E-2</v>
      </c>
      <c r="L119" s="301">
        <v>-1.6500000000000001E-2</v>
      </c>
      <c r="M119" s="301">
        <v>-0.24249999999999999</v>
      </c>
      <c r="N119" s="301">
        <v>1.0999999999999999E-2</v>
      </c>
      <c r="O119" s="301">
        <v>8.9999999999999993E-3</v>
      </c>
      <c r="P119" s="298">
        <v>-2.4500000000000001E-2</v>
      </c>
      <c r="Q119" s="298">
        <v>-0.03</v>
      </c>
      <c r="R119" s="298">
        <v>-3.3000000000000002E-2</v>
      </c>
      <c r="S119" s="298">
        <v>-8.6999999999999994E-2</v>
      </c>
      <c r="T119" s="298">
        <v>-0.14499999999999999</v>
      </c>
      <c r="U119" s="298">
        <v>1.0449999999999999</v>
      </c>
      <c r="V119" s="298">
        <v>5.0000000000000001E-3</v>
      </c>
      <c r="W119" s="298">
        <v>-0.1875</v>
      </c>
      <c r="X119" s="298">
        <v>-1.4500000000000001E-2</v>
      </c>
      <c r="Y119" s="313">
        <v>0.10249999999999999</v>
      </c>
      <c r="Z119" s="313">
        <v>2.8500000000000001E-2</v>
      </c>
      <c r="AA119" s="445">
        <v>0.158</v>
      </c>
      <c r="AB119" s="445">
        <v>0.17299999999999999</v>
      </c>
      <c r="AC119" s="445">
        <v>0.158</v>
      </c>
      <c r="AD119" s="445">
        <v>0.158</v>
      </c>
      <c r="AE119" s="445">
        <v>0.158</v>
      </c>
      <c r="AF119" s="445">
        <v>0.158</v>
      </c>
      <c r="AG119" s="445">
        <v>0.158</v>
      </c>
      <c r="AH119" s="445">
        <v>0.158</v>
      </c>
      <c r="AI119" s="446">
        <v>0.158</v>
      </c>
      <c r="AJ119" s="446">
        <v>0.158</v>
      </c>
      <c r="AK119" s="446">
        <v>0.158</v>
      </c>
      <c r="AL119" s="445">
        <v>0.158</v>
      </c>
      <c r="AM119" s="298">
        <v>7.2128549014727997E-2</v>
      </c>
      <c r="AN119" s="298"/>
      <c r="AO119" s="313">
        <f t="shared" si="10"/>
        <v>0.17299999999999999</v>
      </c>
      <c r="AP119" s="313">
        <f t="shared" si="11"/>
        <v>0.17299999999999999</v>
      </c>
      <c r="AQ119" s="316">
        <f t="shared" si="12"/>
        <v>0.17299999999999999</v>
      </c>
      <c r="IU119" s="315">
        <f t="shared" si="8"/>
        <v>39814</v>
      </c>
      <c r="IV119" s="298">
        <v>108</v>
      </c>
    </row>
    <row r="120" spans="1:256" x14ac:dyDescent="0.25">
      <c r="A120" s="326"/>
      <c r="B120" s="303">
        <f t="shared" si="13"/>
        <v>39814</v>
      </c>
      <c r="C120" s="301">
        <v>3.2595000000000001</v>
      </c>
      <c r="D120" s="301">
        <v>0.1575</v>
      </c>
      <c r="E120" s="301">
        <v>7.1838266688453001E-2</v>
      </c>
      <c r="F120" s="301">
        <v>-0.2</v>
      </c>
      <c r="G120" s="301">
        <v>-5.7500000000000002E-2</v>
      </c>
      <c r="H120" s="301">
        <v>-0.2</v>
      </c>
      <c r="I120" s="301">
        <v>0.31</v>
      </c>
      <c r="J120" s="301">
        <v>0.34250000000000003</v>
      </c>
      <c r="K120" s="301">
        <v>-5.6500000000000002E-2</v>
      </c>
      <c r="L120" s="301">
        <v>-1.0500000000000001E-2</v>
      </c>
      <c r="M120" s="301">
        <v>-0.24249999999999999</v>
      </c>
      <c r="N120" s="301">
        <v>1.0999999999999999E-2</v>
      </c>
      <c r="O120" s="301">
        <v>8.9999999999999993E-3</v>
      </c>
      <c r="P120" s="298">
        <v>-0.02</v>
      </c>
      <c r="Q120" s="298">
        <v>-0.03</v>
      </c>
      <c r="R120" s="298">
        <v>-3.3000000000000002E-2</v>
      </c>
      <c r="S120" s="298">
        <v>-9.7500000000000003E-2</v>
      </c>
      <c r="T120" s="298">
        <v>-0.14499999999999999</v>
      </c>
      <c r="U120" s="298">
        <v>1.52</v>
      </c>
      <c r="V120" s="298">
        <v>5.0000000000000001E-3</v>
      </c>
      <c r="W120" s="298">
        <v>-0.1875</v>
      </c>
      <c r="X120" s="298">
        <v>-1.4500000000000001E-2</v>
      </c>
      <c r="Y120" s="313">
        <v>0.10249999999999999</v>
      </c>
      <c r="Z120" s="313">
        <v>2.8500000000000001E-2</v>
      </c>
      <c r="AA120" s="445">
        <v>0.158</v>
      </c>
      <c r="AB120" s="445">
        <v>0.158</v>
      </c>
      <c r="AC120" s="445">
        <v>0.158</v>
      </c>
      <c r="AD120" s="445">
        <v>0.158</v>
      </c>
      <c r="AE120" s="445">
        <v>0.158</v>
      </c>
      <c r="AF120" s="445">
        <v>0.158</v>
      </c>
      <c r="AG120" s="445">
        <v>0.158</v>
      </c>
      <c r="AH120" s="445">
        <v>0.158</v>
      </c>
      <c r="AI120" s="446">
        <v>0.158</v>
      </c>
      <c r="AJ120" s="446">
        <v>0.158</v>
      </c>
      <c r="AK120" s="446">
        <v>0.158</v>
      </c>
      <c r="AL120" s="445">
        <v>0.158</v>
      </c>
      <c r="AM120" s="298">
        <v>7.2140721419492002E-2</v>
      </c>
      <c r="AN120" s="298"/>
      <c r="AO120" s="313">
        <f t="shared" si="10"/>
        <v>0.158</v>
      </c>
      <c r="AP120" s="313">
        <f t="shared" si="11"/>
        <v>0.158</v>
      </c>
      <c r="AQ120" s="316">
        <f t="shared" si="12"/>
        <v>0.158</v>
      </c>
      <c r="IU120" s="315">
        <f t="shared" si="8"/>
        <v>39845</v>
      </c>
      <c r="IV120" s="298">
        <v>109</v>
      </c>
    </row>
    <row r="121" spans="1:256" x14ac:dyDescent="0.25">
      <c r="A121" s="326"/>
      <c r="B121" s="303">
        <f t="shared" si="13"/>
        <v>39845</v>
      </c>
      <c r="C121" s="301">
        <v>3.1705000000000001</v>
      </c>
      <c r="D121" s="301">
        <v>0.1575</v>
      </c>
      <c r="E121" s="301">
        <v>7.1853759809069995E-2</v>
      </c>
      <c r="F121" s="301">
        <v>-0.20250000000000001</v>
      </c>
      <c r="G121" s="301">
        <v>-0.04</v>
      </c>
      <c r="H121" s="301">
        <v>-0.20250000000000001</v>
      </c>
      <c r="I121" s="301">
        <v>0.28499999999999998</v>
      </c>
      <c r="J121" s="301">
        <v>0.33750000000000002</v>
      </c>
      <c r="K121" s="301">
        <v>-5.2499999999999998E-2</v>
      </c>
      <c r="L121" s="301">
        <v>-1.6500000000000001E-2</v>
      </c>
      <c r="M121" s="301">
        <v>-0.24249999999999999</v>
      </c>
      <c r="N121" s="301">
        <v>1.0999999999999999E-2</v>
      </c>
      <c r="O121" s="301">
        <v>8.9999999999999993E-3</v>
      </c>
      <c r="P121" s="298">
        <v>-0.02</v>
      </c>
      <c r="Q121" s="298">
        <v>-0.03</v>
      </c>
      <c r="R121" s="298">
        <v>-3.3000000000000002E-2</v>
      </c>
      <c r="S121" s="298">
        <v>-8.5000000000000006E-2</v>
      </c>
      <c r="T121" s="298">
        <v>-0.14499999999999999</v>
      </c>
      <c r="U121" s="298">
        <v>1.4</v>
      </c>
      <c r="V121" s="298">
        <v>5.0000000000000001E-3</v>
      </c>
      <c r="W121" s="298">
        <v>-0.1875</v>
      </c>
      <c r="X121" s="298">
        <v>-1.4500000000000001E-2</v>
      </c>
      <c r="Y121" s="313">
        <v>0.10249999999999999</v>
      </c>
      <c r="Z121" s="313">
        <v>2.8500000000000001E-2</v>
      </c>
      <c r="AA121" s="445">
        <v>0.158</v>
      </c>
      <c r="AB121" s="445">
        <v>0.17299999999999999</v>
      </c>
      <c r="AC121" s="445">
        <v>0.158</v>
      </c>
      <c r="AD121" s="445">
        <v>0.158</v>
      </c>
      <c r="AE121" s="445">
        <v>0.158</v>
      </c>
      <c r="AF121" s="445">
        <v>0.158</v>
      </c>
      <c r="AG121" s="445">
        <v>0.158</v>
      </c>
      <c r="AH121" s="445">
        <v>0.158</v>
      </c>
      <c r="AI121" s="446">
        <v>0.158</v>
      </c>
      <c r="AJ121" s="446">
        <v>0.158</v>
      </c>
      <c r="AK121" s="446">
        <v>0.158</v>
      </c>
      <c r="AL121" s="445">
        <v>0.158</v>
      </c>
      <c r="AM121" s="298">
        <v>7.2152893824304995E-2</v>
      </c>
      <c r="AN121" s="298"/>
      <c r="AO121" s="313">
        <f t="shared" si="10"/>
        <v>0.17299999999999999</v>
      </c>
      <c r="AP121" s="313">
        <f t="shared" si="11"/>
        <v>0.17299999999999999</v>
      </c>
      <c r="AQ121" s="316">
        <f t="shared" si="12"/>
        <v>0.17299999999999999</v>
      </c>
      <c r="IU121" s="315">
        <f t="shared" si="8"/>
        <v>39873</v>
      </c>
      <c r="IV121" s="298">
        <v>110</v>
      </c>
    </row>
    <row r="122" spans="1:256" x14ac:dyDescent="0.25">
      <c r="A122" s="326"/>
      <c r="B122" s="303">
        <f t="shared" si="13"/>
        <v>39873</v>
      </c>
      <c r="C122" s="301">
        <v>3.0735000000000001</v>
      </c>
      <c r="D122" s="301">
        <v>0.1575</v>
      </c>
      <c r="E122" s="301">
        <v>7.1867753595502001E-2</v>
      </c>
      <c r="F122" s="301">
        <v>-0.20499999999999999</v>
      </c>
      <c r="G122" s="301">
        <v>-2.75E-2</v>
      </c>
      <c r="H122" s="301">
        <v>-0.20499999999999999</v>
      </c>
      <c r="I122" s="301">
        <v>0.28249999999999997</v>
      </c>
      <c r="J122" s="301">
        <v>0.26</v>
      </c>
      <c r="K122" s="301">
        <v>-5.3999999999999999E-2</v>
      </c>
      <c r="L122" s="301">
        <v>-1.95E-2</v>
      </c>
      <c r="M122" s="301">
        <v>-0.24249999999999999</v>
      </c>
      <c r="N122" s="301">
        <v>1.0999999999999999E-2</v>
      </c>
      <c r="O122" s="301">
        <v>8.9999999999999993E-3</v>
      </c>
      <c r="P122" s="298">
        <v>-0.02</v>
      </c>
      <c r="Q122" s="298">
        <v>-0.03</v>
      </c>
      <c r="R122" s="298">
        <v>-1.47E-2</v>
      </c>
      <c r="S122" s="298">
        <v>-7.2499999999999995E-2</v>
      </c>
      <c r="T122" s="298">
        <v>-0.14499999999999999</v>
      </c>
      <c r="U122" s="298">
        <v>0.88</v>
      </c>
      <c r="V122" s="298">
        <v>5.0000000000000001E-3</v>
      </c>
      <c r="W122" s="298">
        <v>-0.1875</v>
      </c>
      <c r="X122" s="298">
        <v>-1.4500000000000001E-2</v>
      </c>
      <c r="Y122" s="313">
        <v>0.10249999999999999</v>
      </c>
      <c r="Z122" s="313">
        <v>2.8500000000000001E-2</v>
      </c>
      <c r="AA122" s="445">
        <v>0.158</v>
      </c>
      <c r="AB122" s="445">
        <v>0.17299999999999999</v>
      </c>
      <c r="AC122" s="445">
        <v>0.158</v>
      </c>
      <c r="AD122" s="445">
        <v>0.158</v>
      </c>
      <c r="AE122" s="445">
        <v>0.158</v>
      </c>
      <c r="AF122" s="445">
        <v>0.158</v>
      </c>
      <c r="AG122" s="445">
        <v>0.158</v>
      </c>
      <c r="AH122" s="445">
        <v>0.158</v>
      </c>
      <c r="AI122" s="446">
        <v>0.158</v>
      </c>
      <c r="AJ122" s="446">
        <v>0.158</v>
      </c>
      <c r="AK122" s="446">
        <v>0.158</v>
      </c>
      <c r="AL122" s="445">
        <v>0.158</v>
      </c>
      <c r="AM122" s="298">
        <v>7.21638882545E-2</v>
      </c>
      <c r="AN122" s="298"/>
      <c r="AO122" s="313">
        <f t="shared" si="10"/>
        <v>0.17299999999999999</v>
      </c>
      <c r="AP122" s="313">
        <f t="shared" si="11"/>
        <v>0.17299999999999999</v>
      </c>
      <c r="AQ122" s="316">
        <f t="shared" si="12"/>
        <v>0.17299999999999999</v>
      </c>
      <c r="IU122" s="315">
        <f t="shared" si="8"/>
        <v>39904</v>
      </c>
      <c r="IV122" s="298">
        <v>111</v>
      </c>
    </row>
    <row r="123" spans="1:256" x14ac:dyDescent="0.25">
      <c r="A123" s="326"/>
      <c r="B123" s="303">
        <f t="shared" si="13"/>
        <v>39904</v>
      </c>
      <c r="C123" s="301">
        <v>2.9914999999999998</v>
      </c>
      <c r="D123" s="301">
        <v>0.1575</v>
      </c>
      <c r="E123" s="301">
        <v>7.188324671627E-2</v>
      </c>
      <c r="F123" s="301">
        <v>-0.19500000000000001</v>
      </c>
      <c r="G123" s="301">
        <v>1.4999999999999999E-2</v>
      </c>
      <c r="H123" s="301">
        <v>-0.19500000000000001</v>
      </c>
      <c r="I123" s="301">
        <v>0.18</v>
      </c>
      <c r="J123" s="301">
        <v>0.17</v>
      </c>
      <c r="K123" s="301">
        <v>-6.4000000000000001E-2</v>
      </c>
      <c r="L123" s="301">
        <v>-3.2000000000000001E-2</v>
      </c>
      <c r="M123" s="301">
        <v>-0.29249999999999998</v>
      </c>
      <c r="N123" s="301">
        <v>6.4999999999999997E-3</v>
      </c>
      <c r="O123" s="301">
        <v>6.4999999999999997E-3</v>
      </c>
      <c r="P123" s="298">
        <v>-2.1999999999999999E-2</v>
      </c>
      <c r="Q123" s="298">
        <v>-0.03</v>
      </c>
      <c r="R123" s="298">
        <v>-1.47E-2</v>
      </c>
      <c r="S123" s="298">
        <v>-5.5E-2</v>
      </c>
      <c r="T123" s="298">
        <v>-0.105</v>
      </c>
      <c r="U123" s="298">
        <v>0.37</v>
      </c>
      <c r="V123" s="298">
        <v>5.0000000000000001E-3</v>
      </c>
      <c r="W123" s="298">
        <v>-0.16500000000000001</v>
      </c>
      <c r="X123" s="298">
        <v>-1.4500000000000001E-2</v>
      </c>
      <c r="Y123" s="313">
        <v>0.21249999999999999</v>
      </c>
      <c r="Z123" s="313">
        <v>2.1000000000000001E-2</v>
      </c>
      <c r="AA123" s="445">
        <v>0.158</v>
      </c>
      <c r="AB123" s="445">
        <v>0.154</v>
      </c>
      <c r="AC123" s="445">
        <v>0.158</v>
      </c>
      <c r="AD123" s="445">
        <v>0.158</v>
      </c>
      <c r="AE123" s="445">
        <v>0.154</v>
      </c>
      <c r="AF123" s="445">
        <v>0.158</v>
      </c>
      <c r="AG123" s="445">
        <v>0.158</v>
      </c>
      <c r="AH123" s="445">
        <v>0.158</v>
      </c>
      <c r="AI123" s="446">
        <v>0.158</v>
      </c>
      <c r="AJ123" s="446">
        <v>0.158</v>
      </c>
      <c r="AK123" s="446">
        <v>0.158</v>
      </c>
      <c r="AL123" s="445">
        <v>0.158</v>
      </c>
      <c r="AM123" s="298">
        <v>7.2176060659406002E-2</v>
      </c>
      <c r="AN123" s="298"/>
      <c r="AO123" s="313">
        <f t="shared" si="10"/>
        <v>0.154</v>
      </c>
      <c r="AP123" s="313">
        <f t="shared" si="11"/>
        <v>0.154</v>
      </c>
      <c r="AQ123" s="316">
        <f t="shared" si="12"/>
        <v>0.154</v>
      </c>
      <c r="IU123" s="315">
        <f t="shared" si="8"/>
        <v>39934</v>
      </c>
      <c r="IV123" s="298">
        <v>112</v>
      </c>
    </row>
    <row r="124" spans="1:256" x14ac:dyDescent="0.25">
      <c r="A124" s="326"/>
      <c r="B124" s="303">
        <f t="shared" si="13"/>
        <v>39934</v>
      </c>
      <c r="C124" s="301">
        <v>3.02</v>
      </c>
      <c r="D124" s="301">
        <v>0.1575</v>
      </c>
      <c r="E124" s="301">
        <v>7.1898240059023996E-2</v>
      </c>
      <c r="F124" s="301">
        <v>-0.19500000000000001</v>
      </c>
      <c r="G124" s="301">
        <v>1.4999999999999999E-2</v>
      </c>
      <c r="H124" s="301">
        <v>-0.19500000000000001</v>
      </c>
      <c r="I124" s="301">
        <v>0.1825</v>
      </c>
      <c r="J124" s="301">
        <v>0.155</v>
      </c>
      <c r="K124" s="301">
        <v>-3.9E-2</v>
      </c>
      <c r="L124" s="301">
        <v>-7.0000000000000001E-3</v>
      </c>
      <c r="M124" s="301">
        <v>-0.29249999999999998</v>
      </c>
      <c r="N124" s="301">
        <v>6.4999999999999997E-3</v>
      </c>
      <c r="O124" s="301">
        <v>6.4999999999999997E-3</v>
      </c>
      <c r="P124" s="298">
        <v>-2.1999999999999999E-2</v>
      </c>
      <c r="Q124" s="298">
        <v>-0.03</v>
      </c>
      <c r="R124" s="298">
        <v>-1.4749999999999999E-2</v>
      </c>
      <c r="S124" s="298">
        <v>-5.7500000000000002E-2</v>
      </c>
      <c r="T124" s="298">
        <v>-0.105</v>
      </c>
      <c r="U124" s="298">
        <v>0.2525</v>
      </c>
      <c r="V124" s="298">
        <v>5.0000000000000001E-3</v>
      </c>
      <c r="W124" s="298">
        <v>-0.16500000000000001</v>
      </c>
      <c r="X124" s="298">
        <v>-1.0999999999999999E-2</v>
      </c>
      <c r="Y124" s="313">
        <v>0.21249999999999999</v>
      </c>
      <c r="Z124" s="313">
        <v>2.1000000000000001E-2</v>
      </c>
      <c r="AA124" s="445">
        <v>0.158</v>
      </c>
      <c r="AB124" s="445">
        <v>0.154</v>
      </c>
      <c r="AC124" s="445">
        <v>0.158</v>
      </c>
      <c r="AD124" s="445">
        <v>0.158</v>
      </c>
      <c r="AE124" s="445">
        <v>0.154</v>
      </c>
      <c r="AF124" s="445">
        <v>0.158</v>
      </c>
      <c r="AG124" s="445">
        <v>0.158</v>
      </c>
      <c r="AH124" s="445">
        <v>0.158</v>
      </c>
      <c r="AI124" s="446">
        <v>0.158</v>
      </c>
      <c r="AJ124" s="446">
        <v>0.158</v>
      </c>
      <c r="AK124" s="446">
        <v>0.158</v>
      </c>
      <c r="AL124" s="445">
        <v>0.158</v>
      </c>
      <c r="AM124" s="298">
        <v>7.2187840406136003E-2</v>
      </c>
      <c r="AN124" s="298"/>
      <c r="AO124" s="313">
        <f t="shared" si="10"/>
        <v>0.154</v>
      </c>
      <c r="AP124" s="313">
        <f t="shared" si="11"/>
        <v>0.154</v>
      </c>
      <c r="AQ124" s="316">
        <f t="shared" si="12"/>
        <v>0.154</v>
      </c>
      <c r="IU124" s="315">
        <f t="shared" si="8"/>
        <v>39965</v>
      </c>
      <c r="IV124" s="298">
        <v>113</v>
      </c>
    </row>
    <row r="125" spans="1:256" x14ac:dyDescent="0.25">
      <c r="A125" s="326"/>
      <c r="B125" s="303">
        <f t="shared" si="13"/>
        <v>39965</v>
      </c>
      <c r="C125" s="301">
        <v>3.0329999999999999</v>
      </c>
      <c r="D125" s="301">
        <v>0.1575</v>
      </c>
      <c r="E125" s="301">
        <v>7.1913733179948994E-2</v>
      </c>
      <c r="F125" s="301">
        <v>-0.19500000000000001</v>
      </c>
      <c r="G125" s="301">
        <v>0.02</v>
      </c>
      <c r="H125" s="301">
        <v>-0.19500000000000001</v>
      </c>
      <c r="I125" s="301">
        <v>0.17749999999999999</v>
      </c>
      <c r="J125" s="301">
        <v>0.155</v>
      </c>
      <c r="K125" s="301">
        <v>-3.6499999999999998E-2</v>
      </c>
      <c r="L125" s="301">
        <v>-4.4999999999999997E-3</v>
      </c>
      <c r="M125" s="301">
        <v>-0.29249999999999998</v>
      </c>
      <c r="N125" s="301">
        <v>6.4999999999999997E-3</v>
      </c>
      <c r="O125" s="301">
        <v>6.4999999999999997E-3</v>
      </c>
      <c r="P125" s="298">
        <v>-1.95E-2</v>
      </c>
      <c r="Q125" s="298">
        <v>-0.03</v>
      </c>
      <c r="R125" s="298">
        <v>-1.4749999999999999E-2</v>
      </c>
      <c r="S125" s="298">
        <v>-4.7500000000000001E-2</v>
      </c>
      <c r="T125" s="298">
        <v>-0.105</v>
      </c>
      <c r="U125" s="298">
        <v>0.2525</v>
      </c>
      <c r="V125" s="298">
        <v>5.0000000000000001E-3</v>
      </c>
      <c r="W125" s="298">
        <v>-0.16500000000000001</v>
      </c>
      <c r="X125" s="298">
        <v>-1.35E-2</v>
      </c>
      <c r="Y125" s="313">
        <v>0.21249999999999999</v>
      </c>
      <c r="Z125" s="313">
        <v>2.1000000000000001E-2</v>
      </c>
      <c r="AA125" s="445">
        <v>0.158</v>
      </c>
      <c r="AB125" s="445">
        <v>0.154</v>
      </c>
      <c r="AC125" s="445">
        <v>0.158</v>
      </c>
      <c r="AD125" s="445">
        <v>0.158</v>
      </c>
      <c r="AE125" s="445">
        <v>0.154</v>
      </c>
      <c r="AF125" s="445">
        <v>0.158</v>
      </c>
      <c r="AG125" s="445">
        <v>0.158</v>
      </c>
      <c r="AH125" s="445">
        <v>0.158</v>
      </c>
      <c r="AI125" s="446">
        <v>0.158</v>
      </c>
      <c r="AJ125" s="446">
        <v>0.158</v>
      </c>
      <c r="AK125" s="446">
        <v>0.158</v>
      </c>
      <c r="AL125" s="445">
        <v>0.158</v>
      </c>
      <c r="AM125" s="298">
        <v>7.2200012811137998E-2</v>
      </c>
      <c r="AN125" s="298"/>
      <c r="AO125" s="313">
        <f t="shared" si="10"/>
        <v>0.154</v>
      </c>
      <c r="AP125" s="313">
        <f t="shared" si="11"/>
        <v>0.154</v>
      </c>
      <c r="AQ125" s="316">
        <f t="shared" si="12"/>
        <v>0.154</v>
      </c>
      <c r="IU125" s="315">
        <f t="shared" si="8"/>
        <v>39995</v>
      </c>
      <c r="IV125" s="298">
        <v>114</v>
      </c>
    </row>
    <row r="126" spans="1:256" x14ac:dyDescent="0.25">
      <c r="A126" s="326"/>
      <c r="B126" s="303">
        <f t="shared" si="13"/>
        <v>39995</v>
      </c>
      <c r="C126" s="301">
        <v>3.036</v>
      </c>
      <c r="D126" s="301">
        <v>0.1575</v>
      </c>
      <c r="E126" s="301">
        <v>7.1928726522853995E-2</v>
      </c>
      <c r="F126" s="301">
        <v>-0.19500000000000001</v>
      </c>
      <c r="G126" s="301">
        <v>2.2499999999999999E-2</v>
      </c>
      <c r="H126" s="301">
        <v>-0.19500000000000001</v>
      </c>
      <c r="I126" s="301">
        <v>0.16750000000000001</v>
      </c>
      <c r="J126" s="301">
        <v>0.155</v>
      </c>
      <c r="K126" s="301">
        <v>-3.6499999999999998E-2</v>
      </c>
      <c r="L126" s="301">
        <v>-4.4999999999999997E-3</v>
      </c>
      <c r="M126" s="301">
        <v>-0.29249999999999998</v>
      </c>
      <c r="N126" s="301">
        <v>6.4999999999999997E-3</v>
      </c>
      <c r="O126" s="301">
        <v>6.4999999999999997E-3</v>
      </c>
      <c r="P126" s="298">
        <v>-1.95E-2</v>
      </c>
      <c r="Q126" s="298">
        <v>-0.03</v>
      </c>
      <c r="R126" s="298">
        <v>-1.4749999999999999E-2</v>
      </c>
      <c r="S126" s="298">
        <v>-4.7500000000000001E-2</v>
      </c>
      <c r="T126" s="298">
        <v>-0.105</v>
      </c>
      <c r="U126" s="298">
        <v>0.25750000000000001</v>
      </c>
      <c r="V126" s="298">
        <v>5.0000000000000001E-3</v>
      </c>
      <c r="W126" s="298">
        <v>-0.16500000000000001</v>
      </c>
      <c r="X126" s="298">
        <v>-1.35E-2</v>
      </c>
      <c r="Y126" s="313">
        <v>0.21249999999999999</v>
      </c>
      <c r="Z126" s="313">
        <v>2.1000000000000001E-2</v>
      </c>
      <c r="AA126" s="445">
        <v>0.158</v>
      </c>
      <c r="AB126" s="445">
        <v>0.154</v>
      </c>
      <c r="AC126" s="445">
        <v>0.158</v>
      </c>
      <c r="AD126" s="445">
        <v>0.158</v>
      </c>
      <c r="AE126" s="445">
        <v>0.154</v>
      </c>
      <c r="AF126" s="445">
        <v>0.158</v>
      </c>
      <c r="AG126" s="445">
        <v>0.158</v>
      </c>
      <c r="AH126" s="445">
        <v>0.158</v>
      </c>
      <c r="AI126" s="446">
        <v>0.158</v>
      </c>
      <c r="AJ126" s="446">
        <v>0.158</v>
      </c>
      <c r="AK126" s="446">
        <v>0.158</v>
      </c>
      <c r="AL126" s="445">
        <v>0.158</v>
      </c>
      <c r="AM126" s="298">
        <v>7.2211792557960994E-2</v>
      </c>
      <c r="AN126" s="298"/>
      <c r="AO126" s="313">
        <f t="shared" si="10"/>
        <v>0.154</v>
      </c>
      <c r="AP126" s="313">
        <f t="shared" si="11"/>
        <v>0.154</v>
      </c>
      <c r="AQ126" s="316">
        <f t="shared" si="12"/>
        <v>0.154</v>
      </c>
      <c r="IU126" s="315">
        <f t="shared" si="8"/>
        <v>40026</v>
      </c>
      <c r="IV126" s="298">
        <v>115</v>
      </c>
    </row>
    <row r="127" spans="1:256" x14ac:dyDescent="0.25">
      <c r="A127" s="326"/>
      <c r="B127" s="303">
        <f t="shared" si="13"/>
        <v>40026</v>
      </c>
      <c r="C127" s="301">
        <v>3.0419999999999998</v>
      </c>
      <c r="D127" s="301">
        <v>0.1575</v>
      </c>
      <c r="E127" s="301">
        <v>7.1944219643933993E-2</v>
      </c>
      <c r="F127" s="301">
        <v>-0.19500000000000001</v>
      </c>
      <c r="G127" s="301">
        <v>2.5000000000000001E-2</v>
      </c>
      <c r="H127" s="301">
        <v>-0.19500000000000001</v>
      </c>
      <c r="I127" s="301">
        <v>0.16500000000000001</v>
      </c>
      <c r="J127" s="301">
        <v>0.155</v>
      </c>
      <c r="K127" s="301">
        <v>-3.6499999999999998E-2</v>
      </c>
      <c r="L127" s="301">
        <v>-4.4999999999999997E-3</v>
      </c>
      <c r="M127" s="301">
        <v>-0.29249999999999998</v>
      </c>
      <c r="N127" s="301">
        <v>6.4999999999999997E-3</v>
      </c>
      <c r="O127" s="301">
        <v>6.4999999999999997E-3</v>
      </c>
      <c r="P127" s="298">
        <v>-1.95E-2</v>
      </c>
      <c r="Q127" s="298">
        <v>-0.03</v>
      </c>
      <c r="R127" s="298">
        <v>-1.225E-2</v>
      </c>
      <c r="S127" s="298">
        <v>-4.7500000000000001E-2</v>
      </c>
      <c r="T127" s="298">
        <v>-0.105</v>
      </c>
      <c r="U127" s="298">
        <v>0.25750000000000001</v>
      </c>
      <c r="V127" s="298">
        <v>5.0000000000000001E-3</v>
      </c>
      <c r="W127" s="298">
        <v>-0.16500000000000001</v>
      </c>
      <c r="X127" s="298">
        <v>-1.35E-2</v>
      </c>
      <c r="Y127" s="313">
        <v>0.21249999999999999</v>
      </c>
      <c r="Z127" s="313">
        <v>2.1000000000000001E-2</v>
      </c>
      <c r="AA127" s="445">
        <v>0.158</v>
      </c>
      <c r="AB127" s="445">
        <v>0.154</v>
      </c>
      <c r="AC127" s="445">
        <v>0.158</v>
      </c>
      <c r="AD127" s="445">
        <v>0.158</v>
      </c>
      <c r="AE127" s="445">
        <v>0.154</v>
      </c>
      <c r="AF127" s="445">
        <v>0.158</v>
      </c>
      <c r="AG127" s="445">
        <v>0.158</v>
      </c>
      <c r="AH127" s="445">
        <v>0.158</v>
      </c>
      <c r="AI127" s="446">
        <v>0.158</v>
      </c>
      <c r="AJ127" s="446">
        <v>0.158</v>
      </c>
      <c r="AK127" s="446">
        <v>0.158</v>
      </c>
      <c r="AL127" s="445">
        <v>0.158</v>
      </c>
      <c r="AM127" s="298">
        <v>7.2223964963058995E-2</v>
      </c>
      <c r="AN127" s="298"/>
      <c r="AO127" s="313">
        <f t="shared" si="10"/>
        <v>0.154</v>
      </c>
      <c r="AP127" s="313">
        <f t="shared" si="11"/>
        <v>0.154</v>
      </c>
      <c r="AQ127" s="316">
        <f t="shared" si="12"/>
        <v>0.154</v>
      </c>
      <c r="IU127" s="315">
        <f t="shared" si="8"/>
        <v>40057</v>
      </c>
      <c r="IV127" s="298">
        <v>116</v>
      </c>
    </row>
    <row r="128" spans="1:256" x14ac:dyDescent="0.25">
      <c r="A128" s="326"/>
      <c r="B128" s="303">
        <f t="shared" si="13"/>
        <v>40057</v>
      </c>
      <c r="C128" s="301">
        <v>3.04</v>
      </c>
      <c r="D128" s="301">
        <v>0.1575</v>
      </c>
      <c r="E128" s="301">
        <v>7.1959712765093997E-2</v>
      </c>
      <c r="F128" s="301">
        <v>-0.19500000000000001</v>
      </c>
      <c r="G128" s="301">
        <v>1.7500000000000002E-2</v>
      </c>
      <c r="H128" s="301">
        <v>-0.19500000000000001</v>
      </c>
      <c r="I128" s="301">
        <v>0.16250000000000001</v>
      </c>
      <c r="J128" s="301">
        <v>0.155</v>
      </c>
      <c r="K128" s="301">
        <v>-3.9E-2</v>
      </c>
      <c r="L128" s="301">
        <v>-7.0000000000000001E-3</v>
      </c>
      <c r="M128" s="301">
        <v>-0.29249999999999998</v>
      </c>
      <c r="N128" s="301">
        <v>6.4999999999999997E-3</v>
      </c>
      <c r="O128" s="301">
        <v>6.4999999999999997E-3</v>
      </c>
      <c r="P128" s="298">
        <v>-1.95E-2</v>
      </c>
      <c r="Q128" s="298">
        <v>-0.03</v>
      </c>
      <c r="R128" s="298">
        <v>-1.225E-2</v>
      </c>
      <c r="S128" s="298">
        <v>-5.5E-2</v>
      </c>
      <c r="T128" s="298">
        <v>-0.105</v>
      </c>
      <c r="U128" s="298">
        <v>0.2525</v>
      </c>
      <c r="V128" s="298">
        <v>5.0000000000000001E-3</v>
      </c>
      <c r="W128" s="298">
        <v>-0.16500000000000001</v>
      </c>
      <c r="X128" s="298">
        <v>-1.6E-2</v>
      </c>
      <c r="Y128" s="313">
        <v>0.21249999999999999</v>
      </c>
      <c r="Z128" s="313">
        <v>2.1000000000000001E-2</v>
      </c>
      <c r="AA128" s="445">
        <v>0.158</v>
      </c>
      <c r="AB128" s="445">
        <v>0.154</v>
      </c>
      <c r="AC128" s="445">
        <v>0.158</v>
      </c>
      <c r="AD128" s="445">
        <v>0.158</v>
      </c>
      <c r="AE128" s="445">
        <v>0.154</v>
      </c>
      <c r="AF128" s="445">
        <v>0.158</v>
      </c>
      <c r="AG128" s="445">
        <v>0.158</v>
      </c>
      <c r="AH128" s="445">
        <v>0.158</v>
      </c>
      <c r="AI128" s="446">
        <v>0.158</v>
      </c>
      <c r="AJ128" s="446">
        <v>0.158</v>
      </c>
      <c r="AK128" s="446">
        <v>0.158</v>
      </c>
      <c r="AL128" s="445">
        <v>0.158</v>
      </c>
      <c r="AM128" s="298">
        <v>7.2236137368206998E-2</v>
      </c>
      <c r="AN128" s="298"/>
      <c r="AO128" s="313">
        <f t="shared" si="10"/>
        <v>0.154</v>
      </c>
      <c r="AP128" s="313">
        <f t="shared" si="11"/>
        <v>0.154</v>
      </c>
      <c r="AQ128" s="316">
        <f t="shared" si="12"/>
        <v>0.154</v>
      </c>
      <c r="IU128" s="315">
        <f t="shared" si="8"/>
        <v>40087</v>
      </c>
      <c r="IV128" s="298">
        <v>117</v>
      </c>
    </row>
    <row r="129" spans="1:256" x14ac:dyDescent="0.25">
      <c r="A129" s="326"/>
      <c r="B129" s="303">
        <f t="shared" si="13"/>
        <v>40087</v>
      </c>
      <c r="C129" s="301">
        <v>3.0609999999999999</v>
      </c>
      <c r="D129" s="301">
        <v>0.1575</v>
      </c>
      <c r="E129" s="301">
        <v>7.1974706108226996E-2</v>
      </c>
      <c r="F129" s="301">
        <v>-0.19500000000000001</v>
      </c>
      <c r="G129" s="301">
        <v>7.4999999999999997E-3</v>
      </c>
      <c r="H129" s="301">
        <v>-0.19500000000000001</v>
      </c>
      <c r="I129" s="301">
        <v>0.17749999999999999</v>
      </c>
      <c r="J129" s="301">
        <v>0.1575</v>
      </c>
      <c r="K129" s="301">
        <v>-3.9E-2</v>
      </c>
      <c r="L129" s="301">
        <v>-7.0000000000000001E-3</v>
      </c>
      <c r="M129" s="301">
        <v>-0.29249999999999998</v>
      </c>
      <c r="N129" s="301">
        <v>6.4999999999999997E-3</v>
      </c>
      <c r="O129" s="301">
        <v>6.4999999999999997E-3</v>
      </c>
      <c r="P129" s="298">
        <v>-1.95E-2</v>
      </c>
      <c r="Q129" s="298">
        <v>-0.03</v>
      </c>
      <c r="R129" s="298">
        <v>-3.3000000000000002E-2</v>
      </c>
      <c r="S129" s="298">
        <v>-5.5E-2</v>
      </c>
      <c r="T129" s="298">
        <v>-0.105</v>
      </c>
      <c r="U129" s="298">
        <v>0.255</v>
      </c>
      <c r="V129" s="298">
        <v>5.0000000000000001E-3</v>
      </c>
      <c r="W129" s="298">
        <v>-0.16500000000000001</v>
      </c>
      <c r="X129" s="298">
        <v>-1.6E-2</v>
      </c>
      <c r="Y129" s="313">
        <v>0.21249999999999999</v>
      </c>
      <c r="Z129" s="313">
        <v>2.1000000000000001E-2</v>
      </c>
      <c r="AA129" s="445">
        <v>0.158</v>
      </c>
      <c r="AB129" s="445">
        <v>0.154</v>
      </c>
      <c r="AC129" s="445">
        <v>0.158</v>
      </c>
      <c r="AD129" s="445">
        <v>0.158</v>
      </c>
      <c r="AE129" s="445">
        <v>0.154</v>
      </c>
      <c r="AF129" s="445">
        <v>0.158</v>
      </c>
      <c r="AG129" s="445">
        <v>0.158</v>
      </c>
      <c r="AH129" s="445">
        <v>0.158</v>
      </c>
      <c r="AI129" s="446">
        <v>0.158</v>
      </c>
      <c r="AJ129" s="446">
        <v>0.158</v>
      </c>
      <c r="AK129" s="446">
        <v>0.158</v>
      </c>
      <c r="AL129" s="445">
        <v>0.158</v>
      </c>
      <c r="AM129" s="298">
        <v>7.2247917115169993E-2</v>
      </c>
      <c r="AN129" s="298"/>
      <c r="AO129" s="313">
        <f t="shared" si="10"/>
        <v>0.154</v>
      </c>
      <c r="AP129" s="313">
        <f t="shared" si="11"/>
        <v>0.154</v>
      </c>
      <c r="AQ129" s="316">
        <f t="shared" si="12"/>
        <v>0.154</v>
      </c>
      <c r="IU129" s="315">
        <f t="shared" si="8"/>
        <v>40118</v>
      </c>
      <c r="IV129" s="298">
        <v>118</v>
      </c>
    </row>
    <row r="130" spans="1:256" x14ac:dyDescent="0.25">
      <c r="A130" s="326"/>
      <c r="B130" s="303">
        <f t="shared" si="13"/>
        <v>40118</v>
      </c>
      <c r="C130" s="301">
        <v>3.1640000000000001</v>
      </c>
      <c r="D130" s="301">
        <v>0.1575</v>
      </c>
      <c r="E130" s="301">
        <v>7.1990199229543E-2</v>
      </c>
      <c r="F130" s="301">
        <v>-0.19</v>
      </c>
      <c r="G130" s="301">
        <v>-3.2500000000000001E-2</v>
      </c>
      <c r="H130" s="301">
        <v>-0.19</v>
      </c>
      <c r="I130" s="301">
        <v>0.255</v>
      </c>
      <c r="J130" s="301">
        <v>0.24</v>
      </c>
      <c r="K130" s="301">
        <v>-5.0500000000000003E-2</v>
      </c>
      <c r="L130" s="301">
        <v>-1.2E-2</v>
      </c>
      <c r="M130" s="301">
        <v>-0.24249999999999999</v>
      </c>
      <c r="N130" s="301">
        <v>1.0999999999999999E-2</v>
      </c>
      <c r="O130" s="301">
        <v>1.0999999999999999E-2</v>
      </c>
      <c r="P130" s="298">
        <v>-2.2499999999999999E-2</v>
      </c>
      <c r="Q130" s="298">
        <v>-0.03</v>
      </c>
      <c r="R130" s="298">
        <v>-2.9499999999999998E-2</v>
      </c>
      <c r="S130" s="298">
        <v>-7.0000000000000007E-2</v>
      </c>
      <c r="T130" s="298">
        <v>-0.14499999999999999</v>
      </c>
      <c r="U130" s="298">
        <v>0.72499999999999998</v>
      </c>
      <c r="V130" s="298">
        <v>5.0000000000000001E-3</v>
      </c>
      <c r="W130" s="298">
        <v>-0.1875</v>
      </c>
      <c r="X130" s="298">
        <v>-1.35E-2</v>
      </c>
      <c r="Y130" s="313">
        <v>0.10249999999999999</v>
      </c>
      <c r="Z130" s="313">
        <v>3.0499999999999999E-2</v>
      </c>
      <c r="AA130" s="445">
        <v>0.158</v>
      </c>
      <c r="AB130" s="445">
        <v>0.17299999999999999</v>
      </c>
      <c r="AC130" s="445">
        <v>0.158</v>
      </c>
      <c r="AD130" s="445">
        <v>0.158</v>
      </c>
      <c r="AE130" s="445">
        <v>0.158</v>
      </c>
      <c r="AF130" s="445">
        <v>0.158</v>
      </c>
      <c r="AG130" s="445">
        <v>0.158</v>
      </c>
      <c r="AH130" s="445">
        <v>0.158</v>
      </c>
      <c r="AI130" s="446">
        <v>0.158</v>
      </c>
      <c r="AJ130" s="446">
        <v>0.158</v>
      </c>
      <c r="AK130" s="446">
        <v>0.158</v>
      </c>
      <c r="AL130" s="445">
        <v>0.158</v>
      </c>
      <c r="AM130" s="298">
        <v>7.2260089520414003E-2</v>
      </c>
      <c r="AN130" s="298"/>
      <c r="AO130" s="313">
        <f t="shared" si="10"/>
        <v>0.17299999999999999</v>
      </c>
      <c r="AP130" s="313">
        <f t="shared" si="11"/>
        <v>0.17299999999999999</v>
      </c>
      <c r="AQ130" s="316">
        <f t="shared" si="12"/>
        <v>0.17299999999999999</v>
      </c>
      <c r="IU130" s="315">
        <f t="shared" si="8"/>
        <v>40148</v>
      </c>
      <c r="IV130" s="298">
        <v>119</v>
      </c>
    </row>
    <row r="131" spans="1:256" x14ac:dyDescent="0.25">
      <c r="A131" s="326"/>
      <c r="B131" s="303">
        <f t="shared" si="13"/>
        <v>40148</v>
      </c>
      <c r="C131" s="301">
        <v>3.2690000000000001</v>
      </c>
      <c r="D131" s="301">
        <v>0.155</v>
      </c>
      <c r="E131" s="301">
        <v>7.2005192572826004E-2</v>
      </c>
      <c r="F131" s="301">
        <v>-0.19750000000000001</v>
      </c>
      <c r="G131" s="301">
        <v>-5.5E-2</v>
      </c>
      <c r="H131" s="301">
        <v>-0.19750000000000001</v>
      </c>
      <c r="I131" s="301">
        <v>0.29499999999999998</v>
      </c>
      <c r="J131" s="301">
        <v>0.29499999999999998</v>
      </c>
      <c r="K131" s="301">
        <v>-5.0500000000000003E-2</v>
      </c>
      <c r="L131" s="301">
        <v>-1.4500000000000001E-2</v>
      </c>
      <c r="M131" s="301">
        <v>-0.24249999999999999</v>
      </c>
      <c r="N131" s="301">
        <v>1.0999999999999999E-2</v>
      </c>
      <c r="O131" s="301">
        <v>1.0999999999999999E-2</v>
      </c>
      <c r="P131" s="298">
        <v>-2.2499999999999999E-2</v>
      </c>
      <c r="Q131" s="298">
        <v>-0.03</v>
      </c>
      <c r="R131" s="298">
        <v>-2.9499999999999998E-2</v>
      </c>
      <c r="S131" s="298">
        <v>-8.5000000000000006E-2</v>
      </c>
      <c r="T131" s="298">
        <v>-0.14499999999999999</v>
      </c>
      <c r="U131" s="298">
        <v>1.0449999999999999</v>
      </c>
      <c r="V131" s="298">
        <v>5.0000000000000001E-3</v>
      </c>
      <c r="W131" s="298">
        <v>-0.1875</v>
      </c>
      <c r="X131" s="298">
        <v>-1.35E-2</v>
      </c>
      <c r="Y131" s="313">
        <v>0.10249999999999999</v>
      </c>
      <c r="Z131" s="313">
        <v>3.0499999999999999E-2</v>
      </c>
      <c r="AA131" s="445">
        <v>0.155</v>
      </c>
      <c r="AB131" s="445">
        <v>0.17100000000000001</v>
      </c>
      <c r="AC131" s="445">
        <v>0.155</v>
      </c>
      <c r="AD131" s="445">
        <v>0.155</v>
      </c>
      <c r="AE131" s="445">
        <v>0.155</v>
      </c>
      <c r="AF131" s="445">
        <v>0.155</v>
      </c>
      <c r="AG131" s="445">
        <v>0.155</v>
      </c>
      <c r="AH131" s="445">
        <v>0.155</v>
      </c>
      <c r="AI131" s="446">
        <v>0.155</v>
      </c>
      <c r="AJ131" s="446">
        <v>0.155</v>
      </c>
      <c r="AK131" s="446">
        <v>0.155</v>
      </c>
      <c r="AL131" s="445">
        <v>0.155</v>
      </c>
      <c r="AM131" s="298">
        <v>7.2271869267471006E-2</v>
      </c>
      <c r="AN131" s="298"/>
      <c r="AO131" s="313">
        <f t="shared" si="10"/>
        <v>0.17100000000000001</v>
      </c>
      <c r="AP131" s="313">
        <f t="shared" si="11"/>
        <v>0.17100000000000001</v>
      </c>
      <c r="AQ131" s="316">
        <f t="shared" si="12"/>
        <v>0.17100000000000001</v>
      </c>
      <c r="IU131" s="315">
        <f t="shared" si="8"/>
        <v>40179</v>
      </c>
      <c r="IV131" s="298">
        <v>120</v>
      </c>
    </row>
    <row r="132" spans="1:256" x14ac:dyDescent="0.25">
      <c r="A132" s="326"/>
      <c r="B132" s="303">
        <f t="shared" si="13"/>
        <v>40179</v>
      </c>
      <c r="C132" s="301">
        <v>3.319</v>
      </c>
      <c r="D132" s="301">
        <v>0.15</v>
      </c>
      <c r="E132" s="301">
        <v>7.2020685694297995E-2</v>
      </c>
      <c r="F132" s="301">
        <v>-0.2</v>
      </c>
      <c r="G132" s="301">
        <v>-5.7500000000000002E-2</v>
      </c>
      <c r="H132" s="301">
        <v>-0.2</v>
      </c>
      <c r="I132" s="301">
        <v>0.30499999999999999</v>
      </c>
      <c r="J132" s="301">
        <v>0.34250000000000003</v>
      </c>
      <c r="K132" s="301">
        <v>-5.45E-2</v>
      </c>
      <c r="L132" s="301">
        <v>-8.5000000000000006E-3</v>
      </c>
      <c r="M132" s="301">
        <v>-0.24249999999999999</v>
      </c>
      <c r="N132" s="301">
        <v>1.0999999999999999E-2</v>
      </c>
      <c r="O132" s="301">
        <v>1.0999999999999999E-2</v>
      </c>
      <c r="P132" s="298">
        <v>-1.7999999999999999E-2</v>
      </c>
      <c r="Q132" s="298">
        <v>-0.03</v>
      </c>
      <c r="R132" s="298">
        <v>-2.9499999999999998E-2</v>
      </c>
      <c r="S132" s="298">
        <v>-9.5500000000000002E-2</v>
      </c>
      <c r="T132" s="298">
        <v>-0.14499999999999999</v>
      </c>
      <c r="U132" s="298">
        <v>1.52</v>
      </c>
      <c r="V132" s="298">
        <v>5.0000000000000001E-3</v>
      </c>
      <c r="W132" s="298">
        <v>-0.1875</v>
      </c>
      <c r="X132" s="298">
        <v>-1.35E-2</v>
      </c>
      <c r="Y132" s="313">
        <v>0.10249999999999999</v>
      </c>
      <c r="Z132" s="313">
        <v>3.0499999999999999E-2</v>
      </c>
      <c r="AA132" s="445">
        <v>0.15</v>
      </c>
      <c r="AB132" s="445">
        <v>0.15</v>
      </c>
      <c r="AC132" s="445">
        <v>0.15</v>
      </c>
      <c r="AD132" s="445">
        <v>0.15</v>
      </c>
      <c r="AE132" s="445">
        <v>0.15</v>
      </c>
      <c r="AF132" s="445">
        <v>0.15</v>
      </c>
      <c r="AG132" s="445">
        <v>0.15</v>
      </c>
      <c r="AH132" s="445">
        <v>0.15</v>
      </c>
      <c r="AI132" s="446">
        <v>0.15</v>
      </c>
      <c r="AJ132" s="446">
        <v>0.15</v>
      </c>
      <c r="AK132" s="446">
        <v>0.15</v>
      </c>
      <c r="AL132" s="445">
        <v>0.15</v>
      </c>
      <c r="AM132" s="298">
        <v>7.2284041672809995E-2</v>
      </c>
      <c r="AN132" s="298"/>
      <c r="AO132" s="313">
        <f t="shared" si="10"/>
        <v>0.15</v>
      </c>
      <c r="AP132" s="313">
        <f t="shared" si="11"/>
        <v>0.15</v>
      </c>
      <c r="AQ132" s="316">
        <f t="shared" si="12"/>
        <v>0.15</v>
      </c>
      <c r="IU132" s="315">
        <f t="shared" si="8"/>
        <v>40210</v>
      </c>
      <c r="IV132" s="298">
        <v>121</v>
      </c>
    </row>
    <row r="133" spans="1:256" x14ac:dyDescent="0.25">
      <c r="A133" s="326"/>
      <c r="B133" s="303">
        <f t="shared" si="13"/>
        <v>40210</v>
      </c>
      <c r="C133" s="301">
        <v>3.234</v>
      </c>
      <c r="D133" s="301">
        <v>0.15</v>
      </c>
      <c r="E133" s="301">
        <v>7.2036178815849006E-2</v>
      </c>
      <c r="F133" s="301">
        <v>-0.20250000000000001</v>
      </c>
      <c r="G133" s="301">
        <v>-0.04</v>
      </c>
      <c r="H133" s="301">
        <v>-0.20250000000000001</v>
      </c>
      <c r="I133" s="301">
        <v>0.28000000000000003</v>
      </c>
      <c r="J133" s="301">
        <v>0.33750000000000002</v>
      </c>
      <c r="K133" s="301">
        <v>-5.0500000000000003E-2</v>
      </c>
      <c r="L133" s="301">
        <v>-1.4500000000000001E-2</v>
      </c>
      <c r="M133" s="301">
        <v>-0.24249999999999999</v>
      </c>
      <c r="N133" s="301">
        <v>1.0999999999999999E-2</v>
      </c>
      <c r="O133" s="301">
        <v>1.0999999999999999E-2</v>
      </c>
      <c r="P133" s="298">
        <v>-1.7999999999999999E-2</v>
      </c>
      <c r="Q133" s="298">
        <v>-0.03</v>
      </c>
      <c r="R133" s="298">
        <v>-2.9499999999999998E-2</v>
      </c>
      <c r="S133" s="298">
        <v>-8.3000000000000004E-2</v>
      </c>
      <c r="T133" s="298">
        <v>-0.14499999999999999</v>
      </c>
      <c r="U133" s="298">
        <v>1.4</v>
      </c>
      <c r="V133" s="298">
        <v>5.0000000000000001E-3</v>
      </c>
      <c r="W133" s="298">
        <v>-0.1875</v>
      </c>
      <c r="X133" s="298">
        <v>-1.35E-2</v>
      </c>
      <c r="Y133" s="313">
        <v>0.10249999999999999</v>
      </c>
      <c r="Z133" s="313">
        <v>3.0499999999999999E-2</v>
      </c>
      <c r="AA133" s="445">
        <v>0.15</v>
      </c>
      <c r="AB133" s="445">
        <v>0.16500000000000001</v>
      </c>
      <c r="AC133" s="445">
        <v>0.15</v>
      </c>
      <c r="AD133" s="445">
        <v>0.15</v>
      </c>
      <c r="AE133" s="445">
        <v>0.15</v>
      </c>
      <c r="AF133" s="445">
        <v>0.15</v>
      </c>
      <c r="AG133" s="445">
        <v>0.15</v>
      </c>
      <c r="AH133" s="445">
        <v>0.15</v>
      </c>
      <c r="AI133" s="446">
        <v>0.15</v>
      </c>
      <c r="AJ133" s="446">
        <v>0.15</v>
      </c>
      <c r="AK133" s="446">
        <v>0.15</v>
      </c>
      <c r="AL133" s="445">
        <v>0.15</v>
      </c>
      <c r="AM133" s="298">
        <v>7.2296214078199E-2</v>
      </c>
      <c r="AN133" s="298"/>
      <c r="AO133" s="313">
        <f t="shared" si="10"/>
        <v>0.16500000000000001</v>
      </c>
      <c r="AP133" s="313">
        <f t="shared" si="11"/>
        <v>0.16500000000000001</v>
      </c>
      <c r="AQ133" s="316">
        <f t="shared" si="12"/>
        <v>0.16500000000000001</v>
      </c>
      <c r="IU133" s="315">
        <f t="shared" si="8"/>
        <v>40238</v>
      </c>
      <c r="IV133" s="298">
        <v>122</v>
      </c>
    </row>
    <row r="134" spans="1:256" x14ac:dyDescent="0.25">
      <c r="A134" s="326"/>
      <c r="B134" s="303">
        <f t="shared" si="13"/>
        <v>40238</v>
      </c>
      <c r="C134" s="301">
        <v>3.14</v>
      </c>
      <c r="D134" s="301">
        <v>0.15</v>
      </c>
      <c r="E134" s="301">
        <v>7.2050172603125004E-2</v>
      </c>
      <c r="F134" s="301">
        <v>-0.20499999999999999</v>
      </c>
      <c r="G134" s="301">
        <v>-2.75E-2</v>
      </c>
      <c r="H134" s="301">
        <v>-0.20499999999999999</v>
      </c>
      <c r="I134" s="301">
        <v>0.27700000000000002</v>
      </c>
      <c r="J134" s="301">
        <v>0.26</v>
      </c>
      <c r="K134" s="301">
        <v>-5.1999999999999998E-2</v>
      </c>
      <c r="L134" s="301">
        <v>-1.7500000000000002E-2</v>
      </c>
      <c r="M134" s="301">
        <v>-0.24249999999999999</v>
      </c>
      <c r="N134" s="301">
        <v>1.0999999999999999E-2</v>
      </c>
      <c r="O134" s="301">
        <v>1.0999999999999999E-2</v>
      </c>
      <c r="P134" s="298">
        <v>-1.7999999999999999E-2</v>
      </c>
      <c r="Q134" s="298">
        <v>-0.03</v>
      </c>
      <c r="R134" s="298">
        <v>-1.12E-2</v>
      </c>
      <c r="S134" s="298">
        <v>-7.0499999999999993E-2</v>
      </c>
      <c r="T134" s="298">
        <v>-0.14499999999999999</v>
      </c>
      <c r="U134" s="298">
        <v>0.88</v>
      </c>
      <c r="V134" s="298">
        <v>5.0000000000000001E-3</v>
      </c>
      <c r="W134" s="298">
        <v>-0.1875</v>
      </c>
      <c r="X134" s="298">
        <v>-1.35E-2</v>
      </c>
      <c r="Y134" s="313">
        <v>0.10249999999999999</v>
      </c>
      <c r="Z134" s="313">
        <v>3.0499999999999999E-2</v>
      </c>
      <c r="AA134" s="445">
        <v>0.15</v>
      </c>
      <c r="AB134" s="445">
        <v>0.16500000000000001</v>
      </c>
      <c r="AC134" s="445">
        <v>0.15</v>
      </c>
      <c r="AD134" s="445">
        <v>0.15</v>
      </c>
      <c r="AE134" s="445">
        <v>0.15</v>
      </c>
      <c r="AF134" s="445">
        <v>0.15</v>
      </c>
      <c r="AG134" s="445">
        <v>0.15</v>
      </c>
      <c r="AH134" s="445">
        <v>0.15</v>
      </c>
      <c r="AI134" s="446">
        <v>0.15</v>
      </c>
      <c r="AJ134" s="446">
        <v>0.15</v>
      </c>
      <c r="AK134" s="446">
        <v>0.15</v>
      </c>
      <c r="AL134" s="445">
        <v>0.15</v>
      </c>
      <c r="AM134" s="298">
        <v>7.2307208508915005E-2</v>
      </c>
      <c r="AN134" s="298"/>
      <c r="AO134" s="313">
        <f t="shared" si="10"/>
        <v>0.16500000000000001</v>
      </c>
      <c r="AP134" s="313">
        <f t="shared" si="11"/>
        <v>0.16500000000000001</v>
      </c>
      <c r="AQ134" s="316">
        <f t="shared" si="12"/>
        <v>0.16500000000000001</v>
      </c>
      <c r="IU134" s="315">
        <f t="shared" si="8"/>
        <v>40269</v>
      </c>
      <c r="IV134" s="298">
        <v>123</v>
      </c>
    </row>
    <row r="135" spans="1:256" x14ac:dyDescent="0.25">
      <c r="A135" s="326"/>
      <c r="B135" s="303">
        <f t="shared" si="13"/>
        <v>40269</v>
      </c>
      <c r="C135" s="301">
        <v>3.0609999999999999</v>
      </c>
      <c r="D135" s="301">
        <v>0.15</v>
      </c>
      <c r="E135" s="301">
        <v>7.2065665724827005E-2</v>
      </c>
      <c r="F135" s="301">
        <v>-0.19500000000000001</v>
      </c>
      <c r="G135" s="301">
        <v>1.4999999999999999E-2</v>
      </c>
      <c r="H135" s="301">
        <v>-0.19500000000000001</v>
      </c>
      <c r="I135" s="301">
        <v>0.17499999999999999</v>
      </c>
      <c r="J135" s="301">
        <v>0.17</v>
      </c>
      <c r="K135" s="301">
        <v>-6.2E-2</v>
      </c>
      <c r="L135" s="301">
        <v>-0.03</v>
      </c>
      <c r="M135" s="301">
        <v>-0.29249999999999998</v>
      </c>
      <c r="N135" s="301">
        <v>6.4999999999999997E-3</v>
      </c>
      <c r="O135" s="301">
        <v>8.5000000000000006E-3</v>
      </c>
      <c r="P135" s="298">
        <v>-0.02</v>
      </c>
      <c r="Q135" s="298">
        <v>-0.03</v>
      </c>
      <c r="R135" s="298">
        <v>-1.12E-2</v>
      </c>
      <c r="S135" s="298">
        <v>-5.2999999999999999E-2</v>
      </c>
      <c r="T135" s="298">
        <v>-0.105</v>
      </c>
      <c r="U135" s="298">
        <v>0.37</v>
      </c>
      <c r="V135" s="298">
        <v>5.0000000000000001E-3</v>
      </c>
      <c r="W135" s="298">
        <v>-0.16500000000000001</v>
      </c>
      <c r="X135" s="298">
        <v>-1.35E-2</v>
      </c>
      <c r="Y135" s="313">
        <v>0.21249999999999999</v>
      </c>
      <c r="Z135" s="313">
        <v>2.3E-2</v>
      </c>
      <c r="AA135" s="445">
        <v>0.15</v>
      </c>
      <c r="AB135" s="445">
        <v>0.14699999999999999</v>
      </c>
      <c r="AC135" s="445">
        <v>0.15</v>
      </c>
      <c r="AD135" s="445">
        <v>0.15</v>
      </c>
      <c r="AE135" s="445">
        <v>0.14699999999999999</v>
      </c>
      <c r="AF135" s="445">
        <v>0.15</v>
      </c>
      <c r="AG135" s="445">
        <v>0.15</v>
      </c>
      <c r="AH135" s="445">
        <v>0.15</v>
      </c>
      <c r="AI135" s="446">
        <v>0.15</v>
      </c>
      <c r="AJ135" s="446">
        <v>0.15</v>
      </c>
      <c r="AK135" s="446">
        <v>0.15</v>
      </c>
      <c r="AL135" s="445">
        <v>0.15</v>
      </c>
      <c r="AM135" s="298">
        <v>7.2319380914397005E-2</v>
      </c>
      <c r="AN135" s="298"/>
      <c r="AO135" s="313">
        <f t="shared" si="10"/>
        <v>0.14699999999999999</v>
      </c>
      <c r="AP135" s="313">
        <f t="shared" si="11"/>
        <v>0.14699999999999999</v>
      </c>
      <c r="AQ135" s="316">
        <f t="shared" si="12"/>
        <v>0.14699999999999999</v>
      </c>
      <c r="IU135" s="315">
        <f t="shared" si="8"/>
        <v>40299</v>
      </c>
      <c r="IV135" s="298">
        <v>124</v>
      </c>
    </row>
    <row r="136" spans="1:256" x14ac:dyDescent="0.25">
      <c r="A136" s="326"/>
      <c r="B136" s="303">
        <f t="shared" si="13"/>
        <v>40299</v>
      </c>
      <c r="C136" s="301">
        <v>3.0905</v>
      </c>
      <c r="D136" s="301">
        <v>0.15</v>
      </c>
      <c r="E136" s="301">
        <v>7.2075310844883E-2</v>
      </c>
      <c r="F136" s="301">
        <v>-0.19500000000000001</v>
      </c>
      <c r="G136" s="301">
        <v>1.4999999999999999E-2</v>
      </c>
      <c r="H136" s="301">
        <v>-0.19500000000000001</v>
      </c>
      <c r="I136" s="301">
        <v>0.17799999999999999</v>
      </c>
      <c r="J136" s="301">
        <v>0.155</v>
      </c>
      <c r="K136" s="301">
        <v>-3.6999999999999998E-2</v>
      </c>
      <c r="L136" s="401">
        <v>-5.0000000000000001E-3</v>
      </c>
      <c r="M136" s="301">
        <v>-0.29249999999999998</v>
      </c>
      <c r="N136" s="301">
        <v>6.4999999999999997E-3</v>
      </c>
      <c r="O136" s="301">
        <v>8.5000000000000006E-3</v>
      </c>
      <c r="P136" s="298">
        <v>-0.02</v>
      </c>
      <c r="Q136" s="298">
        <v>-0.03</v>
      </c>
      <c r="R136" s="298">
        <v>-1.125E-2</v>
      </c>
      <c r="S136" s="298">
        <v>-5.5500000000000001E-2</v>
      </c>
      <c r="T136" s="298">
        <v>-0.105</v>
      </c>
      <c r="U136" s="298">
        <v>0.2525</v>
      </c>
      <c r="V136" s="298">
        <v>5.0000000000000001E-3</v>
      </c>
      <c r="W136" s="298">
        <v>-0.16500000000000001</v>
      </c>
      <c r="X136" s="298">
        <v>-0.01</v>
      </c>
      <c r="Y136" s="313">
        <v>0.21249999999999999</v>
      </c>
      <c r="Z136" s="313">
        <v>2.3E-2</v>
      </c>
      <c r="AA136" s="445">
        <v>0.15</v>
      </c>
      <c r="AB136" s="445">
        <v>0.14699999999999999</v>
      </c>
      <c r="AC136" s="445">
        <v>0.15</v>
      </c>
      <c r="AD136" s="445">
        <v>0.15</v>
      </c>
      <c r="AE136" s="445">
        <v>0.14699999999999999</v>
      </c>
      <c r="AF136" s="445">
        <v>0.15</v>
      </c>
      <c r="AG136" s="445">
        <v>0.15</v>
      </c>
      <c r="AH136" s="445">
        <v>0.15</v>
      </c>
      <c r="AI136" s="446">
        <v>0.15</v>
      </c>
      <c r="AJ136" s="446">
        <v>0.15</v>
      </c>
      <c r="AK136" s="446">
        <v>0.15</v>
      </c>
      <c r="AL136" s="445">
        <v>0.15</v>
      </c>
      <c r="AM136" s="298">
        <v>7.2327613528290993E-2</v>
      </c>
      <c r="AN136" s="298"/>
      <c r="AO136" s="313">
        <f t="shared" si="10"/>
        <v>0.14699999999999999</v>
      </c>
      <c r="AP136" s="313">
        <f t="shared" si="11"/>
        <v>0.14699999999999999</v>
      </c>
      <c r="AQ136" s="316">
        <f t="shared" si="12"/>
        <v>0.14699999999999999</v>
      </c>
      <c r="IU136" s="315">
        <f t="shared" si="8"/>
        <v>40330</v>
      </c>
      <c r="IV136" s="298">
        <v>125</v>
      </c>
    </row>
    <row r="137" spans="1:256" x14ac:dyDescent="0.25">
      <c r="A137" s="326"/>
      <c r="B137" s="303">
        <f t="shared" si="13"/>
        <v>40330</v>
      </c>
      <c r="C137" s="301">
        <v>3.1044999999999998</v>
      </c>
      <c r="D137" s="301">
        <v>0.15</v>
      </c>
      <c r="E137" s="301">
        <v>7.2076987722381997E-2</v>
      </c>
      <c r="F137" s="301">
        <v>-0.19500000000000001</v>
      </c>
      <c r="G137" s="301">
        <v>0.02</v>
      </c>
      <c r="H137" s="301">
        <v>-0.19500000000000001</v>
      </c>
      <c r="I137" s="301">
        <v>0.17299999999999999</v>
      </c>
      <c r="J137" s="301">
        <v>0.155</v>
      </c>
      <c r="K137" s="301">
        <v>-3.4500000000000003E-2</v>
      </c>
      <c r="L137" s="401">
        <v>-2.5000000000000001E-3</v>
      </c>
      <c r="M137" s="301">
        <v>-0.29249999999999998</v>
      </c>
      <c r="N137" s="301">
        <v>6.4999999999999997E-3</v>
      </c>
      <c r="O137" s="301">
        <v>8.5000000000000006E-3</v>
      </c>
      <c r="P137" s="298">
        <v>-1.7500000000000002E-2</v>
      </c>
      <c r="Q137" s="298">
        <v>-0.03</v>
      </c>
      <c r="R137" s="298">
        <v>-1.125E-2</v>
      </c>
      <c r="S137" s="298">
        <v>-4.5499999999999999E-2</v>
      </c>
      <c r="T137" s="298">
        <v>-0.105</v>
      </c>
      <c r="U137" s="298">
        <v>0.2525</v>
      </c>
      <c r="V137" s="298">
        <v>5.0000000000000001E-3</v>
      </c>
      <c r="W137" s="298">
        <v>-0.16500000000000001</v>
      </c>
      <c r="X137" s="298">
        <v>-1.2500000000000001E-2</v>
      </c>
      <c r="Y137" s="313">
        <v>0.21249999999999999</v>
      </c>
      <c r="Z137" s="313">
        <v>2.3E-2</v>
      </c>
      <c r="AA137" s="445">
        <v>0.15</v>
      </c>
      <c r="AB137" s="445">
        <v>0.14699999999999999</v>
      </c>
      <c r="AC137" s="445">
        <v>0.15</v>
      </c>
      <c r="AD137" s="445">
        <v>0.15</v>
      </c>
      <c r="AE137" s="445">
        <v>0.14699999999999999</v>
      </c>
      <c r="AF137" s="445">
        <v>0.15</v>
      </c>
      <c r="AG137" s="445">
        <v>0.15</v>
      </c>
      <c r="AH137" s="445">
        <v>0.15</v>
      </c>
      <c r="AI137" s="446">
        <v>0.15</v>
      </c>
      <c r="AJ137" s="446">
        <v>0.15</v>
      </c>
      <c r="AK137" s="446">
        <v>0.15</v>
      </c>
      <c r="AL137" s="445">
        <v>0.15</v>
      </c>
      <c r="AM137" s="298">
        <v>7.2330622505905995E-2</v>
      </c>
      <c r="AN137" s="298"/>
      <c r="AO137" s="313">
        <f t="shared" si="10"/>
        <v>0.14699999999999999</v>
      </c>
      <c r="AP137" s="313">
        <f t="shared" si="11"/>
        <v>0.14699999999999999</v>
      </c>
      <c r="AQ137" s="316">
        <f t="shared" si="12"/>
        <v>0.14699999999999999</v>
      </c>
      <c r="IU137" s="315">
        <f t="shared" si="8"/>
        <v>40360</v>
      </c>
      <c r="IV137" s="298">
        <v>126</v>
      </c>
    </row>
    <row r="138" spans="1:256" x14ac:dyDescent="0.25">
      <c r="B138" s="303">
        <f t="shared" si="13"/>
        <v>40360</v>
      </c>
      <c r="C138" s="301">
        <v>3.1074999999999999</v>
      </c>
      <c r="D138" s="301">
        <v>0.15</v>
      </c>
      <c r="E138" s="301">
        <v>7.2078610507060006E-2</v>
      </c>
      <c r="F138" s="301">
        <v>-0.19500000000000001</v>
      </c>
      <c r="G138" s="301">
        <v>2.2499999999999999E-2</v>
      </c>
      <c r="H138" s="301">
        <v>-0.19500000000000001</v>
      </c>
      <c r="I138" s="301">
        <v>0.16200000000000001</v>
      </c>
      <c r="J138" s="301">
        <v>0.155</v>
      </c>
      <c r="K138" s="301">
        <v>-3.4500000000000003E-2</v>
      </c>
      <c r="L138" s="401">
        <v>-2.5000000000000001E-3</v>
      </c>
      <c r="M138" s="301">
        <v>-0.29249999999999998</v>
      </c>
      <c r="N138" s="301">
        <v>6.4999999999999997E-3</v>
      </c>
      <c r="O138" s="301">
        <v>8.5000000000000006E-3</v>
      </c>
      <c r="P138" s="298">
        <v>-1.7500000000000002E-2</v>
      </c>
      <c r="Q138" s="298">
        <v>-0.03</v>
      </c>
      <c r="R138" s="298">
        <v>-1.125E-2</v>
      </c>
      <c r="S138" s="298">
        <v>-4.5499999999999999E-2</v>
      </c>
      <c r="T138" s="298">
        <v>-0.105</v>
      </c>
      <c r="U138" s="298">
        <v>0.25750000000000001</v>
      </c>
      <c r="V138" s="298">
        <v>5.0000000000000001E-3</v>
      </c>
      <c r="W138" s="298">
        <v>-0.16500000000000001</v>
      </c>
      <c r="X138" s="298">
        <v>-1.2500000000000001E-2</v>
      </c>
      <c r="Y138" s="313">
        <v>0.21249999999999999</v>
      </c>
      <c r="Z138" s="313">
        <v>2.3E-2</v>
      </c>
      <c r="AA138" s="445">
        <v>0.15</v>
      </c>
      <c r="AB138" s="445">
        <v>0.14699999999999999</v>
      </c>
      <c r="AC138" s="445">
        <v>0.15</v>
      </c>
      <c r="AD138" s="445">
        <v>0.15</v>
      </c>
      <c r="AE138" s="445">
        <v>0.14699999999999999</v>
      </c>
      <c r="AF138" s="445">
        <v>0.15</v>
      </c>
      <c r="AG138" s="445">
        <v>0.15</v>
      </c>
      <c r="AH138" s="445">
        <v>0.15</v>
      </c>
      <c r="AI138" s="446">
        <v>0.15</v>
      </c>
      <c r="AJ138" s="446">
        <v>0.15</v>
      </c>
      <c r="AK138" s="446">
        <v>0.15</v>
      </c>
      <c r="AL138" s="445">
        <v>0.15</v>
      </c>
      <c r="AM138" s="298">
        <v>7.2333534419729006E-2</v>
      </c>
      <c r="AN138" s="298"/>
      <c r="AO138" s="313">
        <f t="shared" si="10"/>
        <v>0.14699999999999999</v>
      </c>
      <c r="AP138" s="313">
        <f t="shared" si="11"/>
        <v>0.14699999999999999</v>
      </c>
      <c r="AQ138" s="316">
        <f t="shared" si="12"/>
        <v>0.14699999999999999</v>
      </c>
      <c r="IU138" s="315">
        <f t="shared" si="8"/>
        <v>40391</v>
      </c>
      <c r="IV138" s="298">
        <v>127</v>
      </c>
    </row>
    <row r="139" spans="1:256" x14ac:dyDescent="0.25">
      <c r="B139" s="303">
        <f t="shared" si="13"/>
        <v>40391</v>
      </c>
      <c r="C139" s="301">
        <v>3.1135000000000002</v>
      </c>
      <c r="D139" s="301">
        <v>0.15</v>
      </c>
      <c r="E139" s="301">
        <v>7.2080287384561001E-2</v>
      </c>
      <c r="F139" s="301">
        <v>-0.19500000000000001</v>
      </c>
      <c r="G139" s="301">
        <v>2.5000000000000001E-2</v>
      </c>
      <c r="H139" s="301">
        <v>-0.19500000000000001</v>
      </c>
      <c r="I139" s="301">
        <v>0.16</v>
      </c>
      <c r="J139" s="301">
        <v>0.155</v>
      </c>
      <c r="K139" s="301">
        <v>-3.4500000000000003E-2</v>
      </c>
      <c r="L139" s="401">
        <v>-2.5000000000000001E-3</v>
      </c>
      <c r="M139" s="301">
        <v>-0.29249999999999998</v>
      </c>
      <c r="N139" s="301">
        <v>6.4999999999999997E-3</v>
      </c>
      <c r="O139" s="301">
        <v>8.5000000000000006E-3</v>
      </c>
      <c r="P139" s="298">
        <v>-1.7500000000000002E-2</v>
      </c>
      <c r="Q139" s="298">
        <v>-0.03</v>
      </c>
      <c r="R139" s="298">
        <v>-8.7500000000000008E-3</v>
      </c>
      <c r="S139" s="298">
        <v>-4.5499999999999999E-2</v>
      </c>
      <c r="T139" s="298">
        <v>-0.105</v>
      </c>
      <c r="U139" s="298">
        <v>0.25750000000000001</v>
      </c>
      <c r="V139" s="298">
        <v>5.0000000000000001E-3</v>
      </c>
      <c r="W139" s="298">
        <v>-0.16500000000000001</v>
      </c>
      <c r="X139" s="298">
        <v>-1.2500000000000001E-2</v>
      </c>
      <c r="Y139" s="313">
        <v>0.21249999999999999</v>
      </c>
      <c r="Z139" s="313">
        <v>2.3E-2</v>
      </c>
      <c r="AA139" s="445">
        <v>0.15</v>
      </c>
      <c r="AB139" s="445">
        <v>0.14699999999999999</v>
      </c>
      <c r="AC139" s="445">
        <v>0.15</v>
      </c>
      <c r="AD139" s="445">
        <v>0.15</v>
      </c>
      <c r="AE139" s="445">
        <v>0.14699999999999999</v>
      </c>
      <c r="AF139" s="445">
        <v>0.15</v>
      </c>
      <c r="AG139" s="445">
        <v>0.15</v>
      </c>
      <c r="AH139" s="445">
        <v>0.15</v>
      </c>
      <c r="AI139" s="446">
        <v>0.15</v>
      </c>
      <c r="AJ139" s="446">
        <v>0.15</v>
      </c>
      <c r="AK139" s="446">
        <v>0.15</v>
      </c>
      <c r="AL139" s="445">
        <v>0.15</v>
      </c>
      <c r="AM139" s="298">
        <v>7.2336543397349004E-2</v>
      </c>
      <c r="AN139" s="298"/>
      <c r="AO139" s="313">
        <f t="shared" si="10"/>
        <v>0.14699999999999999</v>
      </c>
      <c r="AP139" s="313">
        <f t="shared" si="11"/>
        <v>0.14699999999999999</v>
      </c>
      <c r="AQ139" s="316">
        <f t="shared" si="12"/>
        <v>0.14699999999999999</v>
      </c>
      <c r="IU139" s="315">
        <f t="shared" si="8"/>
        <v>40422</v>
      </c>
      <c r="IV139" s="298">
        <v>128</v>
      </c>
    </row>
    <row r="140" spans="1:256" x14ac:dyDescent="0.25">
      <c r="B140" s="303">
        <f t="shared" si="13"/>
        <v>40422</v>
      </c>
      <c r="C140" s="301">
        <v>3.1105</v>
      </c>
      <c r="D140" s="301">
        <v>0.15</v>
      </c>
      <c r="E140" s="301">
        <v>7.2081964262062995E-2</v>
      </c>
      <c r="F140" s="301">
        <v>-0.19500000000000001</v>
      </c>
      <c r="G140" s="301">
        <v>1.7500000000000002E-2</v>
      </c>
      <c r="H140" s="301">
        <v>-0.19500000000000001</v>
      </c>
      <c r="I140" s="301">
        <v>0.157</v>
      </c>
      <c r="J140" s="301">
        <v>0.155</v>
      </c>
      <c r="K140" s="301">
        <v>-3.6999999999999998E-2</v>
      </c>
      <c r="L140" s="401">
        <v>-5.0000000000000001E-3</v>
      </c>
      <c r="M140" s="301">
        <v>-0.29249999999999998</v>
      </c>
      <c r="N140" s="301">
        <v>6.4999999999999997E-3</v>
      </c>
      <c r="O140" s="301">
        <v>8.5000000000000006E-3</v>
      </c>
      <c r="P140" s="298">
        <v>-1.7500000000000002E-2</v>
      </c>
      <c r="Q140" s="298">
        <v>-0.03</v>
      </c>
      <c r="R140" s="298">
        <v>-8.7500000000000008E-3</v>
      </c>
      <c r="S140" s="298">
        <v>-5.2999999999999999E-2</v>
      </c>
      <c r="T140" s="298">
        <v>-0.105</v>
      </c>
      <c r="U140" s="298">
        <v>0.2525</v>
      </c>
      <c r="V140" s="298">
        <v>5.0000000000000001E-3</v>
      </c>
      <c r="W140" s="298">
        <v>-0.16500000000000001</v>
      </c>
      <c r="X140" s="298">
        <v>-1.4999999999999999E-2</v>
      </c>
      <c r="Y140" s="313">
        <v>0.21249999999999999</v>
      </c>
      <c r="Z140" s="313">
        <v>2.3E-2</v>
      </c>
      <c r="AA140" s="445">
        <v>0.15</v>
      </c>
      <c r="AB140" s="445">
        <v>0.14699999999999999</v>
      </c>
      <c r="AC140" s="445">
        <v>0.15</v>
      </c>
      <c r="AD140" s="445">
        <v>0.15</v>
      </c>
      <c r="AE140" s="445">
        <v>0.14699999999999999</v>
      </c>
      <c r="AF140" s="445">
        <v>0.15</v>
      </c>
      <c r="AG140" s="445">
        <v>0.15</v>
      </c>
      <c r="AH140" s="445">
        <v>0.15</v>
      </c>
      <c r="AI140" s="446">
        <v>0.15</v>
      </c>
      <c r="AJ140" s="446">
        <v>0.15</v>
      </c>
      <c r="AK140" s="446">
        <v>0.15</v>
      </c>
      <c r="AL140" s="445">
        <v>0.15</v>
      </c>
      <c r="AM140" s="298">
        <v>7.2339552374971999E-2</v>
      </c>
      <c r="AN140" s="298"/>
      <c r="AO140" s="313">
        <f t="shared" si="10"/>
        <v>0.14699999999999999</v>
      </c>
      <c r="AP140" s="313">
        <f t="shared" si="11"/>
        <v>0.14699999999999999</v>
      </c>
      <c r="AQ140" s="316">
        <f t="shared" si="12"/>
        <v>0.14699999999999999</v>
      </c>
      <c r="IU140" s="315">
        <f t="shared" si="8"/>
        <v>40452</v>
      </c>
      <c r="IV140" s="298">
        <v>129</v>
      </c>
    </row>
    <row r="141" spans="1:256" x14ac:dyDescent="0.25">
      <c r="B141" s="303">
        <f t="shared" si="13"/>
        <v>40452</v>
      </c>
      <c r="C141" s="301">
        <v>3.1305000000000001</v>
      </c>
      <c r="D141" s="301">
        <v>0.15</v>
      </c>
      <c r="E141" s="301">
        <v>7.2083587046743003E-2</v>
      </c>
      <c r="F141" s="301">
        <v>-0.19500000000000001</v>
      </c>
      <c r="G141" s="301">
        <v>7.4999999999999997E-3</v>
      </c>
      <c r="H141" s="301">
        <v>-0.19500000000000001</v>
      </c>
      <c r="I141" s="301">
        <v>0.17299999999999999</v>
      </c>
      <c r="J141" s="301">
        <v>0.1575</v>
      </c>
      <c r="K141" s="301">
        <v>-3.6999999999999998E-2</v>
      </c>
      <c r="L141" s="401">
        <v>-5.0000000000000001E-3</v>
      </c>
      <c r="M141" s="301">
        <v>-0.29249999999999998</v>
      </c>
      <c r="N141" s="301">
        <v>6.4999999999999997E-3</v>
      </c>
      <c r="O141" s="301">
        <v>8.5000000000000006E-3</v>
      </c>
      <c r="P141" s="298">
        <v>-1.7500000000000002E-2</v>
      </c>
      <c r="Q141" s="298">
        <v>-0.03</v>
      </c>
      <c r="R141" s="298">
        <v>-2.9499999999999998E-2</v>
      </c>
      <c r="S141" s="298">
        <v>-5.2999999999999999E-2</v>
      </c>
      <c r="T141" s="298">
        <v>-0.105</v>
      </c>
      <c r="U141" s="298">
        <v>0.255</v>
      </c>
      <c r="V141" s="298">
        <v>5.0000000000000001E-3</v>
      </c>
      <c r="W141" s="298">
        <v>-0.16500000000000001</v>
      </c>
      <c r="X141" s="298">
        <v>-1.4999999999999999E-2</v>
      </c>
      <c r="Y141" s="313">
        <v>0.21249999999999999</v>
      </c>
      <c r="Z141" s="313">
        <v>2.3E-2</v>
      </c>
      <c r="AA141" s="445">
        <v>0.15</v>
      </c>
      <c r="AB141" s="445">
        <v>0.14699999999999999</v>
      </c>
      <c r="AC141" s="445">
        <v>0.15</v>
      </c>
      <c r="AD141" s="445">
        <v>0.15</v>
      </c>
      <c r="AE141" s="445">
        <v>0.14699999999999999</v>
      </c>
      <c r="AF141" s="445">
        <v>0.15</v>
      </c>
      <c r="AG141" s="445">
        <v>0.15</v>
      </c>
      <c r="AH141" s="445">
        <v>0.15</v>
      </c>
      <c r="AI141" s="446">
        <v>0.15</v>
      </c>
      <c r="AJ141" s="446">
        <v>0.15</v>
      </c>
      <c r="AK141" s="446">
        <v>0.15</v>
      </c>
      <c r="AL141" s="445">
        <v>0.15</v>
      </c>
      <c r="AM141" s="298">
        <v>7.2342464288805003E-2</v>
      </c>
      <c r="AN141" s="298"/>
      <c r="AO141" s="313">
        <f t="shared" si="10"/>
        <v>0.14699999999999999</v>
      </c>
      <c r="AP141" s="313">
        <f t="shared" si="11"/>
        <v>0.14699999999999999</v>
      </c>
      <c r="AQ141" s="316">
        <f t="shared" si="12"/>
        <v>0.14699999999999999</v>
      </c>
      <c r="IU141" s="315">
        <f t="shared" si="8"/>
        <v>40483</v>
      </c>
      <c r="IV141" s="298">
        <v>130</v>
      </c>
    </row>
    <row r="142" spans="1:256" x14ac:dyDescent="0.25">
      <c r="B142" s="303">
        <f t="shared" si="13"/>
        <v>40483</v>
      </c>
      <c r="C142" s="301">
        <v>3.2284999999999999</v>
      </c>
      <c r="D142" s="301">
        <v>0.15</v>
      </c>
      <c r="E142" s="301">
        <v>7.2085263924246995E-2</v>
      </c>
      <c r="F142" s="301">
        <v>-0.19</v>
      </c>
      <c r="G142" s="301">
        <v>-3.2500000000000001E-2</v>
      </c>
      <c r="H142" s="301">
        <v>-0.19</v>
      </c>
      <c r="I142" s="301">
        <v>0.25</v>
      </c>
      <c r="J142" s="301">
        <v>0.24</v>
      </c>
      <c r="K142" s="301">
        <v>-4.8500000000000001E-2</v>
      </c>
      <c r="L142" s="401">
        <v>-0.01</v>
      </c>
      <c r="M142" s="301">
        <v>-0.24249999999999999</v>
      </c>
      <c r="N142" s="301">
        <v>1.0999999999999999E-2</v>
      </c>
      <c r="O142" s="301">
        <v>1.2999999999999999E-2</v>
      </c>
      <c r="P142" s="298">
        <v>-2.0500000000000001E-2</v>
      </c>
      <c r="Q142" s="298">
        <v>-0.03</v>
      </c>
      <c r="R142" s="298">
        <v>-2.8500000000000001E-2</v>
      </c>
      <c r="S142" s="298">
        <v>-6.8000000000000005E-2</v>
      </c>
      <c r="T142" s="298">
        <v>-0.14499999999999999</v>
      </c>
      <c r="U142" s="298">
        <v>0.72499999999999998</v>
      </c>
      <c r="V142" s="298">
        <v>5.0000000000000001E-3</v>
      </c>
      <c r="W142" s="298">
        <v>-0.1875</v>
      </c>
      <c r="X142" s="298">
        <v>-1.2500000000000001E-2</v>
      </c>
      <c r="Y142" s="313">
        <v>0.10249999999999999</v>
      </c>
      <c r="Z142" s="313">
        <v>3.2500000000000001E-2</v>
      </c>
      <c r="AA142" s="445">
        <v>0.15</v>
      </c>
      <c r="AB142" s="445">
        <v>0.16500000000000001</v>
      </c>
      <c r="AC142" s="445">
        <v>0.15</v>
      </c>
      <c r="AD142" s="445">
        <v>0.15</v>
      </c>
      <c r="AE142" s="445">
        <v>0.15</v>
      </c>
      <c r="AF142" s="445">
        <v>0.15</v>
      </c>
      <c r="AG142" s="445">
        <v>0.15</v>
      </c>
      <c r="AH142" s="445">
        <v>0.15</v>
      </c>
      <c r="AI142" s="446">
        <v>0.15</v>
      </c>
      <c r="AJ142" s="446">
        <v>0.15</v>
      </c>
      <c r="AK142" s="446">
        <v>0.15</v>
      </c>
      <c r="AL142" s="445">
        <v>0.15</v>
      </c>
      <c r="AM142" s="298">
        <v>7.2345473266432994E-2</v>
      </c>
      <c r="AN142" s="298"/>
      <c r="AO142" s="313">
        <f t="shared" si="10"/>
        <v>0.16500000000000001</v>
      </c>
      <c r="AP142" s="313">
        <f t="shared" si="11"/>
        <v>0.16500000000000001</v>
      </c>
      <c r="AQ142" s="316">
        <f t="shared" si="12"/>
        <v>0.16500000000000001</v>
      </c>
      <c r="IU142" s="315">
        <f t="shared" si="8"/>
        <v>40513</v>
      </c>
      <c r="IV142" s="298">
        <v>131</v>
      </c>
    </row>
    <row r="143" spans="1:256" x14ac:dyDescent="0.25">
      <c r="B143" s="303">
        <f t="shared" si="13"/>
        <v>40513</v>
      </c>
      <c r="C143" s="301">
        <v>3.3304999999999998</v>
      </c>
      <c r="D143" s="301">
        <v>0.15</v>
      </c>
      <c r="E143" s="301">
        <v>7.2086886708929002E-2</v>
      </c>
      <c r="F143" s="301">
        <v>-0.19750000000000001</v>
      </c>
      <c r="G143" s="301">
        <v>-5.5E-2</v>
      </c>
      <c r="H143" s="301">
        <v>-0.19750000000000001</v>
      </c>
      <c r="I143" s="301">
        <v>0.28999999999999998</v>
      </c>
      <c r="J143" s="301">
        <v>0.29499999999999998</v>
      </c>
      <c r="K143" s="301">
        <v>-4.8500000000000001E-2</v>
      </c>
      <c r="L143" s="301">
        <v>-1.2500000000000001E-2</v>
      </c>
      <c r="M143" s="301">
        <v>-0.24249999999999999</v>
      </c>
      <c r="N143" s="301">
        <v>1.0999999999999999E-2</v>
      </c>
      <c r="O143" s="301">
        <v>1.2999999999999999E-2</v>
      </c>
      <c r="P143" s="298">
        <v>-2.0500000000000001E-2</v>
      </c>
      <c r="Q143" s="298">
        <v>-0.03</v>
      </c>
      <c r="R143" s="298">
        <v>-2.8500000000000001E-2</v>
      </c>
      <c r="S143" s="298">
        <v>-8.3000000000000004E-2</v>
      </c>
      <c r="T143" s="298">
        <v>-0.14499999999999999</v>
      </c>
      <c r="U143" s="298">
        <v>1.0449999999999999</v>
      </c>
      <c r="V143" s="298">
        <v>5.0000000000000001E-3</v>
      </c>
      <c r="W143" s="298">
        <v>-0.1875</v>
      </c>
      <c r="X143" s="298">
        <v>-1.2500000000000001E-2</v>
      </c>
      <c r="Y143" s="313">
        <v>0.10249999999999999</v>
      </c>
      <c r="Z143" s="313">
        <v>3.2500000000000001E-2</v>
      </c>
      <c r="AA143" s="445">
        <v>0.15</v>
      </c>
      <c r="AB143" s="445">
        <v>0.16500000000000001</v>
      </c>
      <c r="AC143" s="445">
        <v>0.15</v>
      </c>
      <c r="AD143" s="445">
        <v>0.15</v>
      </c>
      <c r="AE143" s="445">
        <v>0.15</v>
      </c>
      <c r="AF143" s="445">
        <v>0.15</v>
      </c>
      <c r="AG143" s="445">
        <v>0.15</v>
      </c>
      <c r="AH143" s="445">
        <v>0.15</v>
      </c>
      <c r="AI143" s="446">
        <v>0.15</v>
      </c>
      <c r="AJ143" s="446">
        <v>0.15</v>
      </c>
      <c r="AK143" s="446">
        <v>0.15</v>
      </c>
      <c r="AL143" s="445">
        <v>0.15</v>
      </c>
      <c r="AM143" s="298">
        <v>7.2348385180270994E-2</v>
      </c>
      <c r="AN143" s="298"/>
      <c r="AO143" s="313">
        <f t="shared" si="10"/>
        <v>0.16500000000000001</v>
      </c>
      <c r="AP143" s="313">
        <f t="shared" si="11"/>
        <v>0.16500000000000001</v>
      </c>
      <c r="AQ143" s="316">
        <f t="shared" si="12"/>
        <v>0.16500000000000001</v>
      </c>
      <c r="IU143" s="315">
        <f t="shared" ref="IU143:IU206" si="14">B144</f>
        <v>40544</v>
      </c>
      <c r="IV143" s="298">
        <v>132</v>
      </c>
    </row>
    <row r="144" spans="1:256" x14ac:dyDescent="0.25">
      <c r="B144" s="303">
        <f t="shared" si="13"/>
        <v>40544</v>
      </c>
      <c r="C144" s="301">
        <v>3.3809999999999998</v>
      </c>
      <c r="D144" s="301">
        <v>0.15</v>
      </c>
      <c r="E144" s="301">
        <v>7.2088563586435006E-2</v>
      </c>
      <c r="F144" s="301">
        <v>-0.2</v>
      </c>
      <c r="G144" s="301">
        <v>-5.7500000000000002E-2</v>
      </c>
      <c r="H144" s="301">
        <v>-0.2</v>
      </c>
      <c r="I144" s="301">
        <v>0.3</v>
      </c>
      <c r="J144" s="301">
        <v>0.34250000000000003</v>
      </c>
      <c r="K144" s="301">
        <v>-5.2499999999999998E-2</v>
      </c>
      <c r="L144" s="301">
        <v>-6.4999999999999997E-3</v>
      </c>
      <c r="M144" s="301">
        <v>-0.24249999999999999</v>
      </c>
      <c r="N144" s="301">
        <v>1.0999999999999999E-2</v>
      </c>
      <c r="O144" s="301">
        <v>1.2999999999999999E-2</v>
      </c>
      <c r="P144" s="298">
        <v>-1.6E-2</v>
      </c>
      <c r="Q144" s="298">
        <v>-0.03</v>
      </c>
      <c r="R144" s="298">
        <v>-2.5999999999999999E-2</v>
      </c>
      <c r="S144" s="298">
        <v>-9.35E-2</v>
      </c>
      <c r="T144" s="298">
        <v>-0.14499999999999999</v>
      </c>
      <c r="U144" s="298">
        <v>1.52</v>
      </c>
      <c r="V144" s="298">
        <v>5.0000000000000001E-3</v>
      </c>
      <c r="W144" s="298">
        <v>-0.1875</v>
      </c>
      <c r="X144" s="298">
        <v>-1.2500000000000001E-2</v>
      </c>
      <c r="Y144" s="313">
        <v>0.10249999999999999</v>
      </c>
      <c r="Z144" s="313">
        <v>3.2500000000000001E-2</v>
      </c>
      <c r="AA144" s="445">
        <v>0.15</v>
      </c>
      <c r="AB144" s="445">
        <v>0.15</v>
      </c>
      <c r="AC144" s="445">
        <v>0.15</v>
      </c>
      <c r="AD144" s="445">
        <v>0.15</v>
      </c>
      <c r="AE144" s="445">
        <v>0.15</v>
      </c>
      <c r="AF144" s="445">
        <v>0.15</v>
      </c>
      <c r="AG144" s="445">
        <v>0.15</v>
      </c>
      <c r="AH144" s="445">
        <v>0.15</v>
      </c>
      <c r="AI144" s="446">
        <v>0.15</v>
      </c>
      <c r="AJ144" s="446">
        <v>0.15</v>
      </c>
      <c r="AK144" s="446">
        <v>0.15</v>
      </c>
      <c r="AL144" s="445">
        <v>0.15</v>
      </c>
      <c r="AM144" s="298">
        <v>7.2351394157905993E-2</v>
      </c>
      <c r="AN144" s="298"/>
      <c r="AO144" s="313">
        <f t="shared" si="10"/>
        <v>0.15</v>
      </c>
      <c r="AP144" s="313">
        <f t="shared" si="11"/>
        <v>0.15</v>
      </c>
      <c r="AQ144" s="316">
        <f t="shared" si="12"/>
        <v>0.15</v>
      </c>
      <c r="IU144" s="315">
        <f t="shared" si="14"/>
        <v>40575</v>
      </c>
      <c r="IV144" s="298">
        <v>133</v>
      </c>
    </row>
    <row r="145" spans="1:256" x14ac:dyDescent="0.25">
      <c r="A145" s="325"/>
      <c r="B145" s="303">
        <f t="shared" ref="B145:B157" si="15">EOMONTH(B144,0)+1</f>
        <v>40575</v>
      </c>
      <c r="C145" s="301">
        <v>3.3</v>
      </c>
      <c r="D145" s="301">
        <v>0.15</v>
      </c>
      <c r="E145" s="301">
        <v>7.2090240463940997E-2</v>
      </c>
      <c r="F145" s="301">
        <v>-0.20250000000000001</v>
      </c>
      <c r="G145" s="301">
        <v>-0.04</v>
      </c>
      <c r="H145" s="301">
        <v>-0.20250000000000001</v>
      </c>
      <c r="I145" s="301">
        <v>0.27500000000000002</v>
      </c>
      <c r="J145" s="301">
        <v>0.33750000000000002</v>
      </c>
      <c r="K145" s="301">
        <v>-4.8500000000000001E-2</v>
      </c>
      <c r="L145" s="301">
        <v>-1.2500000000000001E-2</v>
      </c>
      <c r="M145" s="301">
        <v>-0.24249999999999999</v>
      </c>
      <c r="N145" s="301">
        <v>1.0999999999999999E-2</v>
      </c>
      <c r="O145" s="301">
        <v>1.2999999999999999E-2</v>
      </c>
      <c r="P145" s="298">
        <v>-1.6E-2</v>
      </c>
      <c r="Q145" s="298">
        <v>-0.03</v>
      </c>
      <c r="R145" s="298">
        <v>-2.5999999999999999E-2</v>
      </c>
      <c r="S145" s="298">
        <v>-8.1000000000000003E-2</v>
      </c>
      <c r="T145" s="298">
        <v>-0.14499999999999999</v>
      </c>
      <c r="U145" s="298">
        <v>1.4</v>
      </c>
      <c r="V145" s="298">
        <v>5.0000000000000001E-3</v>
      </c>
      <c r="W145" s="298">
        <v>-0.1875</v>
      </c>
      <c r="X145" s="298">
        <v>-1.2500000000000001E-2</v>
      </c>
      <c r="Y145" s="313">
        <v>0.10249999999999999</v>
      </c>
      <c r="Z145" s="313">
        <v>3.2500000000000001E-2</v>
      </c>
      <c r="AA145" s="445">
        <v>0.15</v>
      </c>
      <c r="AB145" s="445">
        <v>0.16500000000000001</v>
      </c>
      <c r="AC145" s="445">
        <v>0.15</v>
      </c>
      <c r="AD145" s="445">
        <v>0.15</v>
      </c>
      <c r="AE145" s="445">
        <v>0.15</v>
      </c>
      <c r="AF145" s="445">
        <v>0.15</v>
      </c>
      <c r="AG145" s="445">
        <v>0.15</v>
      </c>
      <c r="AH145" s="445">
        <v>0.15</v>
      </c>
      <c r="AI145" s="446">
        <v>0.15</v>
      </c>
      <c r="AJ145" s="446">
        <v>0.15</v>
      </c>
      <c r="AK145" s="446">
        <v>0.15</v>
      </c>
      <c r="AL145" s="445">
        <v>0.15</v>
      </c>
      <c r="AM145" s="298">
        <v>7.2354403135544004E-2</v>
      </c>
      <c r="AN145" s="298"/>
      <c r="AO145" s="313">
        <f t="shared" ref="AO145:AO208" si="16">AB145</f>
        <v>0.16500000000000001</v>
      </c>
      <c r="AP145" s="313">
        <f t="shared" ref="AP145:AP208" si="17">AB145</f>
        <v>0.16500000000000001</v>
      </c>
      <c r="AQ145" s="316">
        <f t="shared" ref="AQ145:AQ208" si="18">AB145</f>
        <v>0.16500000000000001</v>
      </c>
      <c r="IU145" s="315">
        <f t="shared" si="14"/>
        <v>40603</v>
      </c>
      <c r="IV145" s="298">
        <v>134</v>
      </c>
    </row>
    <row r="146" spans="1:256" x14ac:dyDescent="0.25">
      <c r="A146" s="326"/>
      <c r="B146" s="303">
        <f t="shared" si="15"/>
        <v>40603</v>
      </c>
      <c r="C146" s="301">
        <v>3.2090000000000001</v>
      </c>
      <c r="D146" s="301">
        <v>0.15</v>
      </c>
      <c r="E146" s="301">
        <v>7.2091755062980004E-2</v>
      </c>
      <c r="F146" s="301">
        <v>-0.20499999999999999</v>
      </c>
      <c r="G146" s="301">
        <v>-2.75E-2</v>
      </c>
      <c r="H146" s="301">
        <v>-0.20499999999999999</v>
      </c>
      <c r="I146" s="301">
        <v>0.27200000000000002</v>
      </c>
      <c r="J146" s="301">
        <v>0.26</v>
      </c>
      <c r="K146" s="301">
        <v>-0.05</v>
      </c>
      <c r="L146" s="301">
        <v>-1.55E-2</v>
      </c>
      <c r="M146" s="301">
        <v>-0.24249999999999999</v>
      </c>
      <c r="N146" s="301">
        <v>1.0999999999999999E-2</v>
      </c>
      <c r="O146" s="301">
        <v>1.2999999999999999E-2</v>
      </c>
      <c r="P146" s="298">
        <v>-1.6E-2</v>
      </c>
      <c r="Q146" s="298">
        <v>-0.03</v>
      </c>
      <c r="R146" s="298">
        <v>-7.7000000000000002E-3</v>
      </c>
      <c r="S146" s="298">
        <v>-6.8500000000000005E-2</v>
      </c>
      <c r="T146" s="298">
        <v>-0.14499999999999999</v>
      </c>
      <c r="U146" s="298">
        <v>0.88</v>
      </c>
      <c r="V146" s="298">
        <v>5.0000000000000001E-3</v>
      </c>
      <c r="W146" s="298">
        <v>-0.1875</v>
      </c>
      <c r="X146" s="298">
        <v>-1.2500000000000001E-2</v>
      </c>
      <c r="Y146" s="313">
        <v>0.10249999999999999</v>
      </c>
      <c r="Z146" s="313">
        <v>3.2500000000000001E-2</v>
      </c>
      <c r="AA146" s="445">
        <v>0.15</v>
      </c>
      <c r="AB146" s="445">
        <v>0.16500000000000001</v>
      </c>
      <c r="AC146" s="445">
        <v>0.15</v>
      </c>
      <c r="AD146" s="445">
        <v>0.15</v>
      </c>
      <c r="AE146" s="445">
        <v>0.15</v>
      </c>
      <c r="AF146" s="445">
        <v>0.15</v>
      </c>
      <c r="AG146" s="445">
        <v>0.15</v>
      </c>
      <c r="AH146" s="445">
        <v>0.15</v>
      </c>
      <c r="AI146" s="446">
        <v>0.15</v>
      </c>
      <c r="AJ146" s="446">
        <v>0.15</v>
      </c>
      <c r="AK146" s="446">
        <v>0.15</v>
      </c>
      <c r="AL146" s="445">
        <v>0.15</v>
      </c>
      <c r="AM146" s="298">
        <v>7.2357120921799994E-2</v>
      </c>
      <c r="AN146" s="298"/>
      <c r="AO146" s="313">
        <f t="shared" si="16"/>
        <v>0.16500000000000001</v>
      </c>
      <c r="AP146" s="313">
        <f t="shared" si="17"/>
        <v>0.16500000000000001</v>
      </c>
      <c r="AQ146" s="316">
        <f t="shared" si="18"/>
        <v>0.16500000000000001</v>
      </c>
      <c r="IU146" s="315">
        <f t="shared" si="14"/>
        <v>40634</v>
      </c>
      <c r="IV146" s="298">
        <v>135</v>
      </c>
    </row>
    <row r="147" spans="1:256" x14ac:dyDescent="0.25">
      <c r="A147" s="326"/>
      <c r="B147" s="303">
        <f t="shared" si="15"/>
        <v>40634</v>
      </c>
      <c r="C147" s="301">
        <v>3.133</v>
      </c>
      <c r="D147" s="301">
        <v>0.15</v>
      </c>
      <c r="E147" s="301">
        <v>7.2093431940489006E-2</v>
      </c>
      <c r="F147" s="301">
        <v>-0.19500000000000001</v>
      </c>
      <c r="G147" s="301">
        <v>1.4999999999999999E-2</v>
      </c>
      <c r="H147" s="301">
        <v>-0.19500000000000001</v>
      </c>
      <c r="I147" s="301">
        <v>0.17</v>
      </c>
      <c r="J147" s="301">
        <v>0.17</v>
      </c>
      <c r="K147" s="301">
        <v>-0.06</v>
      </c>
      <c r="L147" s="301">
        <v>-2.8000000000000001E-2</v>
      </c>
      <c r="M147" s="301">
        <v>0</v>
      </c>
      <c r="N147" s="301">
        <v>6.4999999999999997E-3</v>
      </c>
      <c r="O147" s="301">
        <v>1.0500000000000001E-2</v>
      </c>
      <c r="P147" s="298">
        <v>-1.7999999999999999E-2</v>
      </c>
      <c r="Q147" s="298">
        <v>-0.03</v>
      </c>
      <c r="R147" s="298">
        <v>-7.7000000000000002E-3</v>
      </c>
      <c r="S147" s="298">
        <v>-5.0999999999999997E-2</v>
      </c>
      <c r="T147" s="298">
        <v>-0.105</v>
      </c>
      <c r="U147" s="298">
        <v>0.37</v>
      </c>
      <c r="V147" s="298">
        <v>5.0000000000000001E-3</v>
      </c>
      <c r="W147" s="298">
        <v>-0.19</v>
      </c>
      <c r="X147" s="298">
        <v>-1.2500000000000001E-2</v>
      </c>
      <c r="Y147" s="313">
        <v>0.1875</v>
      </c>
      <c r="Z147" s="313">
        <v>2.5000000000000001E-2</v>
      </c>
      <c r="AA147" s="445">
        <v>0.15</v>
      </c>
      <c r="AB147" s="445">
        <v>0.14699999999999999</v>
      </c>
      <c r="AC147" s="445">
        <v>0.15</v>
      </c>
      <c r="AD147" s="445">
        <v>0.15</v>
      </c>
      <c r="AE147" s="445">
        <v>0.14699999999999999</v>
      </c>
      <c r="AF147" s="445">
        <v>0.15</v>
      </c>
      <c r="AG147" s="445">
        <v>0.15</v>
      </c>
      <c r="AH147" s="445">
        <v>0.15</v>
      </c>
      <c r="AI147" s="446">
        <v>0.15</v>
      </c>
      <c r="AJ147" s="446">
        <v>0.15</v>
      </c>
      <c r="AK147" s="446">
        <v>0.15</v>
      </c>
      <c r="AL147" s="445">
        <v>0.15</v>
      </c>
      <c r="AM147" s="298">
        <v>7.2360129899444001E-2</v>
      </c>
      <c r="AN147" s="298"/>
      <c r="AO147" s="313">
        <f t="shared" si="16"/>
        <v>0.14699999999999999</v>
      </c>
      <c r="AP147" s="313">
        <f t="shared" si="17"/>
        <v>0.14699999999999999</v>
      </c>
      <c r="AQ147" s="316">
        <f t="shared" si="18"/>
        <v>0.14699999999999999</v>
      </c>
      <c r="IU147" s="315">
        <f t="shared" si="14"/>
        <v>40664</v>
      </c>
      <c r="IV147" s="298">
        <v>136</v>
      </c>
    </row>
    <row r="148" spans="1:256" x14ac:dyDescent="0.25">
      <c r="A148" s="326"/>
      <c r="B148" s="303">
        <f t="shared" si="15"/>
        <v>40664</v>
      </c>
      <c r="C148" s="301">
        <v>3.1635</v>
      </c>
      <c r="D148" s="301">
        <v>0.15</v>
      </c>
      <c r="E148" s="301">
        <v>7.2095054725174995E-2</v>
      </c>
      <c r="F148" s="301">
        <v>-0.19500000000000001</v>
      </c>
      <c r="G148" s="301">
        <v>1.4999999999999999E-2</v>
      </c>
      <c r="H148" s="301">
        <v>-0.19500000000000001</v>
      </c>
      <c r="I148" s="301">
        <v>0.17299999999999999</v>
      </c>
      <c r="J148" s="301">
        <v>0.155</v>
      </c>
      <c r="K148" s="301">
        <v>-3.5000000000000003E-2</v>
      </c>
      <c r="L148" s="301">
        <v>-3.0000000000000001E-3</v>
      </c>
      <c r="M148" s="301">
        <v>0</v>
      </c>
      <c r="N148" s="301">
        <v>6.4999999999999997E-3</v>
      </c>
      <c r="O148" s="301">
        <v>1.0500000000000001E-2</v>
      </c>
      <c r="P148" s="298">
        <v>-1.7999999999999999E-2</v>
      </c>
      <c r="Q148" s="298">
        <v>-0.03</v>
      </c>
      <c r="R148" s="298">
        <v>-7.7499999999999999E-3</v>
      </c>
      <c r="S148" s="298">
        <v>-5.3499999999999999E-2</v>
      </c>
      <c r="T148" s="298">
        <v>-0.105</v>
      </c>
      <c r="U148" s="298">
        <v>0.2525</v>
      </c>
      <c r="V148" s="298">
        <v>5.0000000000000001E-3</v>
      </c>
      <c r="W148" s="298">
        <v>-0.19</v>
      </c>
      <c r="X148" s="298">
        <v>-8.9999999999999993E-3</v>
      </c>
      <c r="Y148" s="313">
        <v>0.1875</v>
      </c>
      <c r="Z148" s="313">
        <v>0</v>
      </c>
      <c r="AA148" s="445">
        <v>0.15</v>
      </c>
      <c r="AB148" s="445">
        <v>0.14699999999999999</v>
      </c>
      <c r="AC148" s="445">
        <v>0.15</v>
      </c>
      <c r="AD148" s="445">
        <v>0.15</v>
      </c>
      <c r="AE148" s="445">
        <v>0.14699999999999999</v>
      </c>
      <c r="AF148" s="445">
        <v>0.15</v>
      </c>
      <c r="AG148" s="445">
        <v>0.15</v>
      </c>
      <c r="AH148" s="445">
        <v>0.15</v>
      </c>
      <c r="AI148" s="446">
        <v>0.15</v>
      </c>
      <c r="AJ148" s="446">
        <v>0.15</v>
      </c>
      <c r="AK148" s="446">
        <v>0.15</v>
      </c>
      <c r="AL148" s="445">
        <v>0.15</v>
      </c>
      <c r="AM148" s="298">
        <v>7.2363041813296003E-2</v>
      </c>
      <c r="AN148" s="298"/>
      <c r="AO148" s="313">
        <f t="shared" si="16"/>
        <v>0.14699999999999999</v>
      </c>
      <c r="AP148" s="313">
        <f t="shared" si="17"/>
        <v>0.14699999999999999</v>
      </c>
      <c r="AQ148" s="316">
        <f t="shared" si="18"/>
        <v>0.14699999999999999</v>
      </c>
      <c r="IU148" s="315">
        <f t="shared" si="14"/>
        <v>40695</v>
      </c>
      <c r="IV148" s="298">
        <v>137</v>
      </c>
    </row>
    <row r="149" spans="1:256" x14ac:dyDescent="0.25">
      <c r="A149" s="326"/>
      <c r="B149" s="303">
        <f t="shared" si="15"/>
        <v>40695</v>
      </c>
      <c r="C149" s="301">
        <v>3.1785000000000001</v>
      </c>
      <c r="D149" s="301">
        <v>0.15</v>
      </c>
      <c r="E149" s="301">
        <v>7.2096731602685996E-2</v>
      </c>
      <c r="F149" s="301">
        <v>-0.19500000000000001</v>
      </c>
      <c r="G149" s="301">
        <v>0.02</v>
      </c>
      <c r="H149" s="301">
        <v>-0.19500000000000001</v>
      </c>
      <c r="I149" s="301">
        <v>0.16800000000000001</v>
      </c>
      <c r="J149" s="301">
        <v>0.155</v>
      </c>
      <c r="K149" s="301">
        <v>-3.2500000000000001E-2</v>
      </c>
      <c r="L149" s="301">
        <v>-5.0000000000000001E-4</v>
      </c>
      <c r="M149" s="301">
        <v>0</v>
      </c>
      <c r="N149" s="301">
        <v>6.4999999999999997E-3</v>
      </c>
      <c r="O149" s="301">
        <v>1.0500000000000001E-2</v>
      </c>
      <c r="P149" s="298">
        <v>-1.55E-2</v>
      </c>
      <c r="Q149" s="298">
        <v>-0.03</v>
      </c>
      <c r="R149" s="298">
        <v>-7.7499999999999999E-3</v>
      </c>
      <c r="S149" s="298">
        <v>-4.3499999999999997E-2</v>
      </c>
      <c r="T149" s="298">
        <v>-0.105</v>
      </c>
      <c r="U149" s="298">
        <v>0.2525</v>
      </c>
      <c r="V149" s="298">
        <v>5.0000000000000001E-3</v>
      </c>
      <c r="W149" s="298">
        <v>-0.19</v>
      </c>
      <c r="X149" s="298">
        <v>-1.15E-2</v>
      </c>
      <c r="Y149" s="313">
        <v>0.1875</v>
      </c>
      <c r="Z149" s="313">
        <v>0</v>
      </c>
      <c r="AA149" s="445">
        <v>0.15</v>
      </c>
      <c r="AB149" s="445">
        <v>0.14699999999999999</v>
      </c>
      <c r="AC149" s="445">
        <v>0.15</v>
      </c>
      <c r="AD149" s="445">
        <v>0.15</v>
      </c>
      <c r="AE149" s="445">
        <v>0.14699999999999999</v>
      </c>
      <c r="AF149" s="445">
        <v>0.15</v>
      </c>
      <c r="AG149" s="445">
        <v>0.15</v>
      </c>
      <c r="AH149" s="445">
        <v>0.15</v>
      </c>
      <c r="AI149" s="446">
        <v>0.15</v>
      </c>
      <c r="AJ149" s="446">
        <v>0.15</v>
      </c>
      <c r="AK149" s="446">
        <v>0.15</v>
      </c>
      <c r="AL149" s="445">
        <v>0.15</v>
      </c>
      <c r="AM149" s="298">
        <v>7.2366050790945005E-2</v>
      </c>
      <c r="AN149" s="298"/>
      <c r="AO149" s="313">
        <f t="shared" si="16"/>
        <v>0.14699999999999999</v>
      </c>
      <c r="AP149" s="313">
        <f t="shared" si="17"/>
        <v>0.14699999999999999</v>
      </c>
      <c r="AQ149" s="316">
        <f t="shared" si="18"/>
        <v>0.14699999999999999</v>
      </c>
      <c r="IU149" s="315">
        <f t="shared" si="14"/>
        <v>40725</v>
      </c>
      <c r="IV149" s="298">
        <v>138</v>
      </c>
    </row>
    <row r="150" spans="1:256" x14ac:dyDescent="0.25">
      <c r="A150" s="326"/>
      <c r="B150" s="303">
        <f t="shared" si="15"/>
        <v>40725</v>
      </c>
      <c r="C150" s="301">
        <v>3.1815000000000002</v>
      </c>
      <c r="D150" s="301">
        <v>0.15</v>
      </c>
      <c r="E150" s="301">
        <v>7.2098354387373997E-2</v>
      </c>
      <c r="F150" s="301">
        <v>-0.19500000000000001</v>
      </c>
      <c r="G150" s="301">
        <v>2.2499999999999999E-2</v>
      </c>
      <c r="H150" s="301">
        <v>-0.19500000000000001</v>
      </c>
      <c r="I150" s="301">
        <v>0.157</v>
      </c>
      <c r="J150" s="301">
        <v>0.155</v>
      </c>
      <c r="K150" s="301">
        <v>-3.2500000000000001E-2</v>
      </c>
      <c r="L150" s="301">
        <v>-5.0000000000000001E-4</v>
      </c>
      <c r="M150" s="301">
        <v>0</v>
      </c>
      <c r="N150" s="301">
        <v>6.4999999999999997E-3</v>
      </c>
      <c r="O150" s="301">
        <v>1.0500000000000001E-2</v>
      </c>
      <c r="P150" s="298">
        <v>-1.55E-2</v>
      </c>
      <c r="Q150" s="298">
        <v>-0.03</v>
      </c>
      <c r="R150" s="298">
        <v>-7.7499999999999999E-3</v>
      </c>
      <c r="S150" s="298">
        <v>-4.3499999999999997E-2</v>
      </c>
      <c r="T150" s="298">
        <v>-0.105</v>
      </c>
      <c r="U150" s="298">
        <v>0.25750000000000001</v>
      </c>
      <c r="V150" s="298">
        <v>5.0000000000000001E-3</v>
      </c>
      <c r="W150" s="298">
        <v>-0.19</v>
      </c>
      <c r="X150" s="298">
        <v>-1.15E-2</v>
      </c>
      <c r="Y150" s="313">
        <v>0.1875</v>
      </c>
      <c r="Z150" s="313">
        <v>0</v>
      </c>
      <c r="AA150" s="445">
        <v>0.15</v>
      </c>
      <c r="AB150" s="445">
        <v>0.14699999999999999</v>
      </c>
      <c r="AC150" s="445">
        <v>0.15</v>
      </c>
      <c r="AD150" s="445">
        <v>0.15</v>
      </c>
      <c r="AE150" s="445">
        <v>0.14699999999999999</v>
      </c>
      <c r="AF150" s="445">
        <v>0.15</v>
      </c>
      <c r="AG150" s="445">
        <v>0.15</v>
      </c>
      <c r="AH150" s="445">
        <v>0.15</v>
      </c>
      <c r="AI150" s="446">
        <v>0.15</v>
      </c>
      <c r="AJ150" s="446">
        <v>0.15</v>
      </c>
      <c r="AK150" s="446">
        <v>0.15</v>
      </c>
      <c r="AL150" s="445">
        <v>0.15</v>
      </c>
      <c r="AM150" s="298">
        <v>7.2368962704803003E-2</v>
      </c>
      <c r="AN150" s="298"/>
      <c r="AO150" s="313">
        <f t="shared" si="16"/>
        <v>0.14699999999999999</v>
      </c>
      <c r="AP150" s="313">
        <f t="shared" si="17"/>
        <v>0.14699999999999999</v>
      </c>
      <c r="AQ150" s="316">
        <f t="shared" si="18"/>
        <v>0.14699999999999999</v>
      </c>
      <c r="IU150" s="315">
        <f t="shared" si="14"/>
        <v>40756</v>
      </c>
      <c r="IV150" s="298">
        <v>139</v>
      </c>
    </row>
    <row r="151" spans="1:256" x14ac:dyDescent="0.25">
      <c r="A151" s="326"/>
      <c r="B151" s="303">
        <f t="shared" si="15"/>
        <v>40756</v>
      </c>
      <c r="C151" s="301">
        <v>3.1875</v>
      </c>
      <c r="D151" s="301">
        <v>0.15</v>
      </c>
      <c r="E151" s="301">
        <v>7.2100031264885997E-2</v>
      </c>
      <c r="F151" s="301">
        <v>-0.19500000000000001</v>
      </c>
      <c r="G151" s="301">
        <v>2.5000000000000001E-2</v>
      </c>
      <c r="H151" s="301">
        <v>-0.19500000000000001</v>
      </c>
      <c r="I151" s="301">
        <v>0.155</v>
      </c>
      <c r="J151" s="301">
        <v>0.155</v>
      </c>
      <c r="K151" s="301">
        <v>-3.2500000000000001E-2</v>
      </c>
      <c r="L151" s="301">
        <v>-5.0000000000000001E-4</v>
      </c>
      <c r="M151" s="301">
        <v>0</v>
      </c>
      <c r="N151" s="301">
        <v>6.4999999999999997E-3</v>
      </c>
      <c r="O151" s="301">
        <v>1.0500000000000001E-2</v>
      </c>
      <c r="P151" s="298">
        <v>-1.55E-2</v>
      </c>
      <c r="Q151" s="298">
        <v>-0.03</v>
      </c>
      <c r="R151" s="298">
        <v>-5.2500000000000003E-3</v>
      </c>
      <c r="S151" s="298">
        <v>-4.3499999999999997E-2</v>
      </c>
      <c r="T151" s="298">
        <v>-0.105</v>
      </c>
      <c r="U151" s="298">
        <v>0.25750000000000001</v>
      </c>
      <c r="V151" s="298">
        <v>5.0000000000000001E-3</v>
      </c>
      <c r="W151" s="298">
        <v>-0.19</v>
      </c>
      <c r="X151" s="298">
        <v>-1.15E-2</v>
      </c>
      <c r="Y151" s="313">
        <v>0.1875</v>
      </c>
      <c r="Z151" s="313">
        <v>0</v>
      </c>
      <c r="AA151" s="445">
        <v>0.15</v>
      </c>
      <c r="AB151" s="445">
        <v>0.14699999999999999</v>
      </c>
      <c r="AC151" s="445">
        <v>0.15</v>
      </c>
      <c r="AD151" s="445">
        <v>0.15</v>
      </c>
      <c r="AE151" s="445">
        <v>0.14699999999999999</v>
      </c>
      <c r="AF151" s="445">
        <v>0.15</v>
      </c>
      <c r="AG151" s="445">
        <v>0.15</v>
      </c>
      <c r="AH151" s="445">
        <v>0.15</v>
      </c>
      <c r="AI151" s="446">
        <v>0.15</v>
      </c>
      <c r="AJ151" s="446">
        <v>0.15</v>
      </c>
      <c r="AK151" s="446">
        <v>0.15</v>
      </c>
      <c r="AL151" s="445">
        <v>0.15</v>
      </c>
      <c r="AM151" s="298">
        <v>7.2371971682458E-2</v>
      </c>
      <c r="AN151" s="298"/>
      <c r="AO151" s="313">
        <f t="shared" si="16"/>
        <v>0.14699999999999999</v>
      </c>
      <c r="AP151" s="313">
        <f t="shared" si="17"/>
        <v>0.14699999999999999</v>
      </c>
      <c r="AQ151" s="316">
        <f t="shared" si="18"/>
        <v>0.14699999999999999</v>
      </c>
      <c r="IU151" s="315">
        <f t="shared" si="14"/>
        <v>40787</v>
      </c>
      <c r="IV151" s="298">
        <v>140</v>
      </c>
    </row>
    <row r="152" spans="1:256" x14ac:dyDescent="0.25">
      <c r="A152" s="326"/>
      <c r="B152" s="303">
        <f t="shared" si="15"/>
        <v>40787</v>
      </c>
      <c r="C152" s="301">
        <v>3.1835</v>
      </c>
      <c r="D152" s="301">
        <v>0.15</v>
      </c>
      <c r="E152" s="301">
        <v>7.2101708142398996E-2</v>
      </c>
      <c r="F152" s="301">
        <v>-0.19500000000000001</v>
      </c>
      <c r="G152" s="301">
        <v>1.7500000000000002E-2</v>
      </c>
      <c r="H152" s="301">
        <v>-0.19500000000000001</v>
      </c>
      <c r="I152" s="301">
        <v>0.152</v>
      </c>
      <c r="J152" s="301">
        <v>0.155</v>
      </c>
      <c r="K152" s="301">
        <v>-3.5000000000000003E-2</v>
      </c>
      <c r="L152" s="301">
        <v>-3.0000000000000001E-3</v>
      </c>
      <c r="M152" s="301">
        <v>0</v>
      </c>
      <c r="N152" s="301">
        <v>6.4999999999999997E-3</v>
      </c>
      <c r="O152" s="301">
        <v>1.0500000000000001E-2</v>
      </c>
      <c r="P152" s="298">
        <v>-1.55E-2</v>
      </c>
      <c r="Q152" s="298">
        <v>-0.03</v>
      </c>
      <c r="R152" s="298">
        <v>-5.2500000000000003E-3</v>
      </c>
      <c r="S152" s="298">
        <v>-5.0999999999999997E-2</v>
      </c>
      <c r="T152" s="298">
        <v>-0.105</v>
      </c>
      <c r="U152" s="298">
        <v>0.2525</v>
      </c>
      <c r="V152" s="298">
        <v>5.0000000000000001E-3</v>
      </c>
      <c r="W152" s="298">
        <v>-0.19</v>
      </c>
      <c r="X152" s="298">
        <v>-1.4E-2</v>
      </c>
      <c r="Y152" s="313">
        <v>0.1875</v>
      </c>
      <c r="Z152" s="313">
        <v>0</v>
      </c>
      <c r="AA152" s="445">
        <v>0.15</v>
      </c>
      <c r="AB152" s="445">
        <v>0.14699999999999999</v>
      </c>
      <c r="AC152" s="445">
        <v>0.15</v>
      </c>
      <c r="AD152" s="445">
        <v>0.15</v>
      </c>
      <c r="AE152" s="445">
        <v>0.14699999999999999</v>
      </c>
      <c r="AF152" s="445">
        <v>0.15</v>
      </c>
      <c r="AG152" s="445">
        <v>0.15</v>
      </c>
      <c r="AH152" s="445">
        <v>0.15</v>
      </c>
      <c r="AI152" s="446">
        <v>0.15</v>
      </c>
      <c r="AJ152" s="446">
        <v>0.15</v>
      </c>
      <c r="AK152" s="446">
        <v>0.15</v>
      </c>
      <c r="AL152" s="445">
        <v>0.15</v>
      </c>
      <c r="AM152" s="298">
        <v>7.2374980660116994E-2</v>
      </c>
      <c r="AN152" s="298"/>
      <c r="AO152" s="313">
        <f t="shared" si="16"/>
        <v>0.14699999999999999</v>
      </c>
      <c r="AP152" s="313">
        <f t="shared" si="17"/>
        <v>0.14699999999999999</v>
      </c>
      <c r="AQ152" s="316">
        <f t="shared" si="18"/>
        <v>0.14699999999999999</v>
      </c>
      <c r="IU152" s="315">
        <f t="shared" si="14"/>
        <v>40817</v>
      </c>
      <c r="IV152" s="298">
        <v>141</v>
      </c>
    </row>
    <row r="153" spans="1:256" x14ac:dyDescent="0.25">
      <c r="A153" s="326"/>
      <c r="B153" s="303">
        <f t="shared" si="15"/>
        <v>40817</v>
      </c>
      <c r="C153" s="301">
        <v>3.2025000000000001</v>
      </c>
      <c r="D153" s="301">
        <v>0.15</v>
      </c>
      <c r="E153" s="301">
        <v>7.2103330927089995E-2</v>
      </c>
      <c r="F153" s="301">
        <v>-0.19500000000000001</v>
      </c>
      <c r="G153" s="301">
        <v>7.4999999999999997E-3</v>
      </c>
      <c r="H153" s="301">
        <v>-0.19500000000000001</v>
      </c>
      <c r="I153" s="301">
        <v>0.16800000000000001</v>
      </c>
      <c r="J153" s="301">
        <v>0.1575</v>
      </c>
      <c r="K153" s="301">
        <v>-3.5000000000000003E-2</v>
      </c>
      <c r="L153" s="301">
        <v>-3.0000000000000001E-3</v>
      </c>
      <c r="M153" s="301">
        <v>0</v>
      </c>
      <c r="N153" s="301">
        <v>6.4999999999999997E-3</v>
      </c>
      <c r="O153" s="301">
        <v>1.0500000000000001E-2</v>
      </c>
      <c r="P153" s="298">
        <v>-1.55E-2</v>
      </c>
      <c r="Q153" s="298">
        <v>-0.03</v>
      </c>
      <c r="R153" s="298">
        <v>-2.5999999999999999E-2</v>
      </c>
      <c r="S153" s="298">
        <v>-5.0999999999999997E-2</v>
      </c>
      <c r="T153" s="298">
        <v>-0.105</v>
      </c>
      <c r="U153" s="298">
        <v>0.255</v>
      </c>
      <c r="V153" s="298">
        <v>5.0000000000000001E-3</v>
      </c>
      <c r="W153" s="298">
        <v>-0.19</v>
      </c>
      <c r="X153" s="298">
        <v>-1.4E-2</v>
      </c>
      <c r="Y153" s="313">
        <v>0.1875</v>
      </c>
      <c r="Z153" s="313">
        <v>0</v>
      </c>
      <c r="AA153" s="445">
        <v>0.15</v>
      </c>
      <c r="AB153" s="445">
        <v>0.14699999999999999</v>
      </c>
      <c r="AC153" s="445">
        <v>0.15</v>
      </c>
      <c r="AD153" s="445">
        <v>0.15</v>
      </c>
      <c r="AE153" s="445">
        <v>0.14699999999999999</v>
      </c>
      <c r="AF153" s="445">
        <v>0.15</v>
      </c>
      <c r="AG153" s="445">
        <v>0.15</v>
      </c>
      <c r="AH153" s="445">
        <v>0.15</v>
      </c>
      <c r="AI153" s="446">
        <v>0.15</v>
      </c>
      <c r="AJ153" s="446">
        <v>0.15</v>
      </c>
      <c r="AK153" s="446">
        <v>0.15</v>
      </c>
      <c r="AL153" s="445">
        <v>0.15</v>
      </c>
      <c r="AM153" s="298">
        <v>7.2377892573982E-2</v>
      </c>
      <c r="AN153" s="298"/>
      <c r="AO153" s="313">
        <f t="shared" si="16"/>
        <v>0.14699999999999999</v>
      </c>
      <c r="AP153" s="313">
        <f t="shared" si="17"/>
        <v>0.14699999999999999</v>
      </c>
      <c r="AQ153" s="316">
        <f t="shared" si="18"/>
        <v>0.14699999999999999</v>
      </c>
      <c r="IU153" s="315">
        <f t="shared" si="14"/>
        <v>40848</v>
      </c>
      <c r="IV153" s="298">
        <v>142</v>
      </c>
    </row>
    <row r="154" spans="1:256" x14ac:dyDescent="0.25">
      <c r="A154" s="326"/>
      <c r="B154" s="303">
        <f t="shared" si="15"/>
        <v>40848</v>
      </c>
      <c r="C154" s="301">
        <v>3.2955000000000001</v>
      </c>
      <c r="D154" s="301">
        <v>0.15</v>
      </c>
      <c r="E154" s="301">
        <v>7.2105007804605006E-2</v>
      </c>
      <c r="F154" s="301">
        <v>-0.19</v>
      </c>
      <c r="G154" s="301">
        <v>-3.2500000000000001E-2</v>
      </c>
      <c r="H154" s="301">
        <v>-0.19</v>
      </c>
      <c r="I154" s="301">
        <v>0.245</v>
      </c>
      <c r="J154" s="301">
        <v>0.24</v>
      </c>
      <c r="K154" s="301">
        <v>-4.65E-2</v>
      </c>
      <c r="L154" s="301">
        <v>-8.0000000000000002E-3</v>
      </c>
      <c r="M154" s="301">
        <v>0</v>
      </c>
      <c r="N154" s="301">
        <v>1.0999999999999999E-2</v>
      </c>
      <c r="O154" s="301">
        <v>1.4999999999999999E-2</v>
      </c>
      <c r="P154" s="298">
        <v>-1.8499999999999999E-2</v>
      </c>
      <c r="Q154" s="298">
        <v>-0.03</v>
      </c>
      <c r="R154" s="298">
        <v>-2.5000000000000001E-2</v>
      </c>
      <c r="S154" s="298">
        <v>-6.6000000000000003E-2</v>
      </c>
      <c r="T154" s="298">
        <v>-0.14499999999999999</v>
      </c>
      <c r="U154" s="298">
        <v>0.72499999999999998</v>
      </c>
      <c r="V154" s="298">
        <v>5.0000000000000001E-3</v>
      </c>
      <c r="W154" s="298">
        <v>-0.19</v>
      </c>
      <c r="X154" s="298">
        <v>-1.15E-2</v>
      </c>
      <c r="Y154" s="313">
        <v>0.1</v>
      </c>
      <c r="Z154" s="313">
        <v>0</v>
      </c>
      <c r="AA154" s="445">
        <v>0.15</v>
      </c>
      <c r="AB154" s="445">
        <v>0.16500000000000001</v>
      </c>
      <c r="AC154" s="445">
        <v>0.15</v>
      </c>
      <c r="AD154" s="445">
        <v>0.15</v>
      </c>
      <c r="AE154" s="445">
        <v>0.15</v>
      </c>
      <c r="AF154" s="445">
        <v>0.15</v>
      </c>
      <c r="AG154" s="445">
        <v>0.15</v>
      </c>
      <c r="AH154" s="445">
        <v>0.15</v>
      </c>
      <c r="AI154" s="446">
        <v>0.15</v>
      </c>
      <c r="AJ154" s="446">
        <v>0.15</v>
      </c>
      <c r="AK154" s="446">
        <v>0.15</v>
      </c>
      <c r="AL154" s="445">
        <v>0.15</v>
      </c>
      <c r="AM154" s="298">
        <v>7.2380901551647003E-2</v>
      </c>
      <c r="AN154" s="298"/>
      <c r="AO154" s="313">
        <f t="shared" si="16"/>
        <v>0.16500000000000001</v>
      </c>
      <c r="AP154" s="313">
        <f t="shared" si="17"/>
        <v>0.16500000000000001</v>
      </c>
      <c r="AQ154" s="316">
        <f t="shared" si="18"/>
        <v>0.16500000000000001</v>
      </c>
      <c r="IU154" s="315">
        <f t="shared" si="14"/>
        <v>40878</v>
      </c>
      <c r="IV154" s="298">
        <v>143</v>
      </c>
    </row>
    <row r="155" spans="1:256" x14ac:dyDescent="0.25">
      <c r="A155" s="326"/>
      <c r="B155" s="303">
        <f t="shared" si="15"/>
        <v>40878</v>
      </c>
      <c r="C155" s="301">
        <v>3.3944999999999999</v>
      </c>
      <c r="D155" s="301">
        <v>0.15</v>
      </c>
      <c r="E155" s="301">
        <v>7.2106630589297005E-2</v>
      </c>
      <c r="F155" s="301">
        <v>-0.19750000000000001</v>
      </c>
      <c r="G155" s="301">
        <v>-5.5E-2</v>
      </c>
      <c r="H155" s="301">
        <v>-0.19750000000000001</v>
      </c>
      <c r="I155" s="301">
        <v>0.28499999999999998</v>
      </c>
      <c r="J155" s="301">
        <v>0.29499999999999998</v>
      </c>
      <c r="K155" s="301">
        <v>-4.65E-2</v>
      </c>
      <c r="L155" s="301">
        <v>-1.0500000000000001E-2</v>
      </c>
      <c r="M155" s="301">
        <v>0</v>
      </c>
      <c r="N155" s="301">
        <v>1.0999999999999999E-2</v>
      </c>
      <c r="O155" s="301">
        <v>1.4999999999999999E-2</v>
      </c>
      <c r="P155" s="298">
        <v>-1.8499999999999999E-2</v>
      </c>
      <c r="Q155" s="298">
        <v>-0.03</v>
      </c>
      <c r="R155" s="298">
        <v>-2.5000000000000001E-2</v>
      </c>
      <c r="S155" s="298">
        <v>-8.1000000000000003E-2</v>
      </c>
      <c r="T155" s="298">
        <v>-0.14499999999999999</v>
      </c>
      <c r="U155" s="298">
        <v>1.0449999999999999</v>
      </c>
      <c r="V155" s="298">
        <v>5.0000000000000001E-3</v>
      </c>
      <c r="W155" s="298">
        <v>-0.19</v>
      </c>
      <c r="X155" s="298">
        <v>-1.15E-2</v>
      </c>
      <c r="Y155" s="313">
        <v>0.1</v>
      </c>
      <c r="Z155" s="313">
        <v>0</v>
      </c>
      <c r="AA155" s="445">
        <v>0.15</v>
      </c>
      <c r="AB155" s="445">
        <v>0.16500000000000001</v>
      </c>
      <c r="AC155" s="445">
        <v>0.15</v>
      </c>
      <c r="AD155" s="445">
        <v>0.15</v>
      </c>
      <c r="AE155" s="445">
        <v>0.15</v>
      </c>
      <c r="AF155" s="445">
        <v>0.15</v>
      </c>
      <c r="AG155" s="445">
        <v>0.15</v>
      </c>
      <c r="AH155" s="445">
        <v>0.15</v>
      </c>
      <c r="AI155" s="446">
        <v>0.15</v>
      </c>
      <c r="AJ155" s="446">
        <v>0.15</v>
      </c>
      <c r="AK155" s="446">
        <v>0.15</v>
      </c>
      <c r="AL155" s="445">
        <v>0.15</v>
      </c>
      <c r="AM155" s="298">
        <v>7.2383813465518004E-2</v>
      </c>
      <c r="AN155" s="298"/>
      <c r="AO155" s="313">
        <f t="shared" si="16"/>
        <v>0.16500000000000001</v>
      </c>
      <c r="AP155" s="313">
        <f t="shared" si="17"/>
        <v>0.16500000000000001</v>
      </c>
      <c r="AQ155" s="316">
        <f t="shared" si="18"/>
        <v>0.16500000000000001</v>
      </c>
      <c r="IU155" s="315">
        <f t="shared" si="14"/>
        <v>40909</v>
      </c>
      <c r="IV155" s="298">
        <v>144</v>
      </c>
    </row>
    <row r="156" spans="1:256" x14ac:dyDescent="0.25">
      <c r="A156" s="326"/>
      <c r="B156" s="303">
        <f t="shared" si="15"/>
        <v>40909</v>
      </c>
      <c r="C156" s="301">
        <v>3.4430000000000001</v>
      </c>
      <c r="D156" s="301">
        <v>0.15</v>
      </c>
      <c r="E156" s="301">
        <v>7.2108307466814001E-2</v>
      </c>
      <c r="F156" s="301">
        <v>-0.2</v>
      </c>
      <c r="G156" s="301">
        <v>-5.7500000000000002E-2</v>
      </c>
      <c r="H156" s="301">
        <v>-0.2</v>
      </c>
      <c r="I156" s="301">
        <v>0.29499999999999998</v>
      </c>
      <c r="J156" s="301">
        <v>0.34250000000000003</v>
      </c>
      <c r="K156" s="301">
        <v>-5.0500000000000003E-2</v>
      </c>
      <c r="L156" s="301">
        <v>-4.4999999999999997E-3</v>
      </c>
      <c r="M156" s="301">
        <v>0</v>
      </c>
      <c r="N156" s="301">
        <v>1.0999999999999999E-2</v>
      </c>
      <c r="O156" s="301">
        <v>1.4999999999999999E-2</v>
      </c>
      <c r="P156" s="298">
        <v>-1.4E-2</v>
      </c>
      <c r="Q156" s="298">
        <v>-0.03</v>
      </c>
      <c r="R156" s="298">
        <v>-2.5000000000000001E-2</v>
      </c>
      <c r="S156" s="298">
        <v>-9.1499999999999998E-2</v>
      </c>
      <c r="T156" s="298">
        <v>-0.14499999999999999</v>
      </c>
      <c r="U156" s="298">
        <v>1.52</v>
      </c>
      <c r="V156" s="298">
        <v>5.0000000000000001E-3</v>
      </c>
      <c r="W156" s="298">
        <v>-0.19</v>
      </c>
      <c r="X156" s="298">
        <v>-1.15E-2</v>
      </c>
      <c r="Y156" s="313">
        <v>0.1</v>
      </c>
      <c r="Z156" s="313">
        <v>0</v>
      </c>
      <c r="AA156" s="445">
        <v>0.15</v>
      </c>
      <c r="AB156" s="445">
        <v>0.15</v>
      </c>
      <c r="AC156" s="445">
        <v>0.15</v>
      </c>
      <c r="AD156" s="445">
        <v>0.15</v>
      </c>
      <c r="AE156" s="445">
        <v>0.15</v>
      </c>
      <c r="AF156" s="445">
        <v>0.15</v>
      </c>
      <c r="AG156" s="445">
        <v>0.15</v>
      </c>
      <c r="AH156" s="445">
        <v>0.15</v>
      </c>
      <c r="AI156" s="446">
        <v>0.15</v>
      </c>
      <c r="AJ156" s="446">
        <v>0.15</v>
      </c>
      <c r="AK156" s="446">
        <v>0.15</v>
      </c>
      <c r="AL156" s="445">
        <v>0.15</v>
      </c>
      <c r="AM156" s="298">
        <v>7.2386822443189003E-2</v>
      </c>
      <c r="AN156" s="298"/>
      <c r="AO156" s="313">
        <f t="shared" si="16"/>
        <v>0.15</v>
      </c>
      <c r="AP156" s="313">
        <f t="shared" si="17"/>
        <v>0.15</v>
      </c>
      <c r="AQ156" s="316">
        <f t="shared" si="18"/>
        <v>0.15</v>
      </c>
      <c r="IU156" s="315">
        <f t="shared" si="14"/>
        <v>40940</v>
      </c>
      <c r="IV156" s="298">
        <v>145</v>
      </c>
    </row>
    <row r="157" spans="1:256" x14ac:dyDescent="0.25">
      <c r="A157" s="326"/>
      <c r="B157" s="303">
        <f t="shared" si="15"/>
        <v>40940</v>
      </c>
      <c r="C157" s="301">
        <v>3.3660000000000001</v>
      </c>
      <c r="D157" s="301">
        <v>0.15</v>
      </c>
      <c r="E157" s="301">
        <v>7.2109984344330996E-2</v>
      </c>
      <c r="F157" s="301">
        <v>-0.20250000000000001</v>
      </c>
      <c r="G157" s="301">
        <v>-0.04</v>
      </c>
      <c r="H157" s="301">
        <v>-0.20250000000000001</v>
      </c>
      <c r="I157" s="301">
        <v>0.27</v>
      </c>
      <c r="J157" s="301">
        <v>0.33750000000000002</v>
      </c>
      <c r="K157" s="301">
        <v>-4.65E-2</v>
      </c>
      <c r="L157" s="301">
        <v>-1.0500000000000001E-2</v>
      </c>
      <c r="M157" s="301">
        <v>0</v>
      </c>
      <c r="N157" s="301">
        <v>1.0999999999999999E-2</v>
      </c>
      <c r="O157" s="301">
        <v>1.4999999999999999E-2</v>
      </c>
      <c r="P157" s="298">
        <v>-1.4E-2</v>
      </c>
      <c r="Q157" s="298">
        <v>-0.03</v>
      </c>
      <c r="R157" s="298">
        <v>-2.5000000000000001E-2</v>
      </c>
      <c r="S157" s="298">
        <v>-7.9000000000000001E-2</v>
      </c>
      <c r="T157" s="298">
        <v>-0.14499999999999999</v>
      </c>
      <c r="U157" s="298">
        <v>1.4</v>
      </c>
      <c r="V157" s="298">
        <v>5.0000000000000001E-3</v>
      </c>
      <c r="W157" s="298">
        <v>-0.19</v>
      </c>
      <c r="X157" s="298">
        <v>-1.15E-2</v>
      </c>
      <c r="Y157" s="313">
        <v>0.1</v>
      </c>
      <c r="Z157" s="313">
        <v>0</v>
      </c>
      <c r="AA157" s="445">
        <v>0.15</v>
      </c>
      <c r="AB157" s="445">
        <v>0.16500000000000001</v>
      </c>
      <c r="AC157" s="445">
        <v>0.15</v>
      </c>
      <c r="AD157" s="445">
        <v>0.15</v>
      </c>
      <c r="AE157" s="445">
        <v>0.15</v>
      </c>
      <c r="AF157" s="445">
        <v>0.15</v>
      </c>
      <c r="AG157" s="445">
        <v>0.15</v>
      </c>
      <c r="AH157" s="445">
        <v>0.15</v>
      </c>
      <c r="AI157" s="446">
        <v>0.15</v>
      </c>
      <c r="AJ157" s="446">
        <v>0.15</v>
      </c>
      <c r="AK157" s="446">
        <v>0.15</v>
      </c>
      <c r="AL157" s="445">
        <v>0.15</v>
      </c>
      <c r="AM157" s="298">
        <v>7.2389831420862E-2</v>
      </c>
      <c r="AN157" s="298"/>
      <c r="AO157" s="313">
        <f t="shared" si="16"/>
        <v>0.16500000000000001</v>
      </c>
      <c r="AP157" s="313">
        <f t="shared" si="17"/>
        <v>0.16500000000000001</v>
      </c>
      <c r="AQ157" s="316">
        <f t="shared" si="18"/>
        <v>0.16500000000000001</v>
      </c>
      <c r="IU157" s="315">
        <f t="shared" si="14"/>
        <v>0</v>
      </c>
      <c r="IV157" s="298">
        <v>146</v>
      </c>
    </row>
    <row r="158" spans="1:256" x14ac:dyDescent="0.25">
      <c r="A158" s="326"/>
      <c r="B158" s="321"/>
      <c r="C158" s="301">
        <v>3.278</v>
      </c>
      <c r="D158" s="301">
        <v>0.15</v>
      </c>
      <c r="E158" s="301">
        <v>7.2111553036204007E-2</v>
      </c>
      <c r="F158" s="301">
        <v>-0.20499999999999999</v>
      </c>
      <c r="G158" s="301">
        <v>-2.75E-2</v>
      </c>
      <c r="H158" s="301">
        <v>-0.20499999999999999</v>
      </c>
      <c r="I158" s="301">
        <v>0.26700000000000002</v>
      </c>
      <c r="J158" s="301">
        <v>0.26</v>
      </c>
      <c r="K158" s="301">
        <v>-4.8000000000000001E-2</v>
      </c>
      <c r="L158" s="301">
        <v>-1.35E-2</v>
      </c>
      <c r="M158" s="301">
        <v>0</v>
      </c>
      <c r="N158" s="301">
        <v>1.0999999999999999E-2</v>
      </c>
      <c r="O158" s="301">
        <v>1.4999999999999999E-2</v>
      </c>
      <c r="P158" s="298">
        <v>-1.4E-2</v>
      </c>
      <c r="Q158" s="298">
        <v>-0.03</v>
      </c>
      <c r="R158" s="298">
        <v>-6.7000000000000002E-3</v>
      </c>
      <c r="S158" s="298">
        <v>-6.6500000000000004E-2</v>
      </c>
      <c r="T158" s="298">
        <v>-0.14499999999999999</v>
      </c>
      <c r="U158" s="298">
        <v>0.88</v>
      </c>
      <c r="V158" s="298">
        <v>5.0000000000000001E-3</v>
      </c>
      <c r="W158" s="298">
        <v>-0.19</v>
      </c>
      <c r="X158" s="298">
        <v>-1.15E-2</v>
      </c>
      <c r="Y158" s="313">
        <v>0.1</v>
      </c>
      <c r="Z158" s="313">
        <v>0</v>
      </c>
      <c r="AA158" s="445">
        <v>0.15</v>
      </c>
      <c r="AB158" s="445">
        <v>0.16500000000000001</v>
      </c>
      <c r="AC158" s="445">
        <v>0.15</v>
      </c>
      <c r="AD158" s="445">
        <v>0.15</v>
      </c>
      <c r="AE158" s="445">
        <v>0.15</v>
      </c>
      <c r="AF158" s="445">
        <v>0.15</v>
      </c>
      <c r="AG158" s="445">
        <v>0.15</v>
      </c>
      <c r="AH158" s="445">
        <v>0.15</v>
      </c>
      <c r="AI158" s="446">
        <v>0.15</v>
      </c>
      <c r="AJ158" s="446">
        <v>0.15</v>
      </c>
      <c r="AK158" s="446">
        <v>0.15</v>
      </c>
      <c r="AL158" s="445">
        <v>0.15</v>
      </c>
      <c r="AM158" s="298">
        <v>7.2392646270946007E-2</v>
      </c>
      <c r="AN158" s="298"/>
      <c r="AO158" s="313">
        <f t="shared" si="16"/>
        <v>0.16500000000000001</v>
      </c>
      <c r="AP158" s="313">
        <f t="shared" si="17"/>
        <v>0.16500000000000001</v>
      </c>
      <c r="AQ158" s="316">
        <f t="shared" si="18"/>
        <v>0.16500000000000001</v>
      </c>
      <c r="IU158" s="315">
        <f t="shared" si="14"/>
        <v>0</v>
      </c>
      <c r="IV158" s="298">
        <v>147</v>
      </c>
    </row>
    <row r="159" spans="1:256" x14ac:dyDescent="0.25">
      <c r="A159" s="326"/>
      <c r="B159" s="321"/>
      <c r="C159" s="301">
        <v>3.2050000000000001</v>
      </c>
      <c r="D159" s="301">
        <v>0.15</v>
      </c>
      <c r="E159" s="301">
        <v>7.2113229913723001E-2</v>
      </c>
      <c r="F159" s="301">
        <v>-0.19500000000000001</v>
      </c>
      <c r="G159" s="301">
        <v>1.4999999999999999E-2</v>
      </c>
      <c r="H159" s="301">
        <v>-0.19500000000000001</v>
      </c>
      <c r="I159" s="301">
        <v>0.16500000000000001</v>
      </c>
      <c r="J159" s="301">
        <v>0.17</v>
      </c>
      <c r="K159" s="301">
        <v>-5.8000000000000003E-2</v>
      </c>
      <c r="L159" s="301">
        <v>-2.5999999999999999E-2</v>
      </c>
      <c r="M159" s="301">
        <v>0</v>
      </c>
      <c r="N159" s="301">
        <v>6.4999999999999997E-3</v>
      </c>
      <c r="O159" s="301">
        <v>1.2500000000000001E-2</v>
      </c>
      <c r="P159" s="298">
        <v>-1.6E-2</v>
      </c>
      <c r="Q159" s="298">
        <v>-0.03</v>
      </c>
      <c r="R159" s="298">
        <v>-6.7000000000000002E-3</v>
      </c>
      <c r="S159" s="298">
        <v>-4.9000000000000002E-2</v>
      </c>
      <c r="T159" s="298">
        <v>-0.105</v>
      </c>
      <c r="U159" s="298">
        <v>0.37</v>
      </c>
      <c r="V159" s="298">
        <v>5.0000000000000001E-3</v>
      </c>
      <c r="W159" s="298">
        <v>-0.19</v>
      </c>
      <c r="X159" s="298">
        <v>-1.15E-2</v>
      </c>
      <c r="Y159" s="313">
        <v>0.1875</v>
      </c>
      <c r="Z159" s="313">
        <v>0</v>
      </c>
      <c r="AA159" s="445">
        <v>0.15</v>
      </c>
      <c r="AB159" s="445">
        <v>0.14699999999999999</v>
      </c>
      <c r="AC159" s="445">
        <v>0.15</v>
      </c>
      <c r="AD159" s="445">
        <v>0.15</v>
      </c>
      <c r="AE159" s="445">
        <v>0.14699999999999999</v>
      </c>
      <c r="AF159" s="445">
        <v>0.15</v>
      </c>
      <c r="AG159" s="445">
        <v>0.15</v>
      </c>
      <c r="AH159" s="445">
        <v>0.15</v>
      </c>
      <c r="AI159" s="446">
        <v>0.15</v>
      </c>
      <c r="AJ159" s="446">
        <v>0.15</v>
      </c>
      <c r="AK159" s="446">
        <v>0.15</v>
      </c>
      <c r="AL159" s="445">
        <v>0.15</v>
      </c>
      <c r="AM159" s="298">
        <v>7.2395655248624999E-2</v>
      </c>
      <c r="AN159" s="298"/>
      <c r="AO159" s="313">
        <f t="shared" si="16"/>
        <v>0.14699999999999999</v>
      </c>
      <c r="AP159" s="313">
        <f t="shared" si="17"/>
        <v>0.14699999999999999</v>
      </c>
      <c r="AQ159" s="316">
        <f t="shared" si="18"/>
        <v>0.14699999999999999</v>
      </c>
      <c r="IU159" s="315">
        <f t="shared" si="14"/>
        <v>0</v>
      </c>
      <c r="IV159" s="298">
        <v>148</v>
      </c>
    </row>
    <row r="160" spans="1:256" x14ac:dyDescent="0.25">
      <c r="A160" s="326"/>
      <c r="B160" s="321"/>
      <c r="C160" s="301">
        <v>3.2364999999999999</v>
      </c>
      <c r="D160" s="301">
        <v>0.15</v>
      </c>
      <c r="E160" s="301">
        <v>7.2114852698419996E-2</v>
      </c>
      <c r="F160" s="301">
        <v>-0.19500000000000001</v>
      </c>
      <c r="G160" s="301">
        <v>1.4999999999999999E-2</v>
      </c>
      <c r="H160" s="301">
        <v>-0.19500000000000001</v>
      </c>
      <c r="I160" s="301">
        <v>0.16800000000000001</v>
      </c>
      <c r="J160" s="301">
        <v>0.155</v>
      </c>
      <c r="K160" s="301">
        <v>-3.3000000000000002E-2</v>
      </c>
      <c r="L160" s="301">
        <v>-1E-3</v>
      </c>
      <c r="M160" s="301">
        <v>0</v>
      </c>
      <c r="N160" s="301">
        <v>6.4999999999999997E-3</v>
      </c>
      <c r="O160" s="301">
        <v>1.2500000000000001E-2</v>
      </c>
      <c r="P160" s="298">
        <v>-1.6E-2</v>
      </c>
      <c r="Q160" s="298">
        <v>-0.03</v>
      </c>
      <c r="R160" s="298">
        <v>-6.7499999999999999E-3</v>
      </c>
      <c r="S160" s="298">
        <v>-5.1499999999999997E-2</v>
      </c>
      <c r="T160" s="298">
        <v>-0.105</v>
      </c>
      <c r="U160" s="298">
        <v>0.2525</v>
      </c>
      <c r="V160" s="298">
        <v>5.0000000000000001E-3</v>
      </c>
      <c r="W160" s="298">
        <v>-0.19</v>
      </c>
      <c r="X160" s="298">
        <v>-8.0000000000000002E-3</v>
      </c>
      <c r="Y160" s="313">
        <v>0.1875</v>
      </c>
      <c r="Z160" s="313">
        <v>0</v>
      </c>
      <c r="AA160" s="445">
        <v>0.15</v>
      </c>
      <c r="AB160" s="445">
        <v>0.14699999999999999</v>
      </c>
      <c r="AC160" s="445">
        <v>0.15</v>
      </c>
      <c r="AD160" s="445">
        <v>0.15</v>
      </c>
      <c r="AE160" s="445">
        <v>0.14699999999999999</v>
      </c>
      <c r="AF160" s="445">
        <v>0.15</v>
      </c>
      <c r="AG160" s="445">
        <v>0.15</v>
      </c>
      <c r="AH160" s="445">
        <v>0.15</v>
      </c>
      <c r="AI160" s="446">
        <v>0.15</v>
      </c>
      <c r="AJ160" s="446">
        <v>0.15</v>
      </c>
      <c r="AK160" s="446">
        <v>0.15</v>
      </c>
      <c r="AL160" s="445">
        <v>0.15</v>
      </c>
      <c r="AM160" s="298">
        <v>7.2398567162510002E-2</v>
      </c>
      <c r="AN160" s="298"/>
      <c r="AO160" s="313">
        <f t="shared" si="16"/>
        <v>0.14699999999999999</v>
      </c>
      <c r="AP160" s="313">
        <f t="shared" si="17"/>
        <v>0.14699999999999999</v>
      </c>
      <c r="AQ160" s="316">
        <f t="shared" si="18"/>
        <v>0.14699999999999999</v>
      </c>
      <c r="IU160" s="315">
        <f t="shared" si="14"/>
        <v>0</v>
      </c>
      <c r="IV160" s="298">
        <v>149</v>
      </c>
    </row>
    <row r="161" spans="1:256" x14ac:dyDescent="0.25">
      <c r="A161" s="326"/>
      <c r="B161" s="321"/>
      <c r="C161" s="301">
        <v>3.2524999999999999</v>
      </c>
      <c r="D161" s="301">
        <v>0.15</v>
      </c>
      <c r="E161" s="301">
        <v>7.2116529575942001E-2</v>
      </c>
      <c r="F161" s="301">
        <v>-0.19500000000000001</v>
      </c>
      <c r="G161" s="301">
        <v>0.02</v>
      </c>
      <c r="H161" s="301">
        <v>-0.19500000000000001</v>
      </c>
      <c r="I161" s="301">
        <v>0.16300000000000001</v>
      </c>
      <c r="J161" s="301">
        <v>0.155</v>
      </c>
      <c r="K161" s="301">
        <v>-3.0499999999999999E-2</v>
      </c>
      <c r="L161" s="301">
        <v>1.5E-3</v>
      </c>
      <c r="M161" s="301">
        <v>0</v>
      </c>
      <c r="N161" s="301">
        <v>6.4999999999999997E-3</v>
      </c>
      <c r="O161" s="301">
        <v>1.2500000000000001E-2</v>
      </c>
      <c r="P161" s="298">
        <v>-1.35E-2</v>
      </c>
      <c r="Q161" s="298">
        <v>-0.03</v>
      </c>
      <c r="R161" s="298">
        <v>-6.7499999999999999E-3</v>
      </c>
      <c r="S161" s="298">
        <v>-4.1500000000000002E-2</v>
      </c>
      <c r="T161" s="298">
        <v>-0.105</v>
      </c>
      <c r="U161" s="298">
        <v>0.2525</v>
      </c>
      <c r="V161" s="298">
        <v>5.0000000000000001E-3</v>
      </c>
      <c r="W161" s="298">
        <v>-0.19</v>
      </c>
      <c r="X161" s="298">
        <v>-1.0500000000000001E-2</v>
      </c>
      <c r="Y161" s="313">
        <v>0.1875</v>
      </c>
      <c r="Z161" s="313">
        <v>0</v>
      </c>
      <c r="AA161" s="445">
        <v>0.15</v>
      </c>
      <c r="AB161" s="445">
        <v>0.14699999999999999</v>
      </c>
      <c r="AC161" s="445">
        <v>0.15</v>
      </c>
      <c r="AD161" s="445">
        <v>0.15</v>
      </c>
      <c r="AE161" s="445">
        <v>0.14699999999999999</v>
      </c>
      <c r="AF161" s="445">
        <v>0.15</v>
      </c>
      <c r="AG161" s="445">
        <v>0.15</v>
      </c>
      <c r="AH161" s="445">
        <v>0.15</v>
      </c>
      <c r="AI161" s="446">
        <v>0.15</v>
      </c>
      <c r="AJ161" s="446">
        <v>0.15</v>
      </c>
      <c r="AK161" s="446">
        <v>0.15</v>
      </c>
      <c r="AL161" s="445">
        <v>0.15</v>
      </c>
      <c r="AM161" s="298">
        <v>7.2401576140196003E-2</v>
      </c>
      <c r="AN161" s="298"/>
      <c r="AO161" s="313">
        <f t="shared" si="16"/>
        <v>0.14699999999999999</v>
      </c>
      <c r="AP161" s="313">
        <f t="shared" si="17"/>
        <v>0.14699999999999999</v>
      </c>
      <c r="AQ161" s="316">
        <f t="shared" si="18"/>
        <v>0.14699999999999999</v>
      </c>
      <c r="IU161" s="315">
        <f t="shared" si="14"/>
        <v>0</v>
      </c>
      <c r="IV161" s="298">
        <v>150</v>
      </c>
    </row>
    <row r="162" spans="1:256" x14ac:dyDescent="0.25">
      <c r="A162" s="326"/>
      <c r="B162" s="321"/>
      <c r="C162" s="301">
        <v>3.2555000000000001</v>
      </c>
      <c r="D162" s="301">
        <v>0.15</v>
      </c>
      <c r="E162" s="301">
        <v>7.2118152360639995E-2</v>
      </c>
      <c r="F162" s="301">
        <v>-0.19500000000000001</v>
      </c>
      <c r="G162" s="301">
        <v>2.2499999999999999E-2</v>
      </c>
      <c r="H162" s="301">
        <v>-0.19500000000000001</v>
      </c>
      <c r="I162" s="301">
        <v>0.152</v>
      </c>
      <c r="J162" s="301">
        <v>0.155</v>
      </c>
      <c r="K162" s="301">
        <v>-3.0499999999999999E-2</v>
      </c>
      <c r="L162" s="301">
        <v>1.5E-3</v>
      </c>
      <c r="M162" s="301">
        <v>0</v>
      </c>
      <c r="N162" s="301">
        <v>6.4999999999999997E-3</v>
      </c>
      <c r="O162" s="301">
        <v>1.2500000000000001E-2</v>
      </c>
      <c r="P162" s="298">
        <v>-1.35E-2</v>
      </c>
      <c r="Q162" s="298">
        <v>-0.03</v>
      </c>
      <c r="R162" s="298">
        <v>-6.7499999999999999E-3</v>
      </c>
      <c r="S162" s="298">
        <v>-4.1500000000000002E-2</v>
      </c>
      <c r="T162" s="298">
        <v>-0.105</v>
      </c>
      <c r="U162" s="298">
        <v>0.25750000000000001</v>
      </c>
      <c r="V162" s="298">
        <v>5.0000000000000001E-3</v>
      </c>
      <c r="W162" s="298">
        <v>-0.19</v>
      </c>
      <c r="X162" s="298">
        <v>-1.0500000000000001E-2</v>
      </c>
      <c r="Y162" s="313">
        <v>0.1875</v>
      </c>
      <c r="Z162" s="313">
        <v>0</v>
      </c>
      <c r="AA162" s="445">
        <v>0.15</v>
      </c>
      <c r="AB162" s="445">
        <v>0.14699999999999999</v>
      </c>
      <c r="AC162" s="445">
        <v>0.15</v>
      </c>
      <c r="AD162" s="445">
        <v>0.15</v>
      </c>
      <c r="AE162" s="445">
        <v>0.14699999999999999</v>
      </c>
      <c r="AF162" s="445">
        <v>0.15</v>
      </c>
      <c r="AG162" s="445">
        <v>0.15</v>
      </c>
      <c r="AH162" s="445">
        <v>0.15</v>
      </c>
      <c r="AI162" s="446">
        <v>0.15</v>
      </c>
      <c r="AJ162" s="446">
        <v>0.15</v>
      </c>
      <c r="AK162" s="446">
        <v>0.15</v>
      </c>
      <c r="AL162" s="445">
        <v>0.15</v>
      </c>
      <c r="AM162" s="298">
        <v>7.2404488054087002E-2</v>
      </c>
      <c r="AN162" s="298"/>
      <c r="AO162" s="313">
        <f t="shared" si="16"/>
        <v>0.14699999999999999</v>
      </c>
      <c r="AP162" s="313">
        <f t="shared" si="17"/>
        <v>0.14699999999999999</v>
      </c>
      <c r="AQ162" s="316">
        <f t="shared" si="18"/>
        <v>0.14699999999999999</v>
      </c>
      <c r="IU162" s="315">
        <f t="shared" si="14"/>
        <v>0</v>
      </c>
      <c r="IV162" s="298">
        <v>151</v>
      </c>
    </row>
    <row r="163" spans="1:256" x14ac:dyDescent="0.25">
      <c r="A163" s="326"/>
      <c r="B163" s="321"/>
      <c r="C163" s="301">
        <v>3.2614999999999998</v>
      </c>
      <c r="D163" s="301">
        <v>0.15</v>
      </c>
      <c r="E163" s="301">
        <v>7.2119829238163E-2</v>
      </c>
      <c r="F163" s="301">
        <v>-0.19500000000000001</v>
      </c>
      <c r="G163" s="301">
        <v>2.5000000000000001E-2</v>
      </c>
      <c r="H163" s="301">
        <v>-0.19500000000000001</v>
      </c>
      <c r="I163" s="301">
        <v>0.15</v>
      </c>
      <c r="J163" s="301">
        <v>0.155</v>
      </c>
      <c r="K163" s="301">
        <v>-3.0499999999999999E-2</v>
      </c>
      <c r="L163" s="301">
        <v>1.5E-3</v>
      </c>
      <c r="M163" s="301">
        <v>0</v>
      </c>
      <c r="N163" s="301">
        <v>6.4999999999999997E-3</v>
      </c>
      <c r="O163" s="301">
        <v>1.2500000000000001E-2</v>
      </c>
      <c r="P163" s="298">
        <v>-1.35E-2</v>
      </c>
      <c r="Q163" s="298">
        <v>-0.03</v>
      </c>
      <c r="R163" s="298">
        <v>-4.2500000000000003E-3</v>
      </c>
      <c r="S163" s="298">
        <v>-4.1500000000000002E-2</v>
      </c>
      <c r="T163" s="298">
        <v>-0.105</v>
      </c>
      <c r="U163" s="298">
        <v>0.25750000000000001</v>
      </c>
      <c r="V163" s="298">
        <v>5.0000000000000001E-3</v>
      </c>
      <c r="W163" s="298">
        <v>-0.19</v>
      </c>
      <c r="X163" s="298">
        <v>-1.0500000000000001E-2</v>
      </c>
      <c r="Y163" s="313">
        <v>0.1875</v>
      </c>
      <c r="Z163" s="313">
        <v>0</v>
      </c>
      <c r="AA163" s="445">
        <v>0.15</v>
      </c>
      <c r="AB163" s="445">
        <v>0.14699999999999999</v>
      </c>
      <c r="AC163" s="445">
        <v>0.15</v>
      </c>
      <c r="AD163" s="445">
        <v>0.15</v>
      </c>
      <c r="AE163" s="445">
        <v>0.14699999999999999</v>
      </c>
      <c r="AF163" s="445">
        <v>0.15</v>
      </c>
      <c r="AG163" s="445">
        <v>0.15</v>
      </c>
      <c r="AH163" s="445">
        <v>0.15</v>
      </c>
      <c r="AI163" s="446">
        <v>0.15</v>
      </c>
      <c r="AJ163" s="446">
        <v>0.15</v>
      </c>
      <c r="AK163" s="446">
        <v>0.15</v>
      </c>
      <c r="AL163" s="445">
        <v>0.15</v>
      </c>
      <c r="AM163" s="298">
        <v>7.2407497031777998E-2</v>
      </c>
      <c r="AN163" s="298"/>
      <c r="AO163" s="313">
        <f t="shared" si="16"/>
        <v>0.14699999999999999</v>
      </c>
      <c r="AP163" s="313">
        <f t="shared" si="17"/>
        <v>0.14699999999999999</v>
      </c>
      <c r="AQ163" s="316">
        <f t="shared" si="18"/>
        <v>0.14699999999999999</v>
      </c>
      <c r="IU163" s="315">
        <f t="shared" si="14"/>
        <v>0</v>
      </c>
      <c r="IV163" s="298">
        <v>152</v>
      </c>
    </row>
    <row r="164" spans="1:256" x14ac:dyDescent="0.25">
      <c r="B164" s="321"/>
      <c r="C164" s="301">
        <v>3.2565</v>
      </c>
      <c r="D164" s="301">
        <v>0.15</v>
      </c>
      <c r="E164" s="301">
        <v>7.2121506115687004E-2</v>
      </c>
      <c r="F164" s="301">
        <v>-0.19500000000000001</v>
      </c>
      <c r="G164" s="301">
        <v>1.7500000000000002E-2</v>
      </c>
      <c r="H164" s="301">
        <v>-0.19500000000000001</v>
      </c>
      <c r="I164" s="301">
        <v>0.14699999999999999</v>
      </c>
      <c r="J164" s="301">
        <v>0.155</v>
      </c>
      <c r="K164" s="301">
        <v>-3.3000000000000002E-2</v>
      </c>
      <c r="L164" s="301">
        <v>-1E-3</v>
      </c>
      <c r="M164" s="301">
        <v>0</v>
      </c>
      <c r="N164" s="301">
        <v>6.4999999999999997E-3</v>
      </c>
      <c r="O164" s="301">
        <v>1.2500000000000001E-2</v>
      </c>
      <c r="P164" s="298">
        <v>-1.35E-2</v>
      </c>
      <c r="Q164" s="298">
        <v>-0.03</v>
      </c>
      <c r="R164" s="298">
        <v>-4.2500000000000003E-3</v>
      </c>
      <c r="S164" s="298">
        <v>-4.9000000000000002E-2</v>
      </c>
      <c r="T164" s="298">
        <v>-0.105</v>
      </c>
      <c r="U164" s="298">
        <v>0.2525</v>
      </c>
      <c r="V164" s="298">
        <v>5.0000000000000001E-3</v>
      </c>
      <c r="W164" s="298">
        <v>-0.19</v>
      </c>
      <c r="X164" s="298">
        <v>-1.2999999999999999E-2</v>
      </c>
      <c r="Y164" s="313">
        <v>0.1875</v>
      </c>
      <c r="Z164" s="313">
        <v>0</v>
      </c>
      <c r="AA164" s="445">
        <v>0.15</v>
      </c>
      <c r="AB164" s="445">
        <v>0.14699999999999999</v>
      </c>
      <c r="AC164" s="445">
        <v>0.15</v>
      </c>
      <c r="AD164" s="445">
        <v>0.15</v>
      </c>
      <c r="AE164" s="445">
        <v>0.14699999999999999</v>
      </c>
      <c r="AF164" s="445">
        <v>0.15</v>
      </c>
      <c r="AG164" s="445">
        <v>0.15</v>
      </c>
      <c r="AH164" s="445">
        <v>0.15</v>
      </c>
      <c r="AI164" s="446">
        <v>0.15</v>
      </c>
      <c r="AJ164" s="446">
        <v>0.15</v>
      </c>
      <c r="AK164" s="446">
        <v>0.15</v>
      </c>
      <c r="AL164" s="445">
        <v>0.15</v>
      </c>
      <c r="AM164" s="298">
        <v>7.2410506009471007E-2</v>
      </c>
      <c r="AN164" s="298"/>
      <c r="AO164" s="313">
        <f t="shared" si="16"/>
        <v>0.14699999999999999</v>
      </c>
      <c r="AP164" s="313">
        <f t="shared" si="17"/>
        <v>0.14699999999999999</v>
      </c>
      <c r="AQ164" s="316">
        <f t="shared" si="18"/>
        <v>0.14699999999999999</v>
      </c>
      <c r="IU164" s="315">
        <f t="shared" si="14"/>
        <v>0</v>
      </c>
      <c r="IV164" s="298">
        <v>153</v>
      </c>
    </row>
    <row r="165" spans="1:256" x14ac:dyDescent="0.25">
      <c r="B165" s="321"/>
      <c r="C165" s="301">
        <v>3.2745000000000002</v>
      </c>
      <c r="D165" s="301">
        <v>0.15</v>
      </c>
      <c r="E165" s="301">
        <v>7.2123128900388994E-2</v>
      </c>
      <c r="F165" s="301">
        <v>-0.19500000000000001</v>
      </c>
      <c r="G165" s="301">
        <v>7.4999999999999997E-3</v>
      </c>
      <c r="H165" s="301">
        <v>-0.19500000000000001</v>
      </c>
      <c r="I165" s="301">
        <v>0.16300000000000001</v>
      </c>
      <c r="J165" s="301">
        <v>0.1575</v>
      </c>
      <c r="K165" s="301">
        <v>-3.3000000000000002E-2</v>
      </c>
      <c r="L165" s="301">
        <v>-1E-3</v>
      </c>
      <c r="M165" s="301">
        <v>0</v>
      </c>
      <c r="N165" s="301">
        <v>6.4999999999999997E-3</v>
      </c>
      <c r="O165" s="301">
        <v>1.2500000000000001E-2</v>
      </c>
      <c r="P165" s="298">
        <v>-1.35E-2</v>
      </c>
      <c r="Q165" s="298">
        <v>-0.03</v>
      </c>
      <c r="R165" s="298">
        <v>-2.5000000000000001E-2</v>
      </c>
      <c r="S165" s="298">
        <v>-4.9000000000000002E-2</v>
      </c>
      <c r="T165" s="298">
        <v>-0.105</v>
      </c>
      <c r="U165" s="298">
        <v>0.255</v>
      </c>
      <c r="V165" s="298">
        <v>5.0000000000000001E-3</v>
      </c>
      <c r="W165" s="298">
        <v>-0.19</v>
      </c>
      <c r="X165" s="298">
        <v>-1.2999999999999999E-2</v>
      </c>
      <c r="Y165" s="313">
        <v>0.1875</v>
      </c>
      <c r="Z165" s="313">
        <v>0</v>
      </c>
      <c r="AA165" s="445">
        <v>0.15</v>
      </c>
      <c r="AB165" s="445">
        <v>0.14699999999999999</v>
      </c>
      <c r="AC165" s="445">
        <v>0.15</v>
      </c>
      <c r="AD165" s="445">
        <v>0.15</v>
      </c>
      <c r="AE165" s="445">
        <v>0.14699999999999999</v>
      </c>
      <c r="AF165" s="445">
        <v>0.15</v>
      </c>
      <c r="AG165" s="445">
        <v>0.15</v>
      </c>
      <c r="AH165" s="445">
        <v>0.15</v>
      </c>
      <c r="AI165" s="446">
        <v>0.15</v>
      </c>
      <c r="AJ165" s="446">
        <v>0.15</v>
      </c>
      <c r="AK165" s="446">
        <v>0.15</v>
      </c>
      <c r="AL165" s="445">
        <v>0.15</v>
      </c>
      <c r="AM165" s="298">
        <v>7.2413417923370998E-2</v>
      </c>
      <c r="AN165" s="298"/>
      <c r="AO165" s="313">
        <f t="shared" si="16"/>
        <v>0.14699999999999999</v>
      </c>
      <c r="AP165" s="313">
        <f t="shared" si="17"/>
        <v>0.14699999999999999</v>
      </c>
      <c r="AQ165" s="316">
        <f t="shared" si="18"/>
        <v>0.14699999999999999</v>
      </c>
      <c r="IU165" s="315">
        <f t="shared" si="14"/>
        <v>0</v>
      </c>
      <c r="IV165" s="298">
        <v>154</v>
      </c>
    </row>
    <row r="166" spans="1:256" x14ac:dyDescent="0.25">
      <c r="B166" s="321"/>
      <c r="C166" s="301">
        <v>3.3624999999999998</v>
      </c>
      <c r="D166" s="301">
        <v>0.15</v>
      </c>
      <c r="E166" s="301">
        <v>7.2124805777914996E-2</v>
      </c>
      <c r="F166" s="301">
        <v>-0.19</v>
      </c>
      <c r="G166" s="301">
        <v>-3.2500000000000001E-2</v>
      </c>
      <c r="H166" s="301">
        <v>-0.19</v>
      </c>
      <c r="I166" s="301">
        <v>0.24</v>
      </c>
      <c r="J166" s="301">
        <v>0.24</v>
      </c>
      <c r="K166" s="301">
        <v>-4.4499999999999998E-2</v>
      </c>
      <c r="L166" s="301">
        <v>-6.0000000000000001E-3</v>
      </c>
      <c r="M166" s="301">
        <v>0</v>
      </c>
      <c r="N166" s="301">
        <v>1.0999999999999999E-2</v>
      </c>
      <c r="O166" s="301">
        <v>1.7000000000000001E-2</v>
      </c>
      <c r="P166" s="298">
        <v>-1.6500000000000001E-2</v>
      </c>
      <c r="Q166" s="298">
        <v>-0.03</v>
      </c>
      <c r="R166" s="298">
        <v>-2.4E-2</v>
      </c>
      <c r="S166" s="298">
        <v>-6.4000000000000001E-2</v>
      </c>
      <c r="T166" s="298">
        <v>-0.14499999999999999</v>
      </c>
      <c r="U166" s="298">
        <v>0.72499999999999998</v>
      </c>
      <c r="V166" s="298">
        <v>5.0000000000000001E-3</v>
      </c>
      <c r="W166" s="298">
        <v>-0.19</v>
      </c>
      <c r="X166" s="298">
        <v>-1.0500000000000001E-2</v>
      </c>
      <c r="Y166" s="313">
        <v>0.1</v>
      </c>
      <c r="Z166" s="313">
        <v>0</v>
      </c>
      <c r="AA166" s="445">
        <v>0.15</v>
      </c>
      <c r="AB166" s="445">
        <v>0.16500000000000001</v>
      </c>
      <c r="AC166" s="445">
        <v>0.15</v>
      </c>
      <c r="AD166" s="445">
        <v>0.15</v>
      </c>
      <c r="AE166" s="445">
        <v>0.15</v>
      </c>
      <c r="AF166" s="445">
        <v>0.15</v>
      </c>
      <c r="AG166" s="445">
        <v>0.15</v>
      </c>
      <c r="AH166" s="445">
        <v>0.15</v>
      </c>
      <c r="AI166" s="446">
        <v>0.15</v>
      </c>
      <c r="AJ166" s="446">
        <v>0.15</v>
      </c>
      <c r="AK166" s="446">
        <v>0.15</v>
      </c>
      <c r="AL166" s="445">
        <v>0.15</v>
      </c>
      <c r="AM166" s="298">
        <v>7.2416426901071002E-2</v>
      </c>
      <c r="AN166" s="298"/>
      <c r="AO166" s="313">
        <f t="shared" si="16"/>
        <v>0.16500000000000001</v>
      </c>
      <c r="AP166" s="313">
        <f t="shared" si="17"/>
        <v>0.16500000000000001</v>
      </c>
      <c r="AQ166" s="316">
        <f t="shared" si="18"/>
        <v>0.16500000000000001</v>
      </c>
      <c r="IU166" s="315">
        <f t="shared" si="14"/>
        <v>0</v>
      </c>
      <c r="IV166" s="298">
        <v>155</v>
      </c>
    </row>
    <row r="167" spans="1:256" x14ac:dyDescent="0.25">
      <c r="B167" s="321"/>
      <c r="C167" s="301">
        <v>3.4584999999999999</v>
      </c>
      <c r="D167" s="301">
        <v>0.15</v>
      </c>
      <c r="E167" s="301">
        <v>7.2126428562618E-2</v>
      </c>
      <c r="F167" s="301">
        <v>-0.19750000000000001</v>
      </c>
      <c r="G167" s="301">
        <v>-5.5E-2</v>
      </c>
      <c r="H167" s="301">
        <v>-0.19750000000000001</v>
      </c>
      <c r="I167" s="301">
        <v>0.28000000000000003</v>
      </c>
      <c r="J167" s="301">
        <v>0.29499999999999998</v>
      </c>
      <c r="K167" s="301">
        <v>-4.4499999999999998E-2</v>
      </c>
      <c r="L167" s="301">
        <v>-8.5000000000000006E-3</v>
      </c>
      <c r="M167" s="301">
        <v>0</v>
      </c>
      <c r="N167" s="301">
        <v>1.0999999999999999E-2</v>
      </c>
      <c r="O167" s="301">
        <v>1.7000000000000001E-2</v>
      </c>
      <c r="P167" s="298">
        <v>-1.6500000000000001E-2</v>
      </c>
      <c r="Q167" s="298">
        <v>-0.03</v>
      </c>
      <c r="R167" s="298">
        <v>-2.4E-2</v>
      </c>
      <c r="S167" s="298">
        <v>-7.9000000000000001E-2</v>
      </c>
      <c r="T167" s="298">
        <v>-0.14499999999999999</v>
      </c>
      <c r="U167" s="298">
        <v>1.0449999999999999</v>
      </c>
      <c r="V167" s="298">
        <v>5.0000000000000001E-3</v>
      </c>
      <c r="W167" s="298">
        <v>-0.19</v>
      </c>
      <c r="X167" s="298">
        <v>-1.0500000000000001E-2</v>
      </c>
      <c r="Y167" s="313">
        <v>0.1</v>
      </c>
      <c r="Z167" s="313">
        <v>0</v>
      </c>
      <c r="AA167" s="445">
        <v>0.15</v>
      </c>
      <c r="AB167" s="445">
        <v>0.16500000000000001</v>
      </c>
      <c r="AC167" s="445">
        <v>0.15</v>
      </c>
      <c r="AD167" s="445">
        <v>0.15</v>
      </c>
      <c r="AE167" s="445">
        <v>0.15</v>
      </c>
      <c r="AF167" s="445">
        <v>0.15</v>
      </c>
      <c r="AG167" s="445">
        <v>0.15</v>
      </c>
      <c r="AH167" s="445">
        <v>0.15</v>
      </c>
      <c r="AI167" s="446">
        <v>0.15</v>
      </c>
      <c r="AJ167" s="446">
        <v>0.15</v>
      </c>
      <c r="AK167" s="446">
        <v>0.15</v>
      </c>
      <c r="AL167" s="445">
        <v>0.15</v>
      </c>
      <c r="AM167" s="298">
        <v>7.2419338814977002E-2</v>
      </c>
      <c r="AN167" s="298"/>
      <c r="AO167" s="313">
        <f t="shared" si="16"/>
        <v>0.16500000000000001</v>
      </c>
      <c r="AP167" s="313">
        <f t="shared" si="17"/>
        <v>0.16500000000000001</v>
      </c>
      <c r="AQ167" s="316">
        <f t="shared" si="18"/>
        <v>0.16500000000000001</v>
      </c>
      <c r="IU167" s="315">
        <f t="shared" si="14"/>
        <v>0</v>
      </c>
      <c r="IV167" s="298">
        <v>156</v>
      </c>
    </row>
    <row r="168" spans="1:256" x14ac:dyDescent="0.25">
      <c r="B168" s="321"/>
      <c r="C168" s="301">
        <v>3.5049999999999999</v>
      </c>
      <c r="D168" s="301">
        <v>0.15</v>
      </c>
      <c r="E168" s="301">
        <v>7.2128105440146001E-2</v>
      </c>
      <c r="F168" s="301">
        <v>-0.2</v>
      </c>
      <c r="G168" s="301">
        <v>-5.7500000000000002E-2</v>
      </c>
      <c r="H168" s="301">
        <v>-0.2</v>
      </c>
      <c r="I168" s="301">
        <v>0.28999999999999998</v>
      </c>
      <c r="J168" s="301">
        <v>0.34250000000000003</v>
      </c>
      <c r="K168" s="301">
        <v>-4.8500000000000001E-2</v>
      </c>
      <c r="L168" s="301">
        <v>-2.5000000000000001E-3</v>
      </c>
      <c r="M168" s="301">
        <v>0</v>
      </c>
      <c r="N168" s="301">
        <v>1.0999999999999999E-2</v>
      </c>
      <c r="O168" s="301">
        <v>1.7000000000000001E-2</v>
      </c>
      <c r="P168" s="298">
        <v>-1.2E-2</v>
      </c>
      <c r="Q168" s="298">
        <v>-0.03</v>
      </c>
      <c r="R168" s="298">
        <v>-2.4E-2</v>
      </c>
      <c r="S168" s="298">
        <v>-8.9499999999999996E-2</v>
      </c>
      <c r="T168" s="298">
        <v>-0.14499999999999999</v>
      </c>
      <c r="U168" s="298">
        <v>1.52</v>
      </c>
      <c r="V168" s="298">
        <v>5.0000000000000001E-3</v>
      </c>
      <c r="W168" s="298">
        <v>-0.19</v>
      </c>
      <c r="X168" s="298">
        <v>-1.0500000000000001E-2</v>
      </c>
      <c r="Y168" s="313">
        <v>0.1</v>
      </c>
      <c r="Z168" s="313">
        <v>0</v>
      </c>
      <c r="AA168" s="445">
        <v>0.15</v>
      </c>
      <c r="AB168" s="445">
        <v>0.15</v>
      </c>
      <c r="AC168" s="445">
        <v>0.15</v>
      </c>
      <c r="AD168" s="445">
        <v>0.15</v>
      </c>
      <c r="AE168" s="445">
        <v>0.15</v>
      </c>
      <c r="AF168" s="445">
        <v>0.15</v>
      </c>
      <c r="AG168" s="445">
        <v>0.15</v>
      </c>
      <c r="AH168" s="445">
        <v>0.15</v>
      </c>
      <c r="AI168" s="446">
        <v>0.15</v>
      </c>
      <c r="AJ168" s="446">
        <v>0.15</v>
      </c>
      <c r="AK168" s="446">
        <v>0.15</v>
      </c>
      <c r="AL168" s="445">
        <v>0.15</v>
      </c>
      <c r="AM168" s="298">
        <v>7.2422347792683001E-2</v>
      </c>
      <c r="AN168" s="298"/>
      <c r="AO168" s="313">
        <f t="shared" si="16"/>
        <v>0.15</v>
      </c>
      <c r="AP168" s="313">
        <f t="shared" si="17"/>
        <v>0.15</v>
      </c>
      <c r="AQ168" s="316">
        <f t="shared" si="18"/>
        <v>0.15</v>
      </c>
      <c r="IU168" s="315">
        <f t="shared" si="14"/>
        <v>0</v>
      </c>
      <c r="IV168" s="298">
        <v>157</v>
      </c>
    </row>
    <row r="169" spans="1:256" x14ac:dyDescent="0.25">
      <c r="B169" s="321"/>
      <c r="C169" s="301">
        <v>3.4319999999999999</v>
      </c>
      <c r="D169" s="301">
        <v>0.15</v>
      </c>
      <c r="E169" s="301">
        <v>7.2129782317674002E-2</v>
      </c>
      <c r="F169" s="301">
        <v>-0.20250000000000001</v>
      </c>
      <c r="G169" s="301">
        <v>-0.04</v>
      </c>
      <c r="H169" s="301">
        <v>-0.20250000000000001</v>
      </c>
      <c r="I169" s="301">
        <v>0.26500000000000001</v>
      </c>
      <c r="J169" s="301">
        <v>0.33750000000000002</v>
      </c>
      <c r="K169" s="301">
        <v>-4.4499999999999998E-2</v>
      </c>
      <c r="L169" s="301">
        <v>-8.5000000000000006E-3</v>
      </c>
      <c r="M169" s="301">
        <v>0</v>
      </c>
      <c r="N169" s="301">
        <v>1.0999999999999999E-2</v>
      </c>
      <c r="O169" s="301">
        <v>1.7000000000000001E-2</v>
      </c>
      <c r="P169" s="298">
        <v>-1.2E-2</v>
      </c>
      <c r="Q169" s="298">
        <v>-0.03</v>
      </c>
      <c r="R169" s="298">
        <v>-2.4E-2</v>
      </c>
      <c r="S169" s="298">
        <v>-7.6999999999999999E-2</v>
      </c>
      <c r="T169" s="298">
        <v>-0.14499999999999999</v>
      </c>
      <c r="U169" s="298">
        <v>1.4</v>
      </c>
      <c r="V169" s="298">
        <v>5.0000000000000001E-3</v>
      </c>
      <c r="W169" s="298">
        <v>-0.19</v>
      </c>
      <c r="X169" s="298">
        <v>-1.0500000000000001E-2</v>
      </c>
      <c r="Y169" s="313">
        <v>0.1</v>
      </c>
      <c r="Z169" s="313">
        <v>0</v>
      </c>
      <c r="AA169" s="445">
        <v>0.15</v>
      </c>
      <c r="AB169" s="445">
        <v>0.16500000000000001</v>
      </c>
      <c r="AC169" s="445">
        <v>0.15</v>
      </c>
      <c r="AD169" s="445">
        <v>0.15</v>
      </c>
      <c r="AE169" s="445">
        <v>0.15</v>
      </c>
      <c r="AF169" s="445">
        <v>0.15</v>
      </c>
      <c r="AG169" s="445">
        <v>0.15</v>
      </c>
      <c r="AH169" s="445">
        <v>0.15</v>
      </c>
      <c r="AI169" s="446">
        <v>0.15</v>
      </c>
      <c r="AJ169" s="446">
        <v>0.15</v>
      </c>
      <c r="AK169" s="446">
        <v>0.15</v>
      </c>
      <c r="AL169" s="445">
        <v>0.15</v>
      </c>
      <c r="AM169" s="298">
        <v>7.2425356770390997E-2</v>
      </c>
      <c r="AN169" s="298"/>
      <c r="AO169" s="313">
        <f t="shared" si="16"/>
        <v>0.16500000000000001</v>
      </c>
      <c r="AP169" s="313">
        <f t="shared" si="17"/>
        <v>0.16500000000000001</v>
      </c>
      <c r="AQ169" s="316">
        <f t="shared" si="18"/>
        <v>0.16500000000000001</v>
      </c>
      <c r="IU169" s="315">
        <f t="shared" si="14"/>
        <v>0</v>
      </c>
      <c r="IV169" s="298">
        <v>158</v>
      </c>
    </row>
    <row r="170" spans="1:256" x14ac:dyDescent="0.25">
      <c r="B170" s="321"/>
      <c r="C170" s="301">
        <v>3.347</v>
      </c>
      <c r="D170" s="301">
        <v>0.15</v>
      </c>
      <c r="E170" s="301">
        <v>7.2131296916733006E-2</v>
      </c>
      <c r="F170" s="301">
        <v>-0.20499999999999999</v>
      </c>
      <c r="G170" s="301">
        <v>-2.75E-2</v>
      </c>
      <c r="H170" s="301">
        <v>-0.20499999999999999</v>
      </c>
      <c r="I170" s="301">
        <v>0.26200000000000001</v>
      </c>
      <c r="J170" s="301">
        <v>0.26</v>
      </c>
      <c r="K170" s="301">
        <v>-4.5999999999999999E-2</v>
      </c>
      <c r="L170" s="301">
        <v>-1.15E-2</v>
      </c>
      <c r="M170" s="301">
        <v>0</v>
      </c>
      <c r="N170" s="301">
        <v>1.0999999999999999E-2</v>
      </c>
      <c r="O170" s="301">
        <v>1.7000000000000001E-2</v>
      </c>
      <c r="P170" s="298">
        <v>-1.2E-2</v>
      </c>
      <c r="Q170" s="298">
        <v>-0.03</v>
      </c>
      <c r="R170" s="298">
        <v>-5.7000000000000002E-3</v>
      </c>
      <c r="S170" s="298">
        <v>-6.4500000000000002E-2</v>
      </c>
      <c r="T170" s="298">
        <v>-0.14499999999999999</v>
      </c>
      <c r="U170" s="298">
        <v>0.88</v>
      </c>
      <c r="V170" s="298">
        <v>5.0000000000000001E-3</v>
      </c>
      <c r="W170" s="298">
        <v>-0.19</v>
      </c>
      <c r="X170" s="298">
        <v>-1.0500000000000001E-2</v>
      </c>
      <c r="Y170" s="313">
        <v>0.1</v>
      </c>
      <c r="Z170" s="313">
        <v>0</v>
      </c>
      <c r="AA170" s="445">
        <v>0.15</v>
      </c>
      <c r="AB170" s="445">
        <v>0.16500000000000001</v>
      </c>
      <c r="AC170" s="445">
        <v>0.15</v>
      </c>
      <c r="AD170" s="445">
        <v>0.15</v>
      </c>
      <c r="AE170" s="445">
        <v>0.15</v>
      </c>
      <c r="AF170" s="445">
        <v>0.15</v>
      </c>
      <c r="AG170" s="445">
        <v>0.15</v>
      </c>
      <c r="AH170" s="445">
        <v>0.15</v>
      </c>
      <c r="AI170" s="446">
        <v>0.15</v>
      </c>
      <c r="AJ170" s="446">
        <v>0.15</v>
      </c>
      <c r="AK170" s="446">
        <v>0.15</v>
      </c>
      <c r="AL170" s="445">
        <v>0.15</v>
      </c>
      <c r="AM170" s="298">
        <v>7.2428074556711006E-2</v>
      </c>
      <c r="AN170" s="298"/>
      <c r="AO170" s="313">
        <f t="shared" si="16"/>
        <v>0.16500000000000001</v>
      </c>
      <c r="AP170" s="313">
        <f t="shared" si="17"/>
        <v>0.16500000000000001</v>
      </c>
      <c r="AQ170" s="316">
        <f t="shared" si="18"/>
        <v>0.16500000000000001</v>
      </c>
      <c r="IU170" s="315">
        <f t="shared" si="14"/>
        <v>0</v>
      </c>
      <c r="IV170" s="298">
        <v>159</v>
      </c>
    </row>
    <row r="171" spans="1:256" x14ac:dyDescent="0.25">
      <c r="A171" s="325"/>
      <c r="B171" s="321"/>
      <c r="C171" s="301">
        <v>3.2770000000000001</v>
      </c>
      <c r="D171" s="301">
        <v>0.15</v>
      </c>
      <c r="E171" s="301">
        <v>7.2132973794264005E-2</v>
      </c>
      <c r="F171" s="301">
        <v>-0.19500000000000001</v>
      </c>
      <c r="G171" s="301">
        <v>1.4999999999999999E-2</v>
      </c>
      <c r="H171" s="301">
        <v>-0.19500000000000001</v>
      </c>
      <c r="I171" s="301">
        <v>0.16</v>
      </c>
      <c r="J171" s="301">
        <v>0.17</v>
      </c>
      <c r="K171" s="301">
        <v>-5.6000000000000001E-2</v>
      </c>
      <c r="L171" s="301">
        <v>-2.4E-2</v>
      </c>
      <c r="M171" s="301">
        <v>0</v>
      </c>
      <c r="N171" s="301">
        <v>6.4999999999999997E-3</v>
      </c>
      <c r="O171" s="301">
        <v>1.4500000000000001E-2</v>
      </c>
      <c r="P171" s="298">
        <v>-1.4E-2</v>
      </c>
      <c r="Q171" s="298">
        <v>-0.03</v>
      </c>
      <c r="R171" s="298">
        <v>-5.7000000000000002E-3</v>
      </c>
      <c r="S171" s="298">
        <v>-4.7E-2</v>
      </c>
      <c r="T171" s="298">
        <v>-0.105</v>
      </c>
      <c r="U171" s="298">
        <v>0.37</v>
      </c>
      <c r="V171" s="298">
        <v>5.0000000000000001E-3</v>
      </c>
      <c r="W171" s="298">
        <v>-0.19</v>
      </c>
      <c r="X171" s="298">
        <v>-1.0500000000000001E-2</v>
      </c>
      <c r="Y171" s="313">
        <v>0.1875</v>
      </c>
      <c r="Z171" s="313">
        <v>0</v>
      </c>
      <c r="AA171" s="445">
        <v>0.15</v>
      </c>
      <c r="AB171" s="445">
        <v>0.14699999999999999</v>
      </c>
      <c r="AC171" s="445">
        <v>0.15</v>
      </c>
      <c r="AD171" s="445">
        <v>0.15</v>
      </c>
      <c r="AE171" s="445">
        <v>0.14699999999999999</v>
      </c>
      <c r="AF171" s="445">
        <v>0.15</v>
      </c>
      <c r="AG171" s="445">
        <v>0.15</v>
      </c>
      <c r="AH171" s="445">
        <v>0.15</v>
      </c>
      <c r="AI171" s="446">
        <v>0.15</v>
      </c>
      <c r="AJ171" s="446">
        <v>0.15</v>
      </c>
      <c r="AK171" s="446">
        <v>0.15</v>
      </c>
      <c r="AL171" s="445">
        <v>0.15</v>
      </c>
      <c r="AM171" s="298">
        <v>7.2431083534424998E-2</v>
      </c>
      <c r="AN171" s="298"/>
      <c r="AO171" s="313">
        <f t="shared" si="16"/>
        <v>0.14699999999999999</v>
      </c>
      <c r="AP171" s="313">
        <f t="shared" si="17"/>
        <v>0.14699999999999999</v>
      </c>
      <c r="AQ171" s="316">
        <f t="shared" si="18"/>
        <v>0.14699999999999999</v>
      </c>
      <c r="IU171" s="315">
        <f t="shared" si="14"/>
        <v>0</v>
      </c>
      <c r="IV171" s="298">
        <v>160</v>
      </c>
    </row>
    <row r="172" spans="1:256" x14ac:dyDescent="0.25">
      <c r="A172" s="326"/>
      <c r="B172" s="321"/>
      <c r="C172" s="301">
        <v>3.3094999999999999</v>
      </c>
      <c r="D172" s="301">
        <v>0.15</v>
      </c>
      <c r="E172" s="301">
        <v>7.2134596578971005E-2</v>
      </c>
      <c r="F172" s="301">
        <v>-0.19500000000000001</v>
      </c>
      <c r="G172" s="301">
        <v>1.4999999999999999E-2</v>
      </c>
      <c r="H172" s="301">
        <v>-0.19500000000000001</v>
      </c>
      <c r="I172" s="301">
        <v>0.16300000000000001</v>
      </c>
      <c r="J172" s="301">
        <v>0.155</v>
      </c>
      <c r="K172" s="301">
        <v>-3.1E-2</v>
      </c>
      <c r="L172" s="301">
        <v>1E-3</v>
      </c>
      <c r="M172" s="301">
        <v>0</v>
      </c>
      <c r="N172" s="301">
        <v>6.4999999999999997E-3</v>
      </c>
      <c r="O172" s="301">
        <v>1.4500000000000001E-2</v>
      </c>
      <c r="P172" s="298">
        <v>-1.4E-2</v>
      </c>
      <c r="Q172" s="298">
        <v>-0.03</v>
      </c>
      <c r="R172" s="298">
        <v>-5.7499999999999999E-3</v>
      </c>
      <c r="S172" s="298">
        <v>-4.9500000000000002E-2</v>
      </c>
      <c r="T172" s="298">
        <v>-0.105</v>
      </c>
      <c r="U172" s="298">
        <v>0.2525</v>
      </c>
      <c r="V172" s="298">
        <v>5.0000000000000001E-3</v>
      </c>
      <c r="W172" s="298">
        <v>-0.19</v>
      </c>
      <c r="X172" s="298">
        <v>-7.0000000000000001E-3</v>
      </c>
      <c r="Y172" s="313">
        <v>0.1875</v>
      </c>
      <c r="Z172" s="313">
        <v>0</v>
      </c>
      <c r="AA172" s="445">
        <v>0.15</v>
      </c>
      <c r="AB172" s="445">
        <v>0.14699999999999999</v>
      </c>
      <c r="AC172" s="445">
        <v>0.15</v>
      </c>
      <c r="AD172" s="445">
        <v>0.15</v>
      </c>
      <c r="AE172" s="445">
        <v>0.14699999999999999</v>
      </c>
      <c r="AF172" s="445">
        <v>0.15</v>
      </c>
      <c r="AG172" s="445">
        <v>0.15</v>
      </c>
      <c r="AH172" s="445">
        <v>0.15</v>
      </c>
      <c r="AI172" s="446">
        <v>0.15</v>
      </c>
      <c r="AJ172" s="446">
        <v>0.15</v>
      </c>
      <c r="AK172" s="446">
        <v>0.15</v>
      </c>
      <c r="AL172" s="445">
        <v>0.15</v>
      </c>
      <c r="AM172" s="298">
        <v>7.2433995448345001E-2</v>
      </c>
      <c r="AN172" s="298"/>
      <c r="AO172" s="313">
        <f t="shared" si="16"/>
        <v>0.14699999999999999</v>
      </c>
      <c r="AP172" s="313">
        <f t="shared" si="17"/>
        <v>0.14699999999999999</v>
      </c>
      <c r="AQ172" s="316">
        <f t="shared" si="18"/>
        <v>0.14699999999999999</v>
      </c>
      <c r="IU172" s="315">
        <f t="shared" si="14"/>
        <v>0</v>
      </c>
      <c r="IV172" s="298">
        <v>161</v>
      </c>
    </row>
    <row r="173" spans="1:256" x14ac:dyDescent="0.25">
      <c r="A173" s="326"/>
      <c r="B173" s="321"/>
      <c r="C173" s="301">
        <v>3.3264999999999998</v>
      </c>
      <c r="D173" s="301">
        <v>0.15</v>
      </c>
      <c r="E173" s="301">
        <v>7.2136273456503003E-2</v>
      </c>
      <c r="F173" s="301">
        <v>-0.19500000000000001</v>
      </c>
      <c r="G173" s="301">
        <v>0.02</v>
      </c>
      <c r="H173" s="301">
        <v>-0.19500000000000001</v>
      </c>
      <c r="I173" s="301">
        <v>0.158</v>
      </c>
      <c r="J173" s="301">
        <v>0.155</v>
      </c>
      <c r="K173" s="301">
        <v>-2.8500000000000001E-2</v>
      </c>
      <c r="L173" s="301">
        <v>3.5000000000000001E-3</v>
      </c>
      <c r="M173" s="301">
        <v>0</v>
      </c>
      <c r="N173" s="301">
        <v>6.4999999999999997E-3</v>
      </c>
      <c r="O173" s="301">
        <v>1.4500000000000001E-2</v>
      </c>
      <c r="P173" s="298">
        <v>-1.15E-2</v>
      </c>
      <c r="Q173" s="298">
        <v>-0.03</v>
      </c>
      <c r="R173" s="298">
        <v>-5.7499999999999999E-3</v>
      </c>
      <c r="S173" s="298">
        <v>-3.95E-2</v>
      </c>
      <c r="T173" s="298">
        <v>-0.105</v>
      </c>
      <c r="U173" s="298">
        <v>0.2525</v>
      </c>
      <c r="V173" s="298">
        <v>5.0000000000000001E-3</v>
      </c>
      <c r="W173" s="298">
        <v>-0.19</v>
      </c>
      <c r="X173" s="298">
        <v>-9.4999999999999998E-3</v>
      </c>
      <c r="Y173" s="313">
        <v>0.1875</v>
      </c>
      <c r="Z173" s="313">
        <v>0</v>
      </c>
      <c r="AA173" s="445">
        <v>0.15</v>
      </c>
      <c r="AB173" s="445">
        <v>0.14699999999999999</v>
      </c>
      <c r="AC173" s="445">
        <v>0.15</v>
      </c>
      <c r="AD173" s="445">
        <v>0.15</v>
      </c>
      <c r="AE173" s="445">
        <v>0.14699999999999999</v>
      </c>
      <c r="AF173" s="445">
        <v>0.15</v>
      </c>
      <c r="AG173" s="445">
        <v>0.15</v>
      </c>
      <c r="AH173" s="445">
        <v>0.15</v>
      </c>
      <c r="AI173" s="446">
        <v>0.15</v>
      </c>
      <c r="AJ173" s="446">
        <v>0.15</v>
      </c>
      <c r="AK173" s="446">
        <v>0.15</v>
      </c>
      <c r="AL173" s="445">
        <v>0.15</v>
      </c>
      <c r="AM173" s="298">
        <v>7.2437004426065002E-2</v>
      </c>
      <c r="AN173" s="298"/>
      <c r="AO173" s="313">
        <f t="shared" si="16"/>
        <v>0.14699999999999999</v>
      </c>
      <c r="AP173" s="313">
        <f t="shared" si="17"/>
        <v>0.14699999999999999</v>
      </c>
      <c r="AQ173" s="316">
        <f t="shared" si="18"/>
        <v>0.14699999999999999</v>
      </c>
      <c r="IU173" s="315">
        <f t="shared" si="14"/>
        <v>0</v>
      </c>
      <c r="IV173" s="298">
        <v>162</v>
      </c>
    </row>
    <row r="174" spans="1:256" x14ac:dyDescent="0.25">
      <c r="A174" s="326"/>
      <c r="B174" s="321"/>
      <c r="C174" s="301">
        <v>3.3294999999999999</v>
      </c>
      <c r="D174" s="301">
        <v>0.15</v>
      </c>
      <c r="E174" s="301">
        <v>7.2137896241212002E-2</v>
      </c>
      <c r="F174" s="301">
        <v>-0.19500000000000001</v>
      </c>
      <c r="G174" s="301">
        <v>2.2499999999999999E-2</v>
      </c>
      <c r="H174" s="301">
        <v>-0.19500000000000001</v>
      </c>
      <c r="I174" s="301">
        <v>0.14699999999999999</v>
      </c>
      <c r="J174" s="301">
        <v>0.155</v>
      </c>
      <c r="K174" s="301">
        <v>-2.8500000000000001E-2</v>
      </c>
      <c r="L174" s="301">
        <v>3.5000000000000001E-3</v>
      </c>
      <c r="M174" s="301">
        <v>0</v>
      </c>
      <c r="N174" s="301">
        <v>6.4999999999999997E-3</v>
      </c>
      <c r="O174" s="301">
        <v>1.4500000000000001E-2</v>
      </c>
      <c r="P174" s="298">
        <v>-1.15E-2</v>
      </c>
      <c r="Q174" s="298">
        <v>-0.03</v>
      </c>
      <c r="R174" s="298">
        <v>-5.7499999999999999E-3</v>
      </c>
      <c r="S174" s="298">
        <v>-3.95E-2</v>
      </c>
      <c r="T174" s="298">
        <v>-0.105</v>
      </c>
      <c r="U174" s="298">
        <v>0.25750000000000001</v>
      </c>
      <c r="V174" s="298">
        <v>5.0000000000000001E-3</v>
      </c>
      <c r="W174" s="298">
        <v>-0.19</v>
      </c>
      <c r="X174" s="298">
        <v>-9.4999999999999998E-3</v>
      </c>
      <c r="Y174" s="313">
        <v>0.1875</v>
      </c>
      <c r="Z174" s="313">
        <v>0</v>
      </c>
      <c r="AA174" s="445">
        <v>0.15</v>
      </c>
      <c r="AB174" s="445">
        <v>0.14699999999999999</v>
      </c>
      <c r="AC174" s="445">
        <v>0.15</v>
      </c>
      <c r="AD174" s="445">
        <v>0.15</v>
      </c>
      <c r="AE174" s="445">
        <v>0.14699999999999999</v>
      </c>
      <c r="AF174" s="445">
        <v>0.15</v>
      </c>
      <c r="AG174" s="445">
        <v>0.15</v>
      </c>
      <c r="AH174" s="445">
        <v>0.15</v>
      </c>
      <c r="AI174" s="446">
        <v>0.15</v>
      </c>
      <c r="AJ174" s="446">
        <v>0.15</v>
      </c>
      <c r="AK174" s="446">
        <v>0.15</v>
      </c>
      <c r="AL174" s="445">
        <v>0.15</v>
      </c>
      <c r="AM174" s="298">
        <v>7.2439916339999993E-2</v>
      </c>
      <c r="AN174" s="298"/>
      <c r="AO174" s="313">
        <f t="shared" si="16"/>
        <v>0.14699999999999999</v>
      </c>
      <c r="AP174" s="313">
        <f t="shared" si="17"/>
        <v>0.14699999999999999</v>
      </c>
      <c r="AQ174" s="316">
        <f t="shared" si="18"/>
        <v>0.14699999999999999</v>
      </c>
      <c r="IU174" s="315">
        <f t="shared" si="14"/>
        <v>0</v>
      </c>
      <c r="IV174" s="298">
        <v>163</v>
      </c>
    </row>
    <row r="175" spans="1:256" x14ac:dyDescent="0.25">
      <c r="A175" s="326"/>
      <c r="B175" s="321"/>
      <c r="C175" s="301">
        <v>3.3355000000000001</v>
      </c>
      <c r="D175" s="301">
        <v>0.15</v>
      </c>
      <c r="E175" s="301">
        <v>7.2139573118746997E-2</v>
      </c>
      <c r="F175" s="301">
        <v>-0.19500000000000001</v>
      </c>
      <c r="G175" s="301">
        <v>2.5000000000000001E-2</v>
      </c>
      <c r="H175" s="301">
        <v>-0.19500000000000001</v>
      </c>
      <c r="I175" s="301">
        <v>0.14499999999999999</v>
      </c>
      <c r="J175" s="301">
        <v>0.155</v>
      </c>
      <c r="K175" s="301">
        <v>-2.8500000000000001E-2</v>
      </c>
      <c r="L175" s="301">
        <v>3.5000000000000001E-3</v>
      </c>
      <c r="M175" s="301">
        <v>0</v>
      </c>
      <c r="N175" s="301">
        <v>6.4999999999999997E-3</v>
      </c>
      <c r="O175" s="301">
        <v>1.4500000000000001E-2</v>
      </c>
      <c r="P175" s="298">
        <v>-1.15E-2</v>
      </c>
      <c r="Q175" s="298">
        <v>-0.03</v>
      </c>
      <c r="R175" s="298">
        <v>-3.2499999999999999E-3</v>
      </c>
      <c r="S175" s="298">
        <v>-3.95E-2</v>
      </c>
      <c r="T175" s="298">
        <v>-0.105</v>
      </c>
      <c r="U175" s="298">
        <v>0.25750000000000001</v>
      </c>
      <c r="V175" s="298">
        <v>5.0000000000000001E-3</v>
      </c>
      <c r="W175" s="298">
        <v>-0.19</v>
      </c>
      <c r="X175" s="298">
        <v>-9.4999999999999998E-3</v>
      </c>
      <c r="Y175" s="313">
        <v>0.1875</v>
      </c>
      <c r="Z175" s="313">
        <v>0</v>
      </c>
      <c r="AA175" s="445">
        <v>0.15</v>
      </c>
      <c r="AB175" s="445">
        <v>0.14699999999999999</v>
      </c>
      <c r="AC175" s="445">
        <v>0.15</v>
      </c>
      <c r="AD175" s="445">
        <v>0.15</v>
      </c>
      <c r="AE175" s="445">
        <v>0.14699999999999999</v>
      </c>
      <c r="AF175" s="445">
        <v>0.15</v>
      </c>
      <c r="AG175" s="445">
        <v>0.15</v>
      </c>
      <c r="AH175" s="445">
        <v>0.15</v>
      </c>
      <c r="AI175" s="446">
        <v>0.15</v>
      </c>
      <c r="AJ175" s="446">
        <v>0.15</v>
      </c>
      <c r="AK175" s="446">
        <v>0.15</v>
      </c>
      <c r="AL175" s="445">
        <v>0.15</v>
      </c>
      <c r="AM175" s="298">
        <v>7.2442925317716997E-2</v>
      </c>
      <c r="AN175" s="298"/>
      <c r="AO175" s="313">
        <f t="shared" si="16"/>
        <v>0.14699999999999999</v>
      </c>
      <c r="AP175" s="313">
        <f t="shared" si="17"/>
        <v>0.14699999999999999</v>
      </c>
      <c r="AQ175" s="316">
        <f t="shared" si="18"/>
        <v>0.14699999999999999</v>
      </c>
      <c r="IU175" s="315">
        <f t="shared" si="14"/>
        <v>0</v>
      </c>
      <c r="IV175" s="298">
        <v>164</v>
      </c>
    </row>
    <row r="176" spans="1:256" x14ac:dyDescent="0.25">
      <c r="A176" s="326"/>
      <c r="B176" s="321"/>
      <c r="C176" s="301">
        <v>3.3294999999999999</v>
      </c>
      <c r="D176" s="301">
        <v>0.15</v>
      </c>
      <c r="E176" s="301">
        <v>7.2141249996282006E-2</v>
      </c>
      <c r="F176" s="301">
        <v>-0.19500000000000001</v>
      </c>
      <c r="G176" s="301">
        <v>1.7500000000000002E-2</v>
      </c>
      <c r="H176" s="301">
        <v>-0.19500000000000001</v>
      </c>
      <c r="I176" s="301">
        <v>0.14199999999999999</v>
      </c>
      <c r="J176" s="301">
        <v>0.155</v>
      </c>
      <c r="K176" s="301">
        <v>-3.1E-2</v>
      </c>
      <c r="L176" s="301">
        <v>1E-3</v>
      </c>
      <c r="M176" s="301">
        <v>0</v>
      </c>
      <c r="N176" s="301">
        <v>6.4999999999999997E-3</v>
      </c>
      <c r="O176" s="301">
        <v>1.4500000000000001E-2</v>
      </c>
      <c r="P176" s="298">
        <v>-1.15E-2</v>
      </c>
      <c r="Q176" s="298">
        <v>-0.03</v>
      </c>
      <c r="R176" s="298">
        <v>-3.2499999999999999E-3</v>
      </c>
      <c r="S176" s="298">
        <v>-4.7E-2</v>
      </c>
      <c r="T176" s="298">
        <v>-0.105</v>
      </c>
      <c r="U176" s="298">
        <v>0.2525</v>
      </c>
      <c r="V176" s="298">
        <v>5.0000000000000001E-3</v>
      </c>
      <c r="W176" s="298">
        <v>-0.19</v>
      </c>
      <c r="X176" s="298">
        <v>-1.2E-2</v>
      </c>
      <c r="Y176" s="313">
        <v>0.1875</v>
      </c>
      <c r="Z176" s="313">
        <v>0</v>
      </c>
      <c r="AA176" s="445">
        <v>0.15</v>
      </c>
      <c r="AB176" s="445">
        <v>0.14699999999999999</v>
      </c>
      <c r="AC176" s="445">
        <v>0.15</v>
      </c>
      <c r="AD176" s="445">
        <v>0.15</v>
      </c>
      <c r="AE176" s="445">
        <v>0.14699999999999999</v>
      </c>
      <c r="AF176" s="445">
        <v>0.15</v>
      </c>
      <c r="AG176" s="445">
        <v>0.15</v>
      </c>
      <c r="AH176" s="445">
        <v>0.15</v>
      </c>
      <c r="AI176" s="446">
        <v>0.15</v>
      </c>
      <c r="AJ176" s="446">
        <v>0.15</v>
      </c>
      <c r="AK176" s="446">
        <v>0.15</v>
      </c>
      <c r="AL176" s="445">
        <v>0.15</v>
      </c>
      <c r="AM176" s="298">
        <v>7.2445934295446004E-2</v>
      </c>
      <c r="AN176" s="298"/>
      <c r="AO176" s="313">
        <f t="shared" si="16"/>
        <v>0.14699999999999999</v>
      </c>
      <c r="AP176" s="313">
        <f t="shared" si="17"/>
        <v>0.14699999999999999</v>
      </c>
      <c r="AQ176" s="316">
        <f t="shared" si="18"/>
        <v>0.14699999999999999</v>
      </c>
      <c r="IU176" s="315">
        <f t="shared" si="14"/>
        <v>0</v>
      </c>
      <c r="IV176" s="298">
        <v>165</v>
      </c>
    </row>
    <row r="177" spans="1:256" x14ac:dyDescent="0.25">
      <c r="A177" s="326"/>
      <c r="B177" s="321"/>
      <c r="C177" s="301">
        <v>3.3464999999999998</v>
      </c>
      <c r="D177" s="301">
        <v>0.15</v>
      </c>
      <c r="E177" s="301">
        <v>7.2142872780999998E-2</v>
      </c>
      <c r="F177" s="301">
        <v>-0.19500000000000001</v>
      </c>
      <c r="G177" s="301">
        <v>7.4999999999999997E-3</v>
      </c>
      <c r="H177" s="301">
        <v>-0.19500000000000001</v>
      </c>
      <c r="I177" s="301">
        <v>0.158</v>
      </c>
      <c r="J177" s="301">
        <v>0.1575</v>
      </c>
      <c r="K177" s="301">
        <v>-3.1E-2</v>
      </c>
      <c r="L177" s="301">
        <v>1E-3</v>
      </c>
      <c r="M177" s="301">
        <v>0</v>
      </c>
      <c r="N177" s="301">
        <v>6.4999999999999997E-3</v>
      </c>
      <c r="O177" s="301">
        <v>1.4500000000000001E-2</v>
      </c>
      <c r="P177" s="298">
        <v>-1.15E-2</v>
      </c>
      <c r="Q177" s="298">
        <v>-0.03</v>
      </c>
      <c r="R177" s="298">
        <v>-2.4E-2</v>
      </c>
      <c r="S177" s="298">
        <v>-4.7E-2</v>
      </c>
      <c r="T177" s="298">
        <v>-0.105</v>
      </c>
      <c r="U177" s="298">
        <v>0.255</v>
      </c>
      <c r="V177" s="298">
        <v>5.0000000000000001E-3</v>
      </c>
      <c r="W177" s="298">
        <v>-0.19</v>
      </c>
      <c r="X177" s="298">
        <v>-1.2E-2</v>
      </c>
      <c r="Y177" s="313">
        <v>0.1875</v>
      </c>
      <c r="Z177" s="313">
        <v>0</v>
      </c>
      <c r="AA177" s="445">
        <v>0.15</v>
      </c>
      <c r="AB177" s="445">
        <v>0.14699999999999999</v>
      </c>
      <c r="AC177" s="445">
        <v>0.15</v>
      </c>
      <c r="AD177" s="445">
        <v>0.15</v>
      </c>
      <c r="AE177" s="445">
        <v>0.14699999999999999</v>
      </c>
      <c r="AF177" s="445">
        <v>0.15</v>
      </c>
      <c r="AG177" s="445">
        <v>0.15</v>
      </c>
      <c r="AH177" s="445">
        <v>0.15</v>
      </c>
      <c r="AI177" s="446">
        <v>0.15</v>
      </c>
      <c r="AJ177" s="446">
        <v>0.15</v>
      </c>
      <c r="AK177" s="446">
        <v>0.15</v>
      </c>
      <c r="AL177" s="445">
        <v>0.15</v>
      </c>
      <c r="AM177" s="298">
        <v>7.2448846209379997E-2</v>
      </c>
      <c r="AN177" s="298"/>
      <c r="AO177" s="313">
        <f t="shared" si="16"/>
        <v>0.14699999999999999</v>
      </c>
      <c r="AP177" s="313">
        <f t="shared" si="17"/>
        <v>0.14699999999999999</v>
      </c>
      <c r="AQ177" s="316">
        <f t="shared" si="18"/>
        <v>0.14699999999999999</v>
      </c>
      <c r="IU177" s="315">
        <f t="shared" si="14"/>
        <v>0</v>
      </c>
      <c r="IV177" s="298">
        <v>166</v>
      </c>
    </row>
    <row r="178" spans="1:256" x14ac:dyDescent="0.25">
      <c r="A178" s="326"/>
      <c r="B178" s="321"/>
      <c r="C178" s="301">
        <v>3.4295</v>
      </c>
      <c r="D178" s="301">
        <v>0.15</v>
      </c>
      <c r="E178" s="301">
        <v>7.2144549658529997E-2</v>
      </c>
      <c r="F178" s="301">
        <v>-0.19</v>
      </c>
      <c r="G178" s="301">
        <v>-3.2500000000000001E-2</v>
      </c>
      <c r="H178" s="301">
        <v>-0.19</v>
      </c>
      <c r="I178" s="301">
        <v>0.23499999999999999</v>
      </c>
      <c r="J178" s="301">
        <v>0.24</v>
      </c>
      <c r="K178" s="301">
        <v>-4.2500000000000003E-2</v>
      </c>
      <c r="L178" s="301">
        <v>-4.0000000000000001E-3</v>
      </c>
      <c r="M178" s="301">
        <v>0</v>
      </c>
      <c r="N178" s="301">
        <v>1.0999999999999999E-2</v>
      </c>
      <c r="O178" s="301">
        <v>1.9E-2</v>
      </c>
      <c r="P178" s="298">
        <v>-1.4500000000000001E-2</v>
      </c>
      <c r="Q178" s="298">
        <v>-0.03</v>
      </c>
      <c r="R178" s="298">
        <v>-2.3E-2</v>
      </c>
      <c r="S178" s="298">
        <v>-6.2E-2</v>
      </c>
      <c r="T178" s="298">
        <v>-0.14499999999999999</v>
      </c>
      <c r="U178" s="298">
        <v>0.72499999999999998</v>
      </c>
      <c r="V178" s="298">
        <v>5.0000000000000001E-3</v>
      </c>
      <c r="W178" s="298">
        <v>-0.19</v>
      </c>
      <c r="X178" s="298">
        <v>-9.4999999999999998E-3</v>
      </c>
      <c r="Y178" s="313">
        <v>0.1</v>
      </c>
      <c r="Z178" s="313">
        <v>0</v>
      </c>
      <c r="AA178" s="445">
        <v>0.15</v>
      </c>
      <c r="AB178" s="445">
        <v>0.16500000000000001</v>
      </c>
      <c r="AC178" s="445">
        <v>0.15</v>
      </c>
      <c r="AD178" s="445">
        <v>0.15</v>
      </c>
      <c r="AE178" s="445">
        <v>0.15</v>
      </c>
      <c r="AF178" s="445">
        <v>0.15</v>
      </c>
      <c r="AG178" s="445">
        <v>0.15</v>
      </c>
      <c r="AH178" s="445">
        <v>0.15</v>
      </c>
      <c r="AI178" s="446">
        <v>0.15</v>
      </c>
      <c r="AJ178" s="446">
        <v>0.15</v>
      </c>
      <c r="AK178" s="446">
        <v>0.15</v>
      </c>
      <c r="AL178" s="445">
        <v>0.15</v>
      </c>
      <c r="AM178" s="298">
        <v>7.2451855187115E-2</v>
      </c>
      <c r="AN178" s="298"/>
      <c r="AO178" s="313">
        <f t="shared" si="16"/>
        <v>0.16500000000000001</v>
      </c>
      <c r="AP178" s="313">
        <f t="shared" si="17"/>
        <v>0.16500000000000001</v>
      </c>
      <c r="AQ178" s="316">
        <f t="shared" si="18"/>
        <v>0.16500000000000001</v>
      </c>
      <c r="IU178" s="315">
        <f t="shared" si="14"/>
        <v>0</v>
      </c>
      <c r="IV178" s="298">
        <v>167</v>
      </c>
    </row>
    <row r="179" spans="1:256" x14ac:dyDescent="0.25">
      <c r="A179" s="326"/>
      <c r="B179" s="321"/>
      <c r="C179" s="301">
        <v>3.5225</v>
      </c>
      <c r="D179" s="301">
        <v>0.15</v>
      </c>
      <c r="E179" s="301">
        <v>7.2146172443245005E-2</v>
      </c>
      <c r="F179" s="301">
        <v>-0.19750000000000001</v>
      </c>
      <c r="G179" s="301">
        <v>-5.5E-2</v>
      </c>
      <c r="H179" s="301">
        <v>-0.19750000000000001</v>
      </c>
      <c r="I179" s="301">
        <v>0.27500000000000002</v>
      </c>
      <c r="J179" s="301">
        <v>0.29499999999999998</v>
      </c>
      <c r="K179" s="301">
        <v>-4.2500000000000003E-2</v>
      </c>
      <c r="L179" s="301">
        <v>-6.4999999999999997E-3</v>
      </c>
      <c r="M179" s="301">
        <v>0</v>
      </c>
      <c r="N179" s="301">
        <v>1.0999999999999999E-2</v>
      </c>
      <c r="O179" s="301">
        <v>1.9E-2</v>
      </c>
      <c r="P179" s="298">
        <v>-1.4500000000000001E-2</v>
      </c>
      <c r="Q179" s="298">
        <v>-0.03</v>
      </c>
      <c r="R179" s="298">
        <v>-2.3E-2</v>
      </c>
      <c r="S179" s="298">
        <v>-7.6999999999999999E-2</v>
      </c>
      <c r="T179" s="298">
        <v>-0.14499999999999999</v>
      </c>
      <c r="U179" s="298">
        <v>1.0449999999999999</v>
      </c>
      <c r="V179" s="298">
        <v>5.0000000000000001E-3</v>
      </c>
      <c r="W179" s="298">
        <v>-0.19</v>
      </c>
      <c r="X179" s="298">
        <v>-9.4999999999999998E-3</v>
      </c>
      <c r="Y179" s="313">
        <v>0.1</v>
      </c>
      <c r="Z179" s="313">
        <v>0</v>
      </c>
      <c r="AA179" s="445">
        <v>0.15</v>
      </c>
      <c r="AB179" s="445">
        <v>0.16500000000000001</v>
      </c>
      <c r="AC179" s="445">
        <v>0.15</v>
      </c>
      <c r="AD179" s="445">
        <v>0.15</v>
      </c>
      <c r="AE179" s="445">
        <v>0.15</v>
      </c>
      <c r="AF179" s="445">
        <v>0.15</v>
      </c>
      <c r="AG179" s="445">
        <v>0.15</v>
      </c>
      <c r="AH179" s="445">
        <v>0.15</v>
      </c>
      <c r="AI179" s="446">
        <v>0.15</v>
      </c>
      <c r="AJ179" s="446">
        <v>0.15</v>
      </c>
      <c r="AK179" s="446">
        <v>0.15</v>
      </c>
      <c r="AL179" s="445">
        <v>0.15</v>
      </c>
      <c r="AM179" s="298">
        <v>7.2454767101054002E-2</v>
      </c>
      <c r="AN179" s="298"/>
      <c r="AO179" s="313">
        <f t="shared" si="16"/>
        <v>0.16500000000000001</v>
      </c>
      <c r="AP179" s="313">
        <f t="shared" si="17"/>
        <v>0.16500000000000001</v>
      </c>
      <c r="AQ179" s="316">
        <f t="shared" si="18"/>
        <v>0.16500000000000001</v>
      </c>
      <c r="IU179" s="315">
        <f t="shared" si="14"/>
        <v>0</v>
      </c>
      <c r="IV179" s="298">
        <v>168</v>
      </c>
    </row>
    <row r="180" spans="1:256" x14ac:dyDescent="0.25">
      <c r="A180" s="326"/>
      <c r="B180" s="321"/>
      <c r="C180" s="301">
        <v>3.5670000000000002</v>
      </c>
      <c r="D180" s="301">
        <v>0.15</v>
      </c>
      <c r="E180" s="301">
        <v>7.2147849320782997E-2</v>
      </c>
      <c r="F180" s="301">
        <v>-0.2</v>
      </c>
      <c r="G180" s="301">
        <v>-5.7500000000000002E-2</v>
      </c>
      <c r="H180" s="301">
        <v>-0.2</v>
      </c>
      <c r="I180" s="301">
        <v>0.28499999999999998</v>
      </c>
      <c r="J180" s="301">
        <v>0.34250000000000003</v>
      </c>
      <c r="K180" s="301">
        <v>-4.65E-2</v>
      </c>
      <c r="L180" s="301">
        <v>-5.0000000000000001E-4</v>
      </c>
      <c r="M180" s="301">
        <v>0</v>
      </c>
      <c r="N180" s="301">
        <v>1.0999999999999999E-2</v>
      </c>
      <c r="O180" s="301">
        <v>1.9E-2</v>
      </c>
      <c r="P180" s="298">
        <v>-0.01</v>
      </c>
      <c r="Q180" s="298">
        <v>-0.03</v>
      </c>
      <c r="R180" s="298">
        <v>-2.3E-2</v>
      </c>
      <c r="S180" s="298">
        <v>-8.7499999999999994E-2</v>
      </c>
      <c r="T180" s="298">
        <v>-0.14499999999999999</v>
      </c>
      <c r="U180" s="298">
        <v>1.52</v>
      </c>
      <c r="V180" s="298">
        <v>5.0000000000000001E-3</v>
      </c>
      <c r="W180" s="298">
        <v>-0.19</v>
      </c>
      <c r="X180" s="298">
        <v>-9.4999999999999998E-3</v>
      </c>
      <c r="Y180" s="313">
        <v>0.1</v>
      </c>
      <c r="Z180" s="313">
        <v>0</v>
      </c>
      <c r="AA180" s="445">
        <v>0.15</v>
      </c>
      <c r="AB180" s="445">
        <v>0.15</v>
      </c>
      <c r="AC180" s="445">
        <v>0.15</v>
      </c>
      <c r="AD180" s="445">
        <v>0.15</v>
      </c>
      <c r="AE180" s="445">
        <v>0.15</v>
      </c>
      <c r="AF180" s="445">
        <v>0.15</v>
      </c>
      <c r="AG180" s="445">
        <v>0.15</v>
      </c>
      <c r="AH180" s="445">
        <v>0.15</v>
      </c>
      <c r="AI180" s="446">
        <v>0.15</v>
      </c>
      <c r="AJ180" s="446">
        <v>0.15</v>
      </c>
      <c r="AK180" s="446">
        <v>0.15</v>
      </c>
      <c r="AL180" s="445">
        <v>0.15</v>
      </c>
      <c r="AM180" s="298">
        <v>7.2457776078795E-2</v>
      </c>
      <c r="AN180" s="298"/>
      <c r="AO180" s="313">
        <f t="shared" si="16"/>
        <v>0.15</v>
      </c>
      <c r="AP180" s="313">
        <f t="shared" si="17"/>
        <v>0.15</v>
      </c>
      <c r="AQ180" s="316">
        <f t="shared" si="18"/>
        <v>0.15</v>
      </c>
      <c r="IU180" s="315">
        <f t="shared" si="14"/>
        <v>0</v>
      </c>
      <c r="IV180" s="298">
        <v>169</v>
      </c>
    </row>
    <row r="181" spans="1:256" x14ac:dyDescent="0.25">
      <c r="A181" s="326"/>
      <c r="B181" s="321"/>
      <c r="C181" s="301">
        <v>3.4980000000000002</v>
      </c>
      <c r="D181" s="301">
        <v>0.15</v>
      </c>
      <c r="E181" s="301">
        <v>7.2149526198323002E-2</v>
      </c>
      <c r="F181" s="301">
        <v>-0.20250000000000001</v>
      </c>
      <c r="G181" s="301">
        <v>-0.04</v>
      </c>
      <c r="H181" s="301">
        <v>-0.20250000000000001</v>
      </c>
      <c r="I181" s="301">
        <v>0.26</v>
      </c>
      <c r="J181" s="301">
        <v>0.33750000000000002</v>
      </c>
      <c r="K181" s="301">
        <v>-4.2500000000000003E-2</v>
      </c>
      <c r="L181" s="301">
        <v>-6.4999999999999997E-3</v>
      </c>
      <c r="M181" s="301">
        <v>0</v>
      </c>
      <c r="N181" s="301">
        <v>1.0999999999999999E-2</v>
      </c>
      <c r="O181" s="301">
        <v>1.9E-2</v>
      </c>
      <c r="P181" s="298">
        <v>-0.01</v>
      </c>
      <c r="Q181" s="298">
        <v>-0.03</v>
      </c>
      <c r="R181" s="298">
        <v>-2.3E-2</v>
      </c>
      <c r="S181" s="298">
        <v>-7.4999999999999997E-2</v>
      </c>
      <c r="T181" s="298">
        <v>-0.14499999999999999</v>
      </c>
      <c r="U181" s="298">
        <v>1.4</v>
      </c>
      <c r="V181" s="298">
        <v>5.0000000000000001E-3</v>
      </c>
      <c r="W181" s="298">
        <v>-0.19</v>
      </c>
      <c r="X181" s="298">
        <v>-9.4999999999999998E-3</v>
      </c>
      <c r="Y181" s="313">
        <v>0.1</v>
      </c>
      <c r="Z181" s="313">
        <v>0</v>
      </c>
      <c r="AA181" s="445">
        <v>0.15</v>
      </c>
      <c r="AB181" s="445">
        <v>0.16500000000000001</v>
      </c>
      <c r="AC181" s="445">
        <v>0.15</v>
      </c>
      <c r="AD181" s="445">
        <v>0.15</v>
      </c>
      <c r="AE181" s="445">
        <v>0.15</v>
      </c>
      <c r="AF181" s="445">
        <v>0.15</v>
      </c>
      <c r="AG181" s="445">
        <v>0.15</v>
      </c>
      <c r="AH181" s="445">
        <v>0.15</v>
      </c>
      <c r="AI181" s="446">
        <v>0.15</v>
      </c>
      <c r="AJ181" s="446">
        <v>0.15</v>
      </c>
      <c r="AK181" s="446">
        <v>0.15</v>
      </c>
      <c r="AL181" s="445">
        <v>0.15</v>
      </c>
      <c r="AM181" s="298">
        <v>7.2460785056538995E-2</v>
      </c>
      <c r="AN181" s="298"/>
      <c r="AO181" s="313">
        <f t="shared" si="16"/>
        <v>0.16500000000000001</v>
      </c>
      <c r="AP181" s="313">
        <f t="shared" si="17"/>
        <v>0.16500000000000001</v>
      </c>
      <c r="AQ181" s="316">
        <f t="shared" si="18"/>
        <v>0.16500000000000001</v>
      </c>
      <c r="IU181" s="315">
        <f t="shared" si="14"/>
        <v>0</v>
      </c>
      <c r="IV181" s="298">
        <v>170</v>
      </c>
    </row>
    <row r="182" spans="1:256" x14ac:dyDescent="0.25">
      <c r="A182" s="326"/>
      <c r="B182" s="321"/>
      <c r="C182" s="301">
        <v>3.4159999999999999</v>
      </c>
      <c r="D182" s="301">
        <v>0.15</v>
      </c>
      <c r="E182" s="301">
        <v>7.2151040797391E-2</v>
      </c>
      <c r="F182" s="301">
        <v>-0.20499999999999999</v>
      </c>
      <c r="G182" s="301">
        <v>-2.75E-2</v>
      </c>
      <c r="H182" s="301">
        <v>-0.20499999999999999</v>
      </c>
      <c r="I182" s="301">
        <v>0.25700000000000001</v>
      </c>
      <c r="J182" s="301">
        <v>0.26</v>
      </c>
      <c r="K182" s="301">
        <v>-4.3999999999999997E-2</v>
      </c>
      <c r="L182" s="301">
        <v>-9.4999999999999998E-3</v>
      </c>
      <c r="M182" s="301">
        <v>0</v>
      </c>
      <c r="N182" s="301">
        <v>1.0999999999999999E-2</v>
      </c>
      <c r="O182" s="301">
        <v>1.9E-2</v>
      </c>
      <c r="P182" s="298">
        <v>-0.01</v>
      </c>
      <c r="Q182" s="298">
        <v>-0.03</v>
      </c>
      <c r="R182" s="298">
        <v>-4.7000000000000002E-3</v>
      </c>
      <c r="S182" s="298">
        <v>-6.25E-2</v>
      </c>
      <c r="T182" s="298">
        <v>-0.14499999999999999</v>
      </c>
      <c r="U182" s="298">
        <v>0.88</v>
      </c>
      <c r="V182" s="298">
        <v>5.0000000000000001E-3</v>
      </c>
      <c r="W182" s="298">
        <v>-0.19</v>
      </c>
      <c r="X182" s="298">
        <v>-9.4999999999999998E-3</v>
      </c>
      <c r="Y182" s="313">
        <v>0.1</v>
      </c>
      <c r="Z182" s="313">
        <v>0</v>
      </c>
      <c r="AA182" s="445">
        <v>0.15</v>
      </c>
      <c r="AB182" s="445">
        <v>0.16500000000000001</v>
      </c>
      <c r="AC182" s="445">
        <v>0.15</v>
      </c>
      <c r="AD182" s="445">
        <v>0.15</v>
      </c>
      <c r="AE182" s="445">
        <v>0.15</v>
      </c>
      <c r="AF182" s="445">
        <v>0.15</v>
      </c>
      <c r="AG182" s="445">
        <v>0.15</v>
      </c>
      <c r="AH182" s="445">
        <v>0.15</v>
      </c>
      <c r="AI182" s="446">
        <v>0.15</v>
      </c>
      <c r="AJ182" s="446">
        <v>0.15</v>
      </c>
      <c r="AK182" s="446">
        <v>0.15</v>
      </c>
      <c r="AL182" s="445">
        <v>0.15</v>
      </c>
      <c r="AM182" s="298">
        <v>7.2463502842891006E-2</v>
      </c>
      <c r="AN182" s="298"/>
      <c r="AO182" s="313">
        <f t="shared" si="16"/>
        <v>0.16500000000000001</v>
      </c>
      <c r="AP182" s="313">
        <f t="shared" si="17"/>
        <v>0.16500000000000001</v>
      </c>
      <c r="AQ182" s="316">
        <f t="shared" si="18"/>
        <v>0.16500000000000001</v>
      </c>
      <c r="IU182" s="315">
        <f t="shared" si="14"/>
        <v>0</v>
      </c>
      <c r="IV182" s="298">
        <v>171</v>
      </c>
    </row>
    <row r="183" spans="1:256" x14ac:dyDescent="0.25">
      <c r="A183" s="326"/>
      <c r="B183" s="321"/>
      <c r="C183" s="301">
        <v>3.3490000000000002</v>
      </c>
      <c r="D183" s="301">
        <v>0.15</v>
      </c>
      <c r="E183" s="301">
        <v>7.2152717674932004E-2</v>
      </c>
      <c r="F183" s="301">
        <v>-0.19500000000000001</v>
      </c>
      <c r="G183" s="301">
        <v>1.4999999999999999E-2</v>
      </c>
      <c r="H183" s="301">
        <v>-0.19500000000000001</v>
      </c>
      <c r="I183" s="301">
        <v>0.155</v>
      </c>
      <c r="J183" s="301">
        <v>0.17</v>
      </c>
      <c r="K183" s="301">
        <v>-5.3999999999999999E-2</v>
      </c>
      <c r="L183" s="301">
        <v>-2.1999999999999999E-2</v>
      </c>
      <c r="M183" s="301">
        <v>0</v>
      </c>
      <c r="N183" s="301">
        <v>6.4999999999999997E-3</v>
      </c>
      <c r="O183" s="301">
        <v>1.6500000000000001E-2</v>
      </c>
      <c r="P183" s="298">
        <v>-1.2E-2</v>
      </c>
      <c r="Q183" s="298">
        <v>-0.03</v>
      </c>
      <c r="R183" s="298">
        <v>-4.7000000000000002E-3</v>
      </c>
      <c r="S183" s="298">
        <v>-4.4999999999999998E-2</v>
      </c>
      <c r="T183" s="298">
        <v>-0.105</v>
      </c>
      <c r="U183" s="298">
        <v>0.37</v>
      </c>
      <c r="V183" s="298">
        <v>5.0000000000000001E-3</v>
      </c>
      <c r="W183" s="298">
        <v>-0.19</v>
      </c>
      <c r="X183" s="298">
        <v>-9.4999999999999998E-3</v>
      </c>
      <c r="Y183" s="313">
        <v>0.1875</v>
      </c>
      <c r="Z183" s="313">
        <v>0</v>
      </c>
      <c r="AA183" s="445">
        <v>0.15</v>
      </c>
      <c r="AB183" s="445">
        <v>0.14699999999999999</v>
      </c>
      <c r="AC183" s="445">
        <v>0.15</v>
      </c>
      <c r="AD183" s="445">
        <v>0.15</v>
      </c>
      <c r="AE183" s="445">
        <v>0.14699999999999999</v>
      </c>
      <c r="AF183" s="445">
        <v>0.15</v>
      </c>
      <c r="AG183" s="445">
        <v>0.15</v>
      </c>
      <c r="AH183" s="445">
        <v>0.15</v>
      </c>
      <c r="AI183" s="446">
        <v>0.15</v>
      </c>
      <c r="AJ183" s="446">
        <v>0.15</v>
      </c>
      <c r="AK183" s="446">
        <v>0.15</v>
      </c>
      <c r="AL183" s="445">
        <v>0.15</v>
      </c>
      <c r="AM183" s="298">
        <v>7.2466511820639998E-2</v>
      </c>
      <c r="AN183" s="298"/>
      <c r="AO183" s="313">
        <f t="shared" si="16"/>
        <v>0.14699999999999999</v>
      </c>
      <c r="AP183" s="313">
        <f t="shared" si="17"/>
        <v>0.14699999999999999</v>
      </c>
      <c r="AQ183" s="316">
        <f t="shared" si="18"/>
        <v>0.14699999999999999</v>
      </c>
      <c r="IU183" s="315">
        <f t="shared" si="14"/>
        <v>0</v>
      </c>
      <c r="IV183" s="298">
        <v>172</v>
      </c>
    </row>
    <row r="184" spans="1:256" x14ac:dyDescent="0.25">
      <c r="A184" s="326"/>
      <c r="B184" s="321"/>
      <c r="C184" s="301">
        <v>3.3824999999999998</v>
      </c>
      <c r="D184" s="301">
        <v>0.15</v>
      </c>
      <c r="E184" s="301">
        <v>7.2154340459650995E-2</v>
      </c>
      <c r="F184" s="301">
        <v>-0.19500000000000001</v>
      </c>
      <c r="G184" s="301">
        <v>1.4999999999999999E-2</v>
      </c>
      <c r="H184" s="301">
        <v>-0.19500000000000001</v>
      </c>
      <c r="I184" s="301">
        <v>0.158</v>
      </c>
      <c r="J184" s="301">
        <v>0.155</v>
      </c>
      <c r="K184" s="301">
        <v>-2.9000000000000001E-2</v>
      </c>
      <c r="L184" s="301">
        <v>3.0000000000000001E-3</v>
      </c>
      <c r="M184" s="301">
        <v>0</v>
      </c>
      <c r="N184" s="301">
        <v>6.4999999999999997E-3</v>
      </c>
      <c r="O184" s="301">
        <v>1.6500000000000001E-2</v>
      </c>
      <c r="P184" s="298">
        <v>-1.2E-2</v>
      </c>
      <c r="Q184" s="298">
        <v>-0.03</v>
      </c>
      <c r="R184" s="298">
        <v>-4.7499999999999999E-3</v>
      </c>
      <c r="S184" s="298">
        <v>-4.7500000000000001E-2</v>
      </c>
      <c r="T184" s="298">
        <v>-0.105</v>
      </c>
      <c r="U184" s="298">
        <v>0.2525</v>
      </c>
      <c r="V184" s="298">
        <v>5.0000000000000001E-3</v>
      </c>
      <c r="W184" s="298">
        <v>-0.19</v>
      </c>
      <c r="X184" s="298">
        <v>-6.0000000000000001E-3</v>
      </c>
      <c r="Y184" s="313">
        <v>0.1875</v>
      </c>
      <c r="Z184" s="313">
        <v>0</v>
      </c>
      <c r="AA184" s="445">
        <v>0.15</v>
      </c>
      <c r="AB184" s="445">
        <v>0.14699999999999999</v>
      </c>
      <c r="AC184" s="445">
        <v>0.15</v>
      </c>
      <c r="AD184" s="445">
        <v>0.15</v>
      </c>
      <c r="AE184" s="445">
        <v>0.14699999999999999</v>
      </c>
      <c r="AF184" s="445">
        <v>0.15</v>
      </c>
      <c r="AG184" s="445">
        <v>0.15</v>
      </c>
      <c r="AH184" s="445">
        <v>0.15</v>
      </c>
      <c r="AI184" s="446">
        <v>0.15</v>
      </c>
      <c r="AJ184" s="446">
        <v>0.15</v>
      </c>
      <c r="AK184" s="446">
        <v>0.15</v>
      </c>
      <c r="AL184" s="445">
        <v>0.15</v>
      </c>
      <c r="AM184" s="298">
        <v>7.2469423734594002E-2</v>
      </c>
      <c r="AN184" s="298"/>
      <c r="AO184" s="313">
        <f t="shared" si="16"/>
        <v>0.14699999999999999</v>
      </c>
      <c r="AP184" s="313">
        <f t="shared" si="17"/>
        <v>0.14699999999999999</v>
      </c>
      <c r="AQ184" s="316">
        <f t="shared" si="18"/>
        <v>0.14699999999999999</v>
      </c>
      <c r="IU184" s="315">
        <f t="shared" si="14"/>
        <v>0</v>
      </c>
      <c r="IV184" s="298">
        <v>173</v>
      </c>
    </row>
    <row r="185" spans="1:256" x14ac:dyDescent="0.25">
      <c r="A185" s="326"/>
      <c r="B185" s="321"/>
      <c r="C185" s="301">
        <v>3.4005000000000001</v>
      </c>
      <c r="D185" s="301">
        <v>0.15</v>
      </c>
      <c r="E185" s="301">
        <v>7.2156017337193998E-2</v>
      </c>
      <c r="F185" s="301">
        <v>-0.19500000000000001</v>
      </c>
      <c r="G185" s="301">
        <v>0.02</v>
      </c>
      <c r="H185" s="301">
        <v>-0.19500000000000001</v>
      </c>
      <c r="I185" s="301">
        <v>0.153</v>
      </c>
      <c r="J185" s="301">
        <v>0.155</v>
      </c>
      <c r="K185" s="301">
        <v>-2.6499999999999999E-2</v>
      </c>
      <c r="L185" s="301">
        <v>5.4999999999999997E-3</v>
      </c>
      <c r="M185" s="301">
        <v>0</v>
      </c>
      <c r="N185" s="301">
        <v>6.4999999999999997E-3</v>
      </c>
      <c r="O185" s="301">
        <v>1.6500000000000001E-2</v>
      </c>
      <c r="P185" s="298">
        <v>-9.4999999999999998E-3</v>
      </c>
      <c r="Q185" s="298">
        <v>-0.03</v>
      </c>
      <c r="R185" s="298">
        <v>-4.7499999999999999E-3</v>
      </c>
      <c r="S185" s="298">
        <v>-3.7499999999999999E-2</v>
      </c>
      <c r="T185" s="298">
        <v>-0.105</v>
      </c>
      <c r="U185" s="298">
        <v>0.2525</v>
      </c>
      <c r="V185" s="298">
        <v>5.0000000000000001E-3</v>
      </c>
      <c r="W185" s="298">
        <v>-0.19</v>
      </c>
      <c r="X185" s="298">
        <v>-8.5000000000000006E-3</v>
      </c>
      <c r="Y185" s="313">
        <v>0.1875</v>
      </c>
      <c r="Z185" s="313">
        <v>0</v>
      </c>
      <c r="AA185" s="445">
        <v>0.15</v>
      </c>
      <c r="AB185" s="445">
        <v>0.14699999999999999</v>
      </c>
      <c r="AC185" s="445">
        <v>0.15</v>
      </c>
      <c r="AD185" s="445">
        <v>0.15</v>
      </c>
      <c r="AE185" s="445">
        <v>0.14699999999999999</v>
      </c>
      <c r="AF185" s="445">
        <v>0.15</v>
      </c>
      <c r="AG185" s="445">
        <v>0.15</v>
      </c>
      <c r="AH185" s="445">
        <v>0.15</v>
      </c>
      <c r="AI185" s="446">
        <v>0.15</v>
      </c>
      <c r="AJ185" s="446">
        <v>0.15</v>
      </c>
      <c r="AK185" s="446">
        <v>0.15</v>
      </c>
      <c r="AL185" s="445">
        <v>0.15</v>
      </c>
      <c r="AM185" s="298">
        <v>7.2472432712349003E-2</v>
      </c>
      <c r="AN185" s="298"/>
      <c r="AO185" s="313">
        <f t="shared" si="16"/>
        <v>0.14699999999999999</v>
      </c>
      <c r="AP185" s="313">
        <f t="shared" si="17"/>
        <v>0.14699999999999999</v>
      </c>
      <c r="AQ185" s="316">
        <f t="shared" si="18"/>
        <v>0.14699999999999999</v>
      </c>
      <c r="IU185" s="315">
        <f t="shared" si="14"/>
        <v>0</v>
      </c>
      <c r="IV185" s="298">
        <v>174</v>
      </c>
    </row>
    <row r="186" spans="1:256" x14ac:dyDescent="0.25">
      <c r="A186" s="326"/>
      <c r="B186" s="321"/>
      <c r="C186" s="301">
        <v>3.4035000000000002</v>
      </c>
      <c r="D186" s="301">
        <v>0.15</v>
      </c>
      <c r="E186" s="301">
        <v>7.2157640121913003E-2</v>
      </c>
      <c r="F186" s="301">
        <v>-0.19500000000000001</v>
      </c>
      <c r="G186" s="301">
        <v>2.2499999999999999E-2</v>
      </c>
      <c r="H186" s="301">
        <v>-0.19500000000000001</v>
      </c>
      <c r="I186" s="301">
        <v>0.14199999999999999</v>
      </c>
      <c r="J186" s="301">
        <v>0.155</v>
      </c>
      <c r="K186" s="301">
        <v>-2.6499999999999999E-2</v>
      </c>
      <c r="L186" s="301">
        <v>5.4999999999999997E-3</v>
      </c>
      <c r="M186" s="301">
        <v>0</v>
      </c>
      <c r="N186" s="301">
        <v>6.4999999999999997E-3</v>
      </c>
      <c r="O186" s="301">
        <v>1.6500000000000001E-2</v>
      </c>
      <c r="P186" s="298">
        <v>-9.4999999999999998E-3</v>
      </c>
      <c r="Q186" s="298">
        <v>-0.03</v>
      </c>
      <c r="R186" s="298">
        <v>-4.7499999999999999E-3</v>
      </c>
      <c r="S186" s="298">
        <v>-3.7499999999999999E-2</v>
      </c>
      <c r="T186" s="298">
        <v>-0.105</v>
      </c>
      <c r="U186" s="298">
        <v>0.25750000000000001</v>
      </c>
      <c r="V186" s="298">
        <v>5.0000000000000001E-3</v>
      </c>
      <c r="W186" s="298">
        <v>-0.19</v>
      </c>
      <c r="X186" s="298">
        <v>-8.5000000000000006E-3</v>
      </c>
      <c r="Y186" s="313">
        <v>0.1875</v>
      </c>
      <c r="Z186" s="313">
        <v>0</v>
      </c>
      <c r="AA186" s="445">
        <v>0.15</v>
      </c>
      <c r="AB186" s="445">
        <v>0.14699999999999999</v>
      </c>
      <c r="AC186" s="445">
        <v>0.15</v>
      </c>
      <c r="AD186" s="445">
        <v>0.15</v>
      </c>
      <c r="AE186" s="445">
        <v>0.14699999999999999</v>
      </c>
      <c r="AF186" s="445">
        <v>0.15</v>
      </c>
      <c r="AG186" s="445">
        <v>0.15</v>
      </c>
      <c r="AH186" s="445">
        <v>0.15</v>
      </c>
      <c r="AI186" s="446">
        <v>0.15</v>
      </c>
      <c r="AJ186" s="446">
        <v>0.15</v>
      </c>
      <c r="AK186" s="446">
        <v>0.15</v>
      </c>
      <c r="AL186" s="445">
        <v>0.15</v>
      </c>
      <c r="AM186" s="298">
        <v>7.2475344626309002E-2</v>
      </c>
      <c r="AN186" s="298"/>
      <c r="AO186" s="313">
        <f t="shared" si="16"/>
        <v>0.14699999999999999</v>
      </c>
      <c r="AP186" s="313">
        <f t="shared" si="17"/>
        <v>0.14699999999999999</v>
      </c>
      <c r="AQ186" s="316">
        <f t="shared" si="18"/>
        <v>0.14699999999999999</v>
      </c>
      <c r="IU186" s="315">
        <f t="shared" si="14"/>
        <v>0</v>
      </c>
      <c r="IV186" s="298">
        <v>175</v>
      </c>
    </row>
    <row r="187" spans="1:256" x14ac:dyDescent="0.25">
      <c r="A187" s="326"/>
      <c r="B187" s="321"/>
      <c r="C187" s="301">
        <v>3.4095</v>
      </c>
      <c r="D187" s="301">
        <v>0.15</v>
      </c>
      <c r="E187" s="301">
        <v>7.2159316999459003E-2</v>
      </c>
      <c r="F187" s="301">
        <v>-0.19500000000000001</v>
      </c>
      <c r="G187" s="301">
        <v>2.5000000000000001E-2</v>
      </c>
      <c r="H187" s="301">
        <v>-0.19500000000000001</v>
      </c>
      <c r="I187" s="301">
        <v>0.14000000000000001</v>
      </c>
      <c r="J187" s="301">
        <v>0.155</v>
      </c>
      <c r="K187" s="301">
        <v>-2.6499999999999999E-2</v>
      </c>
      <c r="L187" s="301">
        <v>5.4999999999999997E-3</v>
      </c>
      <c r="M187" s="301">
        <v>0</v>
      </c>
      <c r="N187" s="301">
        <v>6.4999999999999997E-3</v>
      </c>
      <c r="O187" s="301">
        <v>1.6500000000000001E-2</v>
      </c>
      <c r="P187" s="298">
        <v>-9.4999999999999998E-3</v>
      </c>
      <c r="Q187" s="298">
        <v>-0.03</v>
      </c>
      <c r="R187" s="298">
        <v>-2.2499999999999998E-3</v>
      </c>
      <c r="S187" s="298">
        <v>-3.7499999999999999E-2</v>
      </c>
      <c r="T187" s="298">
        <v>-0.105</v>
      </c>
      <c r="U187" s="298">
        <v>0.25750000000000001</v>
      </c>
      <c r="V187" s="298">
        <v>5.0000000000000001E-3</v>
      </c>
      <c r="W187" s="298">
        <v>-0.19</v>
      </c>
      <c r="X187" s="298">
        <v>-8.5000000000000006E-3</v>
      </c>
      <c r="Y187" s="313">
        <v>0.1875</v>
      </c>
      <c r="Z187" s="313">
        <v>0</v>
      </c>
      <c r="AA187" s="445">
        <v>0.15</v>
      </c>
      <c r="AB187" s="445">
        <v>0.14699999999999999</v>
      </c>
      <c r="AC187" s="445">
        <v>0.15</v>
      </c>
      <c r="AD187" s="445">
        <v>0.15</v>
      </c>
      <c r="AE187" s="445">
        <v>0.14699999999999999</v>
      </c>
      <c r="AF187" s="445">
        <v>0.15</v>
      </c>
      <c r="AG187" s="445">
        <v>0.15</v>
      </c>
      <c r="AH187" s="445">
        <v>0.15</v>
      </c>
      <c r="AI187" s="446">
        <v>0.15</v>
      </c>
      <c r="AJ187" s="446">
        <v>0.15</v>
      </c>
      <c r="AK187" s="446">
        <v>0.15</v>
      </c>
      <c r="AL187" s="445">
        <v>0.15</v>
      </c>
      <c r="AM187" s="298">
        <v>7.2478353604069998E-2</v>
      </c>
      <c r="AN187" s="298"/>
      <c r="AO187" s="313">
        <f t="shared" si="16"/>
        <v>0.14699999999999999</v>
      </c>
      <c r="AP187" s="313">
        <f t="shared" si="17"/>
        <v>0.14699999999999999</v>
      </c>
      <c r="AQ187" s="316">
        <f t="shared" si="18"/>
        <v>0.14699999999999999</v>
      </c>
      <c r="IU187" s="315">
        <f t="shared" si="14"/>
        <v>0</v>
      </c>
      <c r="IV187" s="298">
        <v>176</v>
      </c>
    </row>
    <row r="188" spans="1:256" x14ac:dyDescent="0.25">
      <c r="A188" s="326"/>
      <c r="B188" s="321"/>
      <c r="C188" s="301">
        <v>3.4024999999999999</v>
      </c>
      <c r="D188" s="301">
        <v>0.15</v>
      </c>
      <c r="E188" s="301">
        <v>7.2160993877004004E-2</v>
      </c>
      <c r="F188" s="301">
        <v>-0.19500000000000001</v>
      </c>
      <c r="G188" s="301">
        <v>1.7500000000000002E-2</v>
      </c>
      <c r="H188" s="301">
        <v>-0.19500000000000001</v>
      </c>
      <c r="I188" s="301">
        <v>0.13700000000000001</v>
      </c>
      <c r="J188" s="301">
        <v>0.155</v>
      </c>
      <c r="K188" s="301">
        <v>-2.9000000000000001E-2</v>
      </c>
      <c r="L188" s="301">
        <v>3.0000000000000001E-3</v>
      </c>
      <c r="M188" s="301">
        <v>0</v>
      </c>
      <c r="N188" s="301">
        <v>6.4999999999999997E-3</v>
      </c>
      <c r="O188" s="301">
        <v>1.6500000000000001E-2</v>
      </c>
      <c r="P188" s="298">
        <v>-9.4999999999999998E-3</v>
      </c>
      <c r="Q188" s="298">
        <v>-0.03</v>
      </c>
      <c r="R188" s="298">
        <v>-2.2499999999999998E-3</v>
      </c>
      <c r="S188" s="298">
        <v>-4.4999999999999998E-2</v>
      </c>
      <c r="T188" s="298">
        <v>-0.105</v>
      </c>
      <c r="U188" s="298">
        <v>0.2525</v>
      </c>
      <c r="V188" s="298">
        <v>5.0000000000000001E-3</v>
      </c>
      <c r="W188" s="298">
        <v>-0.19</v>
      </c>
      <c r="X188" s="298">
        <v>-1.0999999999999999E-2</v>
      </c>
      <c r="Y188" s="313">
        <v>0.1875</v>
      </c>
      <c r="Z188" s="313">
        <v>0</v>
      </c>
      <c r="AA188" s="445">
        <v>0.15</v>
      </c>
      <c r="AB188" s="445">
        <v>0.14699999999999999</v>
      </c>
      <c r="AC188" s="445">
        <v>0.15</v>
      </c>
      <c r="AD188" s="445">
        <v>0.15</v>
      </c>
      <c r="AE188" s="445">
        <v>0.14699999999999999</v>
      </c>
      <c r="AF188" s="445">
        <v>0.15</v>
      </c>
      <c r="AG188" s="445">
        <v>0.15</v>
      </c>
      <c r="AH188" s="445">
        <v>0.15</v>
      </c>
      <c r="AI188" s="446">
        <v>0.15</v>
      </c>
      <c r="AJ188" s="446">
        <v>0.15</v>
      </c>
      <c r="AK188" s="446">
        <v>0.15</v>
      </c>
      <c r="AL188" s="445">
        <v>0.15</v>
      </c>
      <c r="AM188" s="298">
        <v>7.2481362581834005E-2</v>
      </c>
      <c r="AN188" s="298"/>
      <c r="AO188" s="313">
        <f t="shared" si="16"/>
        <v>0.14699999999999999</v>
      </c>
      <c r="AP188" s="313">
        <f t="shared" si="17"/>
        <v>0.14699999999999999</v>
      </c>
      <c r="AQ188" s="316">
        <f t="shared" si="18"/>
        <v>0.14699999999999999</v>
      </c>
      <c r="IU188" s="315">
        <f t="shared" si="14"/>
        <v>0</v>
      </c>
      <c r="IV188" s="298">
        <v>177</v>
      </c>
    </row>
    <row r="189" spans="1:256" x14ac:dyDescent="0.25">
      <c r="A189" s="326"/>
      <c r="B189" s="321"/>
      <c r="C189" s="301">
        <v>3.4184999999999999</v>
      </c>
      <c r="D189" s="301">
        <v>0.15</v>
      </c>
      <c r="E189" s="301">
        <v>7.2162616661727005E-2</v>
      </c>
      <c r="F189" s="301">
        <v>-0.19500000000000001</v>
      </c>
      <c r="G189" s="301">
        <v>7.4999999999999997E-3</v>
      </c>
      <c r="H189" s="301">
        <v>-0.19500000000000001</v>
      </c>
      <c r="I189" s="301">
        <v>0.153</v>
      </c>
      <c r="J189" s="301">
        <v>0.1575</v>
      </c>
      <c r="K189" s="301">
        <v>-2.9000000000000001E-2</v>
      </c>
      <c r="L189" s="301">
        <v>3.0000000000000001E-3</v>
      </c>
      <c r="M189" s="301">
        <v>0</v>
      </c>
      <c r="N189" s="301">
        <v>6.4999999999999997E-3</v>
      </c>
      <c r="O189" s="301">
        <v>1.6500000000000001E-2</v>
      </c>
      <c r="P189" s="298">
        <v>-9.4999999999999998E-3</v>
      </c>
      <c r="Q189" s="298">
        <v>-0.03</v>
      </c>
      <c r="R189" s="298">
        <v>-2.3E-2</v>
      </c>
      <c r="S189" s="298">
        <v>-4.4999999999999998E-2</v>
      </c>
      <c r="T189" s="298">
        <v>-0.105</v>
      </c>
      <c r="U189" s="298">
        <v>0.255</v>
      </c>
      <c r="V189" s="298">
        <v>5.0000000000000001E-3</v>
      </c>
      <c r="W189" s="298">
        <v>-0.19</v>
      </c>
      <c r="X189" s="298">
        <v>-1.0999999999999999E-2</v>
      </c>
      <c r="Y189" s="313">
        <v>0.1875</v>
      </c>
      <c r="Z189" s="313">
        <v>0</v>
      </c>
      <c r="AA189" s="445">
        <v>0.15</v>
      </c>
      <c r="AB189" s="445">
        <v>0.14699999999999999</v>
      </c>
      <c r="AC189" s="445">
        <v>0.15</v>
      </c>
      <c r="AD189" s="445">
        <v>0.15</v>
      </c>
      <c r="AE189" s="445">
        <v>0.14699999999999999</v>
      </c>
      <c r="AF189" s="445">
        <v>0.15</v>
      </c>
      <c r="AG189" s="445">
        <v>0.15</v>
      </c>
      <c r="AH189" s="445">
        <v>0.15</v>
      </c>
      <c r="AI189" s="446">
        <v>0.15</v>
      </c>
      <c r="AJ189" s="446">
        <v>0.15</v>
      </c>
      <c r="AK189" s="446">
        <v>0.15</v>
      </c>
      <c r="AL189" s="445">
        <v>0.15</v>
      </c>
      <c r="AM189" s="298">
        <v>7.2484274495802997E-2</v>
      </c>
      <c r="AN189" s="298"/>
      <c r="AO189" s="313">
        <f t="shared" si="16"/>
        <v>0.14699999999999999</v>
      </c>
      <c r="AP189" s="313">
        <f t="shared" si="17"/>
        <v>0.14699999999999999</v>
      </c>
      <c r="AQ189" s="316">
        <f t="shared" si="18"/>
        <v>0.14699999999999999</v>
      </c>
      <c r="IU189" s="315">
        <f t="shared" si="14"/>
        <v>0</v>
      </c>
      <c r="IV189" s="298">
        <v>178</v>
      </c>
    </row>
    <row r="190" spans="1:256" x14ac:dyDescent="0.25">
      <c r="B190" s="321"/>
      <c r="C190" s="301">
        <v>3.4965000000000002</v>
      </c>
      <c r="D190" s="301">
        <v>0.15</v>
      </c>
      <c r="E190" s="301">
        <v>7.2164293539275004E-2</v>
      </c>
      <c r="F190" s="301">
        <v>-0.19</v>
      </c>
      <c r="G190" s="301">
        <v>-3.2500000000000001E-2</v>
      </c>
      <c r="H190" s="301">
        <v>-0.19</v>
      </c>
      <c r="I190" s="301">
        <v>0.23</v>
      </c>
      <c r="J190" s="301">
        <v>0.24</v>
      </c>
      <c r="K190" s="301">
        <v>-4.0500000000000001E-2</v>
      </c>
      <c r="L190" s="301">
        <v>-2E-3</v>
      </c>
      <c r="M190" s="301">
        <v>0</v>
      </c>
      <c r="N190" s="301">
        <v>1.0999999999999999E-2</v>
      </c>
      <c r="O190" s="301">
        <v>2.1000000000000001E-2</v>
      </c>
      <c r="P190" s="298">
        <v>-1.2500000000000001E-2</v>
      </c>
      <c r="Q190" s="298">
        <v>-0.03</v>
      </c>
      <c r="R190" s="298">
        <v>-2.1999999999999999E-2</v>
      </c>
      <c r="S190" s="298">
        <v>-0.06</v>
      </c>
      <c r="T190" s="298">
        <v>-0.14499999999999999</v>
      </c>
      <c r="U190" s="298">
        <v>0.72499999999999998</v>
      </c>
      <c r="V190" s="298">
        <v>5.0000000000000001E-3</v>
      </c>
      <c r="W190" s="298">
        <v>-0.19</v>
      </c>
      <c r="X190" s="298">
        <v>-8.5000000000000006E-3</v>
      </c>
      <c r="Y190" s="313">
        <v>0.1</v>
      </c>
      <c r="Z190" s="313">
        <v>0</v>
      </c>
      <c r="AA190" s="445">
        <v>0.15</v>
      </c>
      <c r="AB190" s="445">
        <v>0.16500000000000001</v>
      </c>
      <c r="AC190" s="445">
        <v>0.15</v>
      </c>
      <c r="AD190" s="445">
        <v>0.15</v>
      </c>
      <c r="AE190" s="445">
        <v>0.15</v>
      </c>
      <c r="AF190" s="445">
        <v>0.15</v>
      </c>
      <c r="AG190" s="445">
        <v>0.15</v>
      </c>
      <c r="AH190" s="445">
        <v>0.15</v>
      </c>
      <c r="AI190" s="446">
        <v>0.15</v>
      </c>
      <c r="AJ190" s="446">
        <v>0.15</v>
      </c>
      <c r="AK190" s="446">
        <v>0.15</v>
      </c>
      <c r="AL190" s="445">
        <v>0.15</v>
      </c>
      <c r="AM190" s="298">
        <v>7.2487283473573E-2</v>
      </c>
      <c r="AN190" s="298"/>
      <c r="AO190" s="313">
        <f t="shared" si="16"/>
        <v>0.16500000000000001</v>
      </c>
      <c r="AP190" s="313">
        <f t="shared" si="17"/>
        <v>0.16500000000000001</v>
      </c>
      <c r="AQ190" s="316">
        <f t="shared" si="18"/>
        <v>0.16500000000000001</v>
      </c>
      <c r="IU190" s="315">
        <f t="shared" si="14"/>
        <v>0</v>
      </c>
      <c r="IV190" s="298">
        <v>179</v>
      </c>
    </row>
    <row r="191" spans="1:256" x14ac:dyDescent="0.25">
      <c r="B191" s="321"/>
      <c r="C191" s="301">
        <v>3.5865</v>
      </c>
      <c r="D191" s="301">
        <v>0.15</v>
      </c>
      <c r="E191" s="301">
        <v>7.2165916324000004E-2</v>
      </c>
      <c r="F191" s="301">
        <v>-0.19750000000000001</v>
      </c>
      <c r="G191" s="301">
        <v>-5.5E-2</v>
      </c>
      <c r="H191" s="301">
        <v>-0.19750000000000001</v>
      </c>
      <c r="I191" s="301">
        <v>0.27</v>
      </c>
      <c r="J191" s="301">
        <v>0.29499999999999998</v>
      </c>
      <c r="K191" s="301">
        <v>-4.0500000000000001E-2</v>
      </c>
      <c r="L191" s="301">
        <v>-4.4999999999999997E-3</v>
      </c>
      <c r="M191" s="301">
        <v>0</v>
      </c>
      <c r="N191" s="301">
        <v>1.0999999999999999E-2</v>
      </c>
      <c r="O191" s="301">
        <v>2.1000000000000001E-2</v>
      </c>
      <c r="P191" s="298">
        <v>-1.2500000000000001E-2</v>
      </c>
      <c r="Q191" s="298">
        <v>-0.03</v>
      </c>
      <c r="R191" s="298">
        <v>-2.1999999999999999E-2</v>
      </c>
      <c r="S191" s="298">
        <v>-7.4999999999999997E-2</v>
      </c>
      <c r="T191" s="298">
        <v>-0.14499999999999999</v>
      </c>
      <c r="U191" s="298">
        <v>1.0449999999999999</v>
      </c>
      <c r="V191" s="298">
        <v>5.0000000000000001E-3</v>
      </c>
      <c r="W191" s="298">
        <v>-0.19</v>
      </c>
      <c r="X191" s="298">
        <v>-8.5000000000000006E-3</v>
      </c>
      <c r="Y191" s="313">
        <v>0.1</v>
      </c>
      <c r="Z191" s="313">
        <v>0</v>
      </c>
      <c r="AA191" s="445">
        <v>0.15</v>
      </c>
      <c r="AB191" s="445">
        <v>0.16500000000000001</v>
      </c>
      <c r="AC191" s="445">
        <v>0.15</v>
      </c>
      <c r="AD191" s="445">
        <v>0.15</v>
      </c>
      <c r="AE191" s="445">
        <v>0.15</v>
      </c>
      <c r="AF191" s="445">
        <v>0.15</v>
      </c>
      <c r="AG191" s="445">
        <v>0.15</v>
      </c>
      <c r="AH191" s="445">
        <v>0.15</v>
      </c>
      <c r="AI191" s="446">
        <v>0.15</v>
      </c>
      <c r="AJ191" s="446">
        <v>0.15</v>
      </c>
      <c r="AK191" s="446">
        <v>0.15</v>
      </c>
      <c r="AL191" s="445">
        <v>0.15</v>
      </c>
      <c r="AM191" s="298">
        <v>7.2490195387547002E-2</v>
      </c>
      <c r="AN191" s="298"/>
      <c r="AO191" s="313">
        <f t="shared" si="16"/>
        <v>0.16500000000000001</v>
      </c>
      <c r="AP191" s="313">
        <f t="shared" si="17"/>
        <v>0.16500000000000001</v>
      </c>
      <c r="AQ191" s="316">
        <f t="shared" si="18"/>
        <v>0.16500000000000001</v>
      </c>
      <c r="IU191" s="315">
        <f t="shared" si="14"/>
        <v>0</v>
      </c>
      <c r="IV191" s="298">
        <v>180</v>
      </c>
    </row>
    <row r="192" spans="1:256" x14ac:dyDescent="0.25">
      <c r="B192" s="321"/>
      <c r="C192" s="301">
        <v>3.629</v>
      </c>
      <c r="D192" s="301">
        <v>0.15</v>
      </c>
      <c r="E192" s="301">
        <v>7.2167593201549002E-2</v>
      </c>
      <c r="F192" s="301">
        <v>-0.2</v>
      </c>
      <c r="G192" s="301">
        <v>-5.7500000000000002E-2</v>
      </c>
      <c r="H192" s="301">
        <v>-0.2</v>
      </c>
      <c r="I192" s="301">
        <v>0.28000000000000003</v>
      </c>
      <c r="J192" s="301">
        <v>0.34250000000000003</v>
      </c>
      <c r="K192" s="301">
        <v>-4.4499999999999998E-2</v>
      </c>
      <c r="L192" s="301">
        <v>1.5E-3</v>
      </c>
      <c r="M192" s="301">
        <v>0</v>
      </c>
      <c r="N192" s="301">
        <v>1.0999999999999999E-2</v>
      </c>
      <c r="O192" s="301">
        <v>2.1000000000000001E-2</v>
      </c>
      <c r="P192" s="298">
        <v>-8.0000000000000002E-3</v>
      </c>
      <c r="Q192" s="298">
        <v>-0.03</v>
      </c>
      <c r="R192" s="298">
        <v>-2.1999999999999999E-2</v>
      </c>
      <c r="S192" s="298">
        <v>-8.5500000000000007E-2</v>
      </c>
      <c r="T192" s="298">
        <v>-0.14499999999999999</v>
      </c>
      <c r="U192" s="298">
        <v>1.52</v>
      </c>
      <c r="V192" s="298">
        <v>5.0000000000000001E-3</v>
      </c>
      <c r="W192" s="298">
        <v>-0.19</v>
      </c>
      <c r="X192" s="298">
        <v>-8.5000000000000006E-3</v>
      </c>
      <c r="Y192" s="313">
        <v>0.1</v>
      </c>
      <c r="Z192" s="313">
        <v>0</v>
      </c>
      <c r="AA192" s="445">
        <v>0.15</v>
      </c>
      <c r="AB192" s="445">
        <v>0.15</v>
      </c>
      <c r="AC192" s="445">
        <v>0.15</v>
      </c>
      <c r="AD192" s="445">
        <v>0.15</v>
      </c>
      <c r="AE192" s="445">
        <v>0.15</v>
      </c>
      <c r="AF192" s="445">
        <v>0.15</v>
      </c>
      <c r="AG192" s="445">
        <v>0.15</v>
      </c>
      <c r="AH192" s="445">
        <v>0.15</v>
      </c>
      <c r="AI192" s="446">
        <v>0.15</v>
      </c>
      <c r="AJ192" s="446">
        <v>0.15</v>
      </c>
      <c r="AK192" s="446">
        <v>0.15</v>
      </c>
      <c r="AL192" s="445">
        <v>0.15</v>
      </c>
      <c r="AM192" s="298">
        <v>7.2493204365323E-2</v>
      </c>
      <c r="AN192" s="298"/>
      <c r="AO192" s="313">
        <f t="shared" si="16"/>
        <v>0.15</v>
      </c>
      <c r="AP192" s="313">
        <f t="shared" si="17"/>
        <v>0.15</v>
      </c>
      <c r="AQ192" s="316">
        <f t="shared" si="18"/>
        <v>0.15</v>
      </c>
      <c r="IU192" s="315">
        <f t="shared" si="14"/>
        <v>0</v>
      </c>
      <c r="IV192" s="298">
        <v>181</v>
      </c>
    </row>
    <row r="193" spans="1:256" x14ac:dyDescent="0.25">
      <c r="B193" s="321"/>
      <c r="C193" s="301">
        <v>3.5640000000000001</v>
      </c>
      <c r="D193" s="301">
        <v>0.15</v>
      </c>
      <c r="E193" s="301">
        <v>7.2169270079098999E-2</v>
      </c>
      <c r="F193" s="301">
        <v>-0.20250000000000001</v>
      </c>
      <c r="G193" s="301">
        <v>-0.04</v>
      </c>
      <c r="H193" s="301">
        <v>-0.20250000000000001</v>
      </c>
      <c r="I193" s="301">
        <v>0.255</v>
      </c>
      <c r="J193" s="301">
        <v>0.33750000000000002</v>
      </c>
      <c r="K193" s="301">
        <v>-4.0500000000000001E-2</v>
      </c>
      <c r="L193" s="301">
        <v>-4.4999999999999997E-3</v>
      </c>
      <c r="M193" s="301">
        <v>0</v>
      </c>
      <c r="N193" s="301">
        <v>1.0999999999999999E-2</v>
      </c>
      <c r="O193" s="301">
        <v>2.1000000000000001E-2</v>
      </c>
      <c r="P193" s="298">
        <v>-8.0000000000000002E-3</v>
      </c>
      <c r="Q193" s="298">
        <v>-0.03</v>
      </c>
      <c r="R193" s="298">
        <v>-2.1999999999999999E-2</v>
      </c>
      <c r="S193" s="298">
        <v>-7.2999999999999995E-2</v>
      </c>
      <c r="T193" s="298">
        <v>-0.14499999999999999</v>
      </c>
      <c r="U193" s="298">
        <v>1.4</v>
      </c>
      <c r="V193" s="298">
        <v>5.0000000000000001E-3</v>
      </c>
      <c r="W193" s="298">
        <v>-0.19</v>
      </c>
      <c r="X193" s="298">
        <v>-8.5000000000000006E-3</v>
      </c>
      <c r="Y193" s="313">
        <v>0.1</v>
      </c>
      <c r="Z193" s="313">
        <v>0</v>
      </c>
      <c r="AA193" s="445">
        <v>0.15</v>
      </c>
      <c r="AB193" s="445">
        <v>0.16500000000000001</v>
      </c>
      <c r="AC193" s="445">
        <v>0.15</v>
      </c>
      <c r="AD193" s="445">
        <v>0.15</v>
      </c>
      <c r="AE193" s="445">
        <v>0.15</v>
      </c>
      <c r="AF193" s="445">
        <v>0.15</v>
      </c>
      <c r="AG193" s="445">
        <v>0.15</v>
      </c>
      <c r="AH193" s="445">
        <v>0.15</v>
      </c>
      <c r="AI193" s="446">
        <v>0.15</v>
      </c>
      <c r="AJ193" s="446">
        <v>0.15</v>
      </c>
      <c r="AK193" s="446">
        <v>0.15</v>
      </c>
      <c r="AL193" s="445">
        <v>0.15</v>
      </c>
      <c r="AM193" s="298">
        <v>7.2496213343100996E-2</v>
      </c>
      <c r="AN193" s="298"/>
      <c r="AO193" s="313">
        <f t="shared" si="16"/>
        <v>0.16500000000000001</v>
      </c>
      <c r="AP193" s="313">
        <f t="shared" si="17"/>
        <v>0.16500000000000001</v>
      </c>
      <c r="AQ193" s="316">
        <f t="shared" si="18"/>
        <v>0.16500000000000001</v>
      </c>
      <c r="IU193" s="315">
        <f t="shared" si="14"/>
        <v>0</v>
      </c>
      <c r="IV193" s="298">
        <v>182</v>
      </c>
    </row>
    <row r="194" spans="1:256" x14ac:dyDescent="0.25">
      <c r="B194" s="321"/>
      <c r="C194" s="301">
        <v>3.4849999999999999</v>
      </c>
      <c r="D194" s="301">
        <v>0.15</v>
      </c>
      <c r="E194" s="301">
        <v>7.2170784678178002E-2</v>
      </c>
      <c r="F194" s="301">
        <v>-0.20499999999999999</v>
      </c>
      <c r="G194" s="301">
        <v>-2.75E-2</v>
      </c>
      <c r="H194" s="301">
        <v>-0.20499999999999999</v>
      </c>
      <c r="I194" s="301">
        <v>0.252</v>
      </c>
      <c r="J194" s="301">
        <v>0.26</v>
      </c>
      <c r="K194" s="301">
        <v>-4.2000000000000003E-2</v>
      </c>
      <c r="L194" s="301">
        <v>-7.4999999999999997E-3</v>
      </c>
      <c r="M194" s="301">
        <v>0</v>
      </c>
      <c r="N194" s="301">
        <v>1.0999999999999999E-2</v>
      </c>
      <c r="O194" s="301">
        <v>2.1000000000000001E-2</v>
      </c>
      <c r="P194" s="298">
        <v>-8.0000000000000002E-3</v>
      </c>
      <c r="Q194" s="298">
        <v>-0.03</v>
      </c>
      <c r="R194" s="298">
        <v>-3.7000000000000002E-3</v>
      </c>
      <c r="S194" s="298">
        <v>-6.0499999999999998E-2</v>
      </c>
      <c r="T194" s="298">
        <v>-0.14499999999999999</v>
      </c>
      <c r="U194" s="298">
        <v>0.88</v>
      </c>
      <c r="V194" s="298">
        <v>5.0000000000000001E-3</v>
      </c>
      <c r="W194" s="298">
        <v>-0.19</v>
      </c>
      <c r="X194" s="298">
        <v>-8.5000000000000006E-3</v>
      </c>
      <c r="Y194" s="313">
        <v>0.1</v>
      </c>
      <c r="Z194" s="313">
        <v>0</v>
      </c>
      <c r="AA194" s="445">
        <v>0.15</v>
      </c>
      <c r="AB194" s="445">
        <v>0.16500000000000001</v>
      </c>
      <c r="AC194" s="445">
        <v>0.15</v>
      </c>
      <c r="AD194" s="445">
        <v>0.15</v>
      </c>
      <c r="AE194" s="445">
        <v>0.15</v>
      </c>
      <c r="AF194" s="445">
        <v>0.15</v>
      </c>
      <c r="AG194" s="445">
        <v>0.15</v>
      </c>
      <c r="AH194" s="445">
        <v>0.15</v>
      </c>
      <c r="AI194" s="446">
        <v>0.15</v>
      </c>
      <c r="AJ194" s="446">
        <v>0.15</v>
      </c>
      <c r="AK194" s="446">
        <v>0.15</v>
      </c>
      <c r="AL194" s="445">
        <v>0.15</v>
      </c>
      <c r="AM194" s="298">
        <v>7.2498931129484995E-2</v>
      </c>
      <c r="AN194" s="298"/>
      <c r="AO194" s="313">
        <f t="shared" si="16"/>
        <v>0.16500000000000001</v>
      </c>
      <c r="AP194" s="313">
        <f t="shared" si="17"/>
        <v>0.16500000000000001</v>
      </c>
      <c r="AQ194" s="316">
        <f t="shared" si="18"/>
        <v>0.16500000000000001</v>
      </c>
      <c r="IU194" s="315">
        <f t="shared" si="14"/>
        <v>0</v>
      </c>
      <c r="IV194" s="298">
        <v>183</v>
      </c>
    </row>
    <row r="195" spans="1:256" x14ac:dyDescent="0.25">
      <c r="B195" s="321"/>
      <c r="C195" s="301">
        <v>3.4209999999999998</v>
      </c>
      <c r="D195" s="301">
        <v>0.15</v>
      </c>
      <c r="E195" s="301">
        <v>7.2172461555729997E-2</v>
      </c>
      <c r="F195" s="301">
        <v>-0.19500000000000001</v>
      </c>
      <c r="G195" s="301">
        <v>1.4999999999999999E-2</v>
      </c>
      <c r="H195" s="301">
        <v>-0.19500000000000001</v>
      </c>
      <c r="I195" s="301">
        <v>0.15</v>
      </c>
      <c r="J195" s="301">
        <v>0.17</v>
      </c>
      <c r="K195" s="301">
        <v>-5.1999999999999998E-2</v>
      </c>
      <c r="L195" s="301">
        <v>-0.02</v>
      </c>
      <c r="M195" s="301">
        <v>0</v>
      </c>
      <c r="N195" s="301">
        <v>6.4999999999999997E-3</v>
      </c>
      <c r="O195" s="301">
        <v>1.8499999999999999E-2</v>
      </c>
      <c r="P195" s="298">
        <v>-0.01</v>
      </c>
      <c r="Q195" s="298">
        <v>-0.03</v>
      </c>
      <c r="R195" s="298">
        <v>-3.7000000000000002E-3</v>
      </c>
      <c r="S195" s="298">
        <v>-4.2999999999999997E-2</v>
      </c>
      <c r="T195" s="298">
        <v>-0.105</v>
      </c>
      <c r="U195" s="298">
        <v>0.37</v>
      </c>
      <c r="V195" s="298">
        <v>5.0000000000000001E-3</v>
      </c>
      <c r="W195" s="298">
        <v>-0.19</v>
      </c>
      <c r="X195" s="298">
        <v>-8.5000000000000006E-3</v>
      </c>
      <c r="Y195" s="313">
        <v>0.1875</v>
      </c>
      <c r="Z195" s="313">
        <v>0</v>
      </c>
      <c r="AA195" s="445">
        <v>0.15</v>
      </c>
      <c r="AB195" s="445">
        <v>0.14699999999999999</v>
      </c>
      <c r="AC195" s="445">
        <v>0.15</v>
      </c>
      <c r="AD195" s="445">
        <v>0.15</v>
      </c>
      <c r="AE195" s="445">
        <v>0.14699999999999999</v>
      </c>
      <c r="AF195" s="445">
        <v>0.15</v>
      </c>
      <c r="AG195" s="445">
        <v>0.15</v>
      </c>
      <c r="AH195" s="445">
        <v>0.15</v>
      </c>
      <c r="AI195" s="446">
        <v>0.15</v>
      </c>
      <c r="AJ195" s="446">
        <v>0.15</v>
      </c>
      <c r="AK195" s="446">
        <v>0.15</v>
      </c>
      <c r="AL195" s="445">
        <v>0.15</v>
      </c>
      <c r="AM195" s="298">
        <v>7.2501940107269999E-2</v>
      </c>
      <c r="AN195" s="298"/>
      <c r="AO195" s="313">
        <f t="shared" si="16"/>
        <v>0.14699999999999999</v>
      </c>
      <c r="AP195" s="313">
        <f t="shared" si="17"/>
        <v>0.14699999999999999</v>
      </c>
      <c r="AQ195" s="316">
        <f t="shared" si="18"/>
        <v>0.14699999999999999</v>
      </c>
      <c r="IU195" s="315">
        <f t="shared" si="14"/>
        <v>0</v>
      </c>
      <c r="IV195" s="298">
        <v>184</v>
      </c>
    </row>
    <row r="196" spans="1:256" x14ac:dyDescent="0.25">
      <c r="B196" s="321"/>
      <c r="C196" s="301">
        <v>3.4554999999999998</v>
      </c>
      <c r="D196" s="301">
        <v>0.15</v>
      </c>
      <c r="E196" s="301">
        <v>7.2174084340458994E-2</v>
      </c>
      <c r="F196" s="301">
        <v>-0.19500000000000001</v>
      </c>
      <c r="G196" s="301">
        <v>1.4999999999999999E-2</v>
      </c>
      <c r="H196" s="301">
        <v>-0.19500000000000001</v>
      </c>
      <c r="I196" s="301">
        <v>0.153</v>
      </c>
      <c r="J196" s="301">
        <v>0.155</v>
      </c>
      <c r="K196" s="301">
        <v>-2.7E-2</v>
      </c>
      <c r="L196" s="301">
        <v>5.0000000000000001E-3</v>
      </c>
      <c r="M196" s="301">
        <v>0</v>
      </c>
      <c r="N196" s="301">
        <v>6.4999999999999997E-3</v>
      </c>
      <c r="O196" s="301">
        <v>1.8499999999999999E-2</v>
      </c>
      <c r="P196" s="298">
        <v>-0.01</v>
      </c>
      <c r="Q196" s="298">
        <v>-0.03</v>
      </c>
      <c r="R196" s="298">
        <v>-3.7499999999999999E-3</v>
      </c>
      <c r="S196" s="298">
        <v>-4.5499999999999999E-2</v>
      </c>
      <c r="T196" s="298">
        <v>-0.105</v>
      </c>
      <c r="U196" s="298">
        <v>0.2525</v>
      </c>
      <c r="V196" s="298">
        <v>5.0000000000000001E-3</v>
      </c>
      <c r="W196" s="298">
        <v>-0.19</v>
      </c>
      <c r="X196" s="298">
        <v>-5.0000000000000001E-3</v>
      </c>
      <c r="Y196" s="313">
        <v>0.1875</v>
      </c>
      <c r="Z196" s="313">
        <v>0</v>
      </c>
      <c r="AA196" s="445">
        <v>0.15</v>
      </c>
      <c r="AB196" s="445">
        <v>0.14699999999999999</v>
      </c>
      <c r="AC196" s="445">
        <v>0.15</v>
      </c>
      <c r="AD196" s="445">
        <v>0.15</v>
      </c>
      <c r="AE196" s="445">
        <v>0.14699999999999999</v>
      </c>
      <c r="AF196" s="445">
        <v>0.15</v>
      </c>
      <c r="AG196" s="445">
        <v>0.15</v>
      </c>
      <c r="AH196" s="445">
        <v>0.15</v>
      </c>
      <c r="AI196" s="446">
        <v>0.15</v>
      </c>
      <c r="AJ196" s="446">
        <v>0.15</v>
      </c>
      <c r="AK196" s="446">
        <v>0.15</v>
      </c>
      <c r="AL196" s="445">
        <v>0.15</v>
      </c>
      <c r="AM196" s="298">
        <v>7.2504852021258004E-2</v>
      </c>
      <c r="AN196" s="298"/>
      <c r="AO196" s="313">
        <f t="shared" si="16"/>
        <v>0.14699999999999999</v>
      </c>
      <c r="AP196" s="313">
        <f t="shared" si="17"/>
        <v>0.14699999999999999</v>
      </c>
      <c r="AQ196" s="316">
        <f t="shared" si="18"/>
        <v>0.14699999999999999</v>
      </c>
      <c r="IU196" s="315">
        <f t="shared" si="14"/>
        <v>0</v>
      </c>
      <c r="IV196" s="298">
        <v>185</v>
      </c>
    </row>
    <row r="197" spans="1:256" x14ac:dyDescent="0.25">
      <c r="A197" s="325"/>
      <c r="B197" s="321"/>
      <c r="C197" s="301">
        <v>3.4744999999999999</v>
      </c>
      <c r="D197" s="301">
        <v>0.15</v>
      </c>
      <c r="E197" s="301">
        <v>7.2175761218013001E-2</v>
      </c>
      <c r="F197" s="301">
        <v>-0.19500000000000001</v>
      </c>
      <c r="G197" s="301">
        <v>0.02</v>
      </c>
      <c r="H197" s="301">
        <v>-0.19500000000000001</v>
      </c>
      <c r="I197" s="301">
        <v>0.14799999999999999</v>
      </c>
      <c r="J197" s="301">
        <v>0.155</v>
      </c>
      <c r="K197" s="301">
        <v>-2.4500000000000001E-2</v>
      </c>
      <c r="L197" s="301">
        <v>7.4999999999999997E-3</v>
      </c>
      <c r="M197" s="301">
        <v>0</v>
      </c>
      <c r="N197" s="301">
        <v>6.4999999999999997E-3</v>
      </c>
      <c r="O197" s="301">
        <v>1.8499999999999999E-2</v>
      </c>
      <c r="P197" s="298">
        <v>-7.4999999999999997E-3</v>
      </c>
      <c r="Q197" s="298">
        <v>-0.03</v>
      </c>
      <c r="R197" s="298">
        <v>-3.7499999999999999E-3</v>
      </c>
      <c r="S197" s="298">
        <v>-3.5499999999999997E-2</v>
      </c>
      <c r="T197" s="298">
        <v>-0.105</v>
      </c>
      <c r="U197" s="298">
        <v>0.2525</v>
      </c>
      <c r="V197" s="298">
        <v>5.0000000000000001E-3</v>
      </c>
      <c r="W197" s="298">
        <v>-0.19</v>
      </c>
      <c r="X197" s="298">
        <v>-7.4999999999999997E-3</v>
      </c>
      <c r="Y197" s="313">
        <v>0.1875</v>
      </c>
      <c r="Z197" s="313">
        <v>0</v>
      </c>
      <c r="AA197" s="445">
        <v>0.15</v>
      </c>
      <c r="AB197" s="445">
        <v>0.14699999999999999</v>
      </c>
      <c r="AC197" s="445">
        <v>0.15</v>
      </c>
      <c r="AD197" s="445">
        <v>0.15</v>
      </c>
      <c r="AE197" s="445">
        <v>0.14699999999999999</v>
      </c>
      <c r="AF197" s="445">
        <v>0.15</v>
      </c>
      <c r="AG197" s="445">
        <v>0.15</v>
      </c>
      <c r="AH197" s="445">
        <v>0.15</v>
      </c>
      <c r="AI197" s="446">
        <v>0.15</v>
      </c>
      <c r="AJ197" s="446">
        <v>0.15</v>
      </c>
      <c r="AK197" s="446">
        <v>0.15</v>
      </c>
      <c r="AL197" s="445">
        <v>0.15</v>
      </c>
      <c r="AM197" s="298">
        <v>7.2507860999048004E-2</v>
      </c>
      <c r="AN197" s="298"/>
      <c r="AO197" s="313">
        <f t="shared" si="16"/>
        <v>0.14699999999999999</v>
      </c>
      <c r="AP197" s="313">
        <f t="shared" si="17"/>
        <v>0.14699999999999999</v>
      </c>
      <c r="AQ197" s="316">
        <f t="shared" si="18"/>
        <v>0.14699999999999999</v>
      </c>
      <c r="IU197" s="315">
        <f t="shared" si="14"/>
        <v>0</v>
      </c>
      <c r="IV197" s="298">
        <v>186</v>
      </c>
    </row>
    <row r="198" spans="1:256" x14ac:dyDescent="0.25">
      <c r="A198" s="326"/>
      <c r="B198" s="321"/>
      <c r="C198" s="301">
        <v>3.4775</v>
      </c>
      <c r="D198" s="301">
        <v>0.15</v>
      </c>
      <c r="E198" s="301">
        <v>7.2177384002742997E-2</v>
      </c>
      <c r="F198" s="301">
        <v>-0.19500000000000001</v>
      </c>
      <c r="G198" s="301">
        <v>2.2499999999999999E-2</v>
      </c>
      <c r="H198" s="301">
        <v>-0.19500000000000001</v>
      </c>
      <c r="I198" s="301">
        <v>0.13700000000000001</v>
      </c>
      <c r="J198" s="301">
        <v>0.155</v>
      </c>
      <c r="K198" s="301">
        <v>-2.4500000000000001E-2</v>
      </c>
      <c r="L198" s="301">
        <v>7.4999999999999997E-3</v>
      </c>
      <c r="M198" s="301">
        <v>0</v>
      </c>
      <c r="N198" s="301">
        <v>6.4999999999999997E-3</v>
      </c>
      <c r="O198" s="301">
        <v>1.8499999999999999E-2</v>
      </c>
      <c r="P198" s="298">
        <v>-7.4999999999999997E-3</v>
      </c>
      <c r="Q198" s="298">
        <v>-0.03</v>
      </c>
      <c r="R198" s="298">
        <v>-3.7499999999999999E-3</v>
      </c>
      <c r="S198" s="298">
        <v>-3.5499999999999997E-2</v>
      </c>
      <c r="T198" s="298">
        <v>-0.105</v>
      </c>
      <c r="U198" s="298">
        <v>0.25750000000000001</v>
      </c>
      <c r="V198" s="298">
        <v>5.0000000000000001E-3</v>
      </c>
      <c r="W198" s="298">
        <v>-0.19</v>
      </c>
      <c r="X198" s="402">
        <v>-7.4999999999999997E-3</v>
      </c>
      <c r="Y198" s="313">
        <v>0.1875</v>
      </c>
      <c r="Z198" s="313">
        <v>0</v>
      </c>
      <c r="AA198" s="445">
        <v>0.15</v>
      </c>
      <c r="AB198" s="445">
        <v>0.14699999999999999</v>
      </c>
      <c r="AC198" s="445">
        <v>0.15</v>
      </c>
      <c r="AD198" s="445">
        <v>0.15</v>
      </c>
      <c r="AE198" s="445">
        <v>0.14699999999999999</v>
      </c>
      <c r="AF198" s="445">
        <v>0.15</v>
      </c>
      <c r="AG198" s="445">
        <v>0.15</v>
      </c>
      <c r="AH198" s="445">
        <v>0.15</v>
      </c>
      <c r="AI198" s="446">
        <v>0.15</v>
      </c>
      <c r="AJ198" s="446">
        <v>0.15</v>
      </c>
      <c r="AK198" s="446">
        <v>0.15</v>
      </c>
      <c r="AL198" s="445">
        <v>0.15</v>
      </c>
      <c r="AM198" s="298">
        <v>7.2510772913042004E-2</v>
      </c>
      <c r="AN198" s="298"/>
      <c r="AO198" s="313">
        <f t="shared" si="16"/>
        <v>0.14699999999999999</v>
      </c>
      <c r="AP198" s="313">
        <f t="shared" si="17"/>
        <v>0.14699999999999999</v>
      </c>
      <c r="AQ198" s="316">
        <f t="shared" si="18"/>
        <v>0.14699999999999999</v>
      </c>
      <c r="IU198" s="315">
        <f t="shared" si="14"/>
        <v>0</v>
      </c>
      <c r="IV198" s="298">
        <v>187</v>
      </c>
    </row>
    <row r="199" spans="1:256" x14ac:dyDescent="0.25">
      <c r="A199" s="326"/>
      <c r="B199" s="321"/>
      <c r="C199" s="301">
        <v>3.4834999999999998</v>
      </c>
      <c r="D199" s="301">
        <v>0.15</v>
      </c>
      <c r="E199" s="301">
        <v>7.2179060880299004E-2</v>
      </c>
      <c r="F199" s="301">
        <v>-0.19500000000000001</v>
      </c>
      <c r="G199" s="301">
        <v>2.5000000000000001E-2</v>
      </c>
      <c r="H199" s="301">
        <v>-0.19500000000000001</v>
      </c>
      <c r="I199" s="301">
        <v>0.13500000000000001</v>
      </c>
      <c r="J199" s="301">
        <v>0.155</v>
      </c>
      <c r="K199" s="301">
        <v>-2.4500000000000001E-2</v>
      </c>
      <c r="L199" s="301">
        <v>7.4999999999999997E-3</v>
      </c>
      <c r="M199" s="301">
        <v>0</v>
      </c>
      <c r="N199" s="301">
        <v>6.4999999999999997E-3</v>
      </c>
      <c r="O199" s="301">
        <v>1.8499999999999999E-2</v>
      </c>
      <c r="P199" s="298">
        <v>-7.4999999999999997E-3</v>
      </c>
      <c r="Q199" s="298">
        <v>-0.03</v>
      </c>
      <c r="R199" s="298">
        <v>-1.25E-3</v>
      </c>
      <c r="S199" s="298">
        <v>-3.5499999999999997E-2</v>
      </c>
      <c r="T199" s="298">
        <v>0</v>
      </c>
      <c r="U199" s="298">
        <v>0.25750000000000001</v>
      </c>
      <c r="V199" s="298">
        <v>5.0000000000000001E-3</v>
      </c>
      <c r="W199" s="298">
        <v>-0.19</v>
      </c>
      <c r="X199" s="402">
        <v>-7.4999999999999997E-3</v>
      </c>
      <c r="Y199" s="313">
        <v>0.1875</v>
      </c>
      <c r="Z199" s="313">
        <v>0</v>
      </c>
      <c r="AA199" s="445">
        <v>0.15</v>
      </c>
      <c r="AB199" s="445">
        <v>0.14699999999999999</v>
      </c>
      <c r="AC199" s="445">
        <v>0.15</v>
      </c>
      <c r="AD199" s="445">
        <v>0.15</v>
      </c>
      <c r="AE199" s="445">
        <v>0.14699999999999999</v>
      </c>
      <c r="AF199" s="445">
        <v>0.15</v>
      </c>
      <c r="AG199" s="445">
        <v>0.15</v>
      </c>
      <c r="AH199" s="445">
        <v>0.15</v>
      </c>
      <c r="AI199" s="446">
        <v>0.15</v>
      </c>
      <c r="AJ199" s="446">
        <v>0.15</v>
      </c>
      <c r="AK199" s="446">
        <v>0.15</v>
      </c>
      <c r="AL199" s="445">
        <v>0.15</v>
      </c>
      <c r="AM199" s="298">
        <v>7.2513781890838E-2</v>
      </c>
      <c r="AN199" s="298"/>
      <c r="AO199" s="313">
        <f t="shared" si="16"/>
        <v>0.14699999999999999</v>
      </c>
      <c r="AP199" s="313">
        <f t="shared" si="17"/>
        <v>0.14699999999999999</v>
      </c>
      <c r="AQ199" s="316">
        <f t="shared" si="18"/>
        <v>0.14699999999999999</v>
      </c>
      <c r="IU199" s="315">
        <f t="shared" si="14"/>
        <v>0</v>
      </c>
      <c r="IV199" s="298">
        <v>188</v>
      </c>
    </row>
    <row r="200" spans="1:256" x14ac:dyDescent="0.25">
      <c r="A200" s="326"/>
      <c r="B200" s="321"/>
      <c r="C200" s="301">
        <v>3.4754999999999998</v>
      </c>
      <c r="D200" s="301">
        <v>0.15</v>
      </c>
      <c r="E200" s="301">
        <v>7.2180737757855995E-2</v>
      </c>
      <c r="F200" s="301">
        <v>-0.19500000000000001</v>
      </c>
      <c r="G200" s="301">
        <v>1.7500000000000002E-2</v>
      </c>
      <c r="H200" s="301">
        <v>-0.19500000000000001</v>
      </c>
      <c r="I200" s="301">
        <v>0.13200000000000001</v>
      </c>
      <c r="J200" s="301">
        <v>0.155</v>
      </c>
      <c r="K200" s="301">
        <v>-2.7E-2</v>
      </c>
      <c r="L200" s="301">
        <v>5.0000000000000001E-3</v>
      </c>
      <c r="M200" s="301">
        <v>0</v>
      </c>
      <c r="N200" s="301">
        <v>6.4999999999999997E-3</v>
      </c>
      <c r="O200" s="301">
        <v>1.8499999999999999E-2</v>
      </c>
      <c r="P200" s="298">
        <v>-7.4999999999999997E-3</v>
      </c>
      <c r="Q200" s="298">
        <v>0</v>
      </c>
      <c r="R200" s="298">
        <v>-1.25E-3</v>
      </c>
      <c r="S200" s="298">
        <v>-4.2999999999999997E-2</v>
      </c>
      <c r="T200" s="298">
        <v>0</v>
      </c>
      <c r="U200" s="298">
        <v>0.2525</v>
      </c>
      <c r="V200" s="298">
        <v>5.0000000000000001E-3</v>
      </c>
      <c r="W200" s="298">
        <v>-0.19</v>
      </c>
      <c r="X200" s="402">
        <v>-0.01</v>
      </c>
      <c r="Y200" s="313">
        <v>0.1875</v>
      </c>
      <c r="Z200" s="313">
        <v>0</v>
      </c>
      <c r="AA200" s="445">
        <v>0.15</v>
      </c>
      <c r="AB200" s="445">
        <v>0.14699999999999999</v>
      </c>
      <c r="AC200" s="445">
        <v>0.15</v>
      </c>
      <c r="AD200" s="445">
        <v>0.15</v>
      </c>
      <c r="AE200" s="445">
        <v>0.14699999999999999</v>
      </c>
      <c r="AF200" s="445">
        <v>0.15</v>
      </c>
      <c r="AG200" s="445">
        <v>0.15</v>
      </c>
      <c r="AH200" s="445">
        <v>0.15</v>
      </c>
      <c r="AI200" s="446">
        <v>0.15</v>
      </c>
      <c r="AJ200" s="446">
        <v>0.15</v>
      </c>
      <c r="AK200" s="446">
        <v>0.15</v>
      </c>
      <c r="AL200" s="445">
        <v>0.15</v>
      </c>
      <c r="AM200" s="298">
        <v>7.2516790868636993E-2</v>
      </c>
      <c r="AN200" s="298"/>
      <c r="AO200" s="313">
        <f t="shared" si="16"/>
        <v>0.14699999999999999</v>
      </c>
      <c r="AP200" s="313">
        <f t="shared" si="17"/>
        <v>0.14699999999999999</v>
      </c>
      <c r="AQ200" s="316">
        <f t="shared" si="18"/>
        <v>0.14699999999999999</v>
      </c>
      <c r="IU200" s="315">
        <f t="shared" si="14"/>
        <v>0</v>
      </c>
      <c r="IV200" s="298">
        <v>189</v>
      </c>
    </row>
    <row r="201" spans="1:256" x14ac:dyDescent="0.25">
      <c r="A201" s="326"/>
      <c r="B201" s="321"/>
      <c r="C201" s="301">
        <v>3.4904999999999999</v>
      </c>
      <c r="D201" s="301">
        <v>0.15</v>
      </c>
      <c r="E201" s="301">
        <v>7.2182360542589002E-2</v>
      </c>
      <c r="F201" s="301">
        <v>-0.19500000000000001</v>
      </c>
      <c r="G201" s="301">
        <v>7.4999999999999997E-3</v>
      </c>
      <c r="H201" s="301">
        <v>-0.19500000000000001</v>
      </c>
      <c r="I201" s="301">
        <v>0.14799999999999999</v>
      </c>
      <c r="J201" s="301">
        <v>0.1575</v>
      </c>
      <c r="K201" s="301">
        <v>-2.7E-2</v>
      </c>
      <c r="L201" s="301">
        <v>5.0000000000000001E-3</v>
      </c>
      <c r="M201" s="301">
        <v>0</v>
      </c>
      <c r="N201" s="301">
        <v>6.4999999999999997E-3</v>
      </c>
      <c r="O201" s="301">
        <v>1.8499999999999999E-2</v>
      </c>
      <c r="P201" s="298">
        <v>-7.4999999999999997E-3</v>
      </c>
      <c r="Q201" s="298">
        <v>0</v>
      </c>
      <c r="R201" s="298">
        <v>-2.1999999999999999E-2</v>
      </c>
      <c r="S201" s="298">
        <v>-4.2999999999999997E-2</v>
      </c>
      <c r="T201" s="298">
        <v>0</v>
      </c>
      <c r="U201" s="298">
        <v>0.255</v>
      </c>
      <c r="V201" s="298">
        <v>5.0000000000000001E-3</v>
      </c>
      <c r="W201" s="298">
        <v>-0.19</v>
      </c>
      <c r="X201" s="402">
        <v>-0.01</v>
      </c>
      <c r="Y201" s="313">
        <v>0.1875</v>
      </c>
      <c r="Z201" s="313">
        <v>0</v>
      </c>
      <c r="AA201" s="445">
        <v>0.15</v>
      </c>
      <c r="AB201" s="445">
        <v>0.14699999999999999</v>
      </c>
      <c r="AC201" s="445">
        <v>0.15</v>
      </c>
      <c r="AD201" s="445">
        <v>0.15</v>
      </c>
      <c r="AE201" s="445">
        <v>0.14699999999999999</v>
      </c>
      <c r="AF201" s="445">
        <v>0.15</v>
      </c>
      <c r="AG201" s="445">
        <v>0.15</v>
      </c>
      <c r="AH201" s="445">
        <v>0.15</v>
      </c>
      <c r="AI201" s="446">
        <v>0.15</v>
      </c>
      <c r="AJ201" s="446">
        <v>0.15</v>
      </c>
      <c r="AK201" s="446">
        <v>0.15</v>
      </c>
      <c r="AL201" s="445">
        <v>0.15</v>
      </c>
      <c r="AM201" s="298">
        <v>7.251970278264E-2</v>
      </c>
      <c r="AN201" s="298"/>
      <c r="AO201" s="313">
        <f t="shared" si="16"/>
        <v>0.14699999999999999</v>
      </c>
      <c r="AP201" s="313">
        <f t="shared" si="17"/>
        <v>0.14699999999999999</v>
      </c>
      <c r="AQ201" s="316">
        <f t="shared" si="18"/>
        <v>0.14699999999999999</v>
      </c>
      <c r="IU201" s="315">
        <f t="shared" si="14"/>
        <v>0</v>
      </c>
      <c r="IV201" s="298">
        <v>190</v>
      </c>
    </row>
    <row r="202" spans="1:256" x14ac:dyDescent="0.25">
      <c r="A202" s="326"/>
      <c r="B202" s="321"/>
      <c r="C202" s="301">
        <v>3.5634999999999999</v>
      </c>
      <c r="D202" s="301">
        <v>0.15</v>
      </c>
      <c r="E202" s="301">
        <v>7.2184037420148006E-2</v>
      </c>
      <c r="F202" s="301">
        <v>-0.19</v>
      </c>
      <c r="G202" s="301">
        <v>-3.2500000000000001E-2</v>
      </c>
      <c r="H202" s="301">
        <v>-0.19</v>
      </c>
      <c r="I202" s="301">
        <v>0.22500000000000001</v>
      </c>
      <c r="J202" s="301">
        <v>0.24</v>
      </c>
      <c r="K202" s="301">
        <v>-3.85E-2</v>
      </c>
      <c r="L202" s="401">
        <v>1.38777878078E-17</v>
      </c>
      <c r="M202" s="301">
        <v>0</v>
      </c>
      <c r="N202" s="301">
        <v>1.0999999999999999E-2</v>
      </c>
      <c r="O202" s="301">
        <v>2.3E-2</v>
      </c>
      <c r="P202" s="298">
        <v>-1.0500000000000001E-2</v>
      </c>
      <c r="Q202" s="298">
        <v>0</v>
      </c>
      <c r="R202" s="298">
        <v>-2.1000000000000001E-2</v>
      </c>
      <c r="S202" s="298">
        <v>-5.8000000000000003E-2</v>
      </c>
      <c r="T202" s="298">
        <v>0</v>
      </c>
      <c r="U202" s="298">
        <v>0.72499999999999998</v>
      </c>
      <c r="V202" s="298">
        <v>5.0000000000000001E-3</v>
      </c>
      <c r="W202" s="298">
        <v>-0.19</v>
      </c>
      <c r="X202" s="298">
        <v>-7.4999999999999997E-3</v>
      </c>
      <c r="Y202" s="313">
        <v>0.1</v>
      </c>
      <c r="Z202" s="313">
        <v>0</v>
      </c>
      <c r="AA202" s="445">
        <v>0.15</v>
      </c>
      <c r="AB202" s="445">
        <v>0.16500000000000001</v>
      </c>
      <c r="AC202" s="445">
        <v>0.15</v>
      </c>
      <c r="AD202" s="445">
        <v>0.15</v>
      </c>
      <c r="AE202" s="445">
        <v>0.15</v>
      </c>
      <c r="AF202" s="445">
        <v>0.15</v>
      </c>
      <c r="AG202" s="445">
        <v>0.15</v>
      </c>
      <c r="AH202" s="445">
        <v>0.15</v>
      </c>
      <c r="AI202" s="446">
        <v>0.15</v>
      </c>
      <c r="AJ202" s="446">
        <v>0.15</v>
      </c>
      <c r="AK202" s="446">
        <v>0.15</v>
      </c>
      <c r="AL202" s="445">
        <v>0.15</v>
      </c>
      <c r="AM202" s="298">
        <v>7.2522711760445002E-2</v>
      </c>
      <c r="AN202" s="298"/>
      <c r="AO202" s="313">
        <f t="shared" si="16"/>
        <v>0.16500000000000001</v>
      </c>
      <c r="AP202" s="313">
        <f t="shared" si="17"/>
        <v>0.16500000000000001</v>
      </c>
      <c r="AQ202" s="316">
        <f t="shared" si="18"/>
        <v>0.16500000000000001</v>
      </c>
      <c r="IU202" s="315">
        <f t="shared" si="14"/>
        <v>0</v>
      </c>
      <c r="IV202" s="298">
        <v>191</v>
      </c>
    </row>
    <row r="203" spans="1:256" x14ac:dyDescent="0.25">
      <c r="A203" s="326"/>
      <c r="B203" s="321"/>
      <c r="C203" s="301">
        <v>3.6505000000000001</v>
      </c>
      <c r="D203" s="301">
        <v>0.15</v>
      </c>
      <c r="E203" s="301">
        <v>7.2185660204882998E-2</v>
      </c>
      <c r="F203" s="301">
        <v>-0.19750000000000001</v>
      </c>
      <c r="G203" s="301">
        <v>-5.5E-2</v>
      </c>
      <c r="H203" s="301">
        <v>-0.19750000000000001</v>
      </c>
      <c r="I203" s="301">
        <v>0.26500000000000001</v>
      </c>
      <c r="J203" s="301">
        <v>0.29499999999999998</v>
      </c>
      <c r="K203" s="301">
        <v>-3.85E-2</v>
      </c>
      <c r="L203" s="401">
        <v>-2.5000000000000001E-3</v>
      </c>
      <c r="M203" s="301">
        <v>0</v>
      </c>
      <c r="N203" s="301">
        <v>1.0999999999999999E-2</v>
      </c>
      <c r="O203" s="301">
        <v>2.3E-2</v>
      </c>
      <c r="P203" s="298">
        <v>-1.0500000000000001E-2</v>
      </c>
      <c r="Q203" s="298">
        <v>0</v>
      </c>
      <c r="R203" s="298">
        <v>-2.1000000000000001E-2</v>
      </c>
      <c r="S203" s="298">
        <v>-7.2999999999999995E-2</v>
      </c>
      <c r="T203" s="298">
        <v>0</v>
      </c>
      <c r="U203" s="298">
        <v>1.0449999999999999</v>
      </c>
      <c r="V203" s="298">
        <v>5.0000000000000001E-3</v>
      </c>
      <c r="W203" s="298">
        <v>-0.19</v>
      </c>
      <c r="X203" s="298">
        <v>-7.4999999999999997E-3</v>
      </c>
      <c r="Y203" s="313">
        <v>0.1</v>
      </c>
      <c r="Z203" s="313">
        <v>0</v>
      </c>
      <c r="AA203" s="445">
        <v>0.15</v>
      </c>
      <c r="AB203" s="445">
        <v>0.16500000000000001</v>
      </c>
      <c r="AC203" s="445">
        <v>0.15</v>
      </c>
      <c r="AD203" s="445">
        <v>0.15</v>
      </c>
      <c r="AE203" s="445">
        <v>0.15</v>
      </c>
      <c r="AF203" s="445">
        <v>0.15</v>
      </c>
      <c r="AG203" s="445">
        <v>0.15</v>
      </c>
      <c r="AH203" s="445">
        <v>0.15</v>
      </c>
      <c r="AI203" s="446">
        <v>0.15</v>
      </c>
      <c r="AJ203" s="446">
        <v>0.15</v>
      </c>
      <c r="AK203" s="446">
        <v>0.15</v>
      </c>
      <c r="AL203" s="445">
        <v>0.15</v>
      </c>
      <c r="AM203" s="298">
        <v>7.2525623674453005E-2</v>
      </c>
      <c r="AN203" s="298"/>
      <c r="AO203" s="313">
        <f t="shared" si="16"/>
        <v>0.16500000000000001</v>
      </c>
      <c r="AP203" s="313">
        <f t="shared" si="17"/>
        <v>0.16500000000000001</v>
      </c>
      <c r="AQ203" s="316">
        <f t="shared" si="18"/>
        <v>0.16500000000000001</v>
      </c>
      <c r="IU203" s="315">
        <f t="shared" si="14"/>
        <v>0</v>
      </c>
      <c r="IV203" s="298">
        <v>192</v>
      </c>
    </row>
    <row r="204" spans="1:256" x14ac:dyDescent="0.25">
      <c r="A204" s="326"/>
      <c r="B204" s="321"/>
      <c r="C204" s="301">
        <v>3.6909999999999998</v>
      </c>
      <c r="D204" s="301">
        <v>0.15</v>
      </c>
      <c r="E204" s="301">
        <v>7.2187337082444E-2</v>
      </c>
      <c r="F204" s="301">
        <v>-0.16</v>
      </c>
      <c r="G204" s="301">
        <v>-5.7500000000000002E-2</v>
      </c>
      <c r="H204" s="301">
        <v>-0.16</v>
      </c>
      <c r="I204" s="301">
        <v>0.27500000000000002</v>
      </c>
      <c r="J204" s="301">
        <v>0.34250000000000003</v>
      </c>
      <c r="K204" s="301">
        <v>-4.2500000000000003E-2</v>
      </c>
      <c r="L204" s="401">
        <v>3.5000000000000001E-3</v>
      </c>
      <c r="M204" s="301">
        <v>0</v>
      </c>
      <c r="N204" s="301">
        <v>1.0999999999999999E-2</v>
      </c>
      <c r="O204" s="301">
        <v>2.3E-2</v>
      </c>
      <c r="P204" s="298">
        <v>-6.0000000000000001E-3</v>
      </c>
      <c r="Q204" s="298">
        <v>0</v>
      </c>
      <c r="R204" s="298">
        <v>-2.1000000000000001E-2</v>
      </c>
      <c r="S204" s="298">
        <v>-8.3500000000000005E-2</v>
      </c>
      <c r="T204" s="298">
        <v>0</v>
      </c>
      <c r="U204" s="298">
        <v>1.52</v>
      </c>
      <c r="V204" s="298">
        <v>5.0000000000000001E-3</v>
      </c>
      <c r="W204" s="298">
        <v>-0.19</v>
      </c>
      <c r="X204" s="298">
        <v>-7.4999999999999997E-3</v>
      </c>
      <c r="Y204" s="313">
        <v>0.1</v>
      </c>
      <c r="Z204" s="313">
        <v>0</v>
      </c>
      <c r="AA204" s="445">
        <v>0.15</v>
      </c>
      <c r="AB204" s="445">
        <v>0.15</v>
      </c>
      <c r="AC204" s="445">
        <v>0.15</v>
      </c>
      <c r="AD204" s="445">
        <v>0.15</v>
      </c>
      <c r="AE204" s="445">
        <v>0.15</v>
      </c>
      <c r="AF204" s="445">
        <v>0.15</v>
      </c>
      <c r="AG204" s="445">
        <v>0.15</v>
      </c>
      <c r="AH204" s="445">
        <v>0.15</v>
      </c>
      <c r="AI204" s="446">
        <v>0.15</v>
      </c>
      <c r="AJ204" s="446">
        <v>0.15</v>
      </c>
      <c r="AK204" s="446">
        <v>0.15</v>
      </c>
      <c r="AL204" s="445">
        <v>0.15</v>
      </c>
      <c r="AM204" s="298">
        <v>7.2528632652264002E-2</v>
      </c>
      <c r="AN204" s="298"/>
      <c r="AO204" s="313">
        <f t="shared" si="16"/>
        <v>0.15</v>
      </c>
      <c r="AP204" s="313">
        <f t="shared" si="17"/>
        <v>0.15</v>
      </c>
      <c r="AQ204" s="316">
        <f t="shared" si="18"/>
        <v>0.15</v>
      </c>
      <c r="IU204" s="315">
        <f t="shared" si="14"/>
        <v>0</v>
      </c>
      <c r="IV204" s="298">
        <v>193</v>
      </c>
    </row>
    <row r="205" spans="1:256" x14ac:dyDescent="0.25">
      <c r="A205" s="326"/>
      <c r="B205" s="321"/>
      <c r="C205" s="301">
        <v>3.63</v>
      </c>
      <c r="D205" s="301">
        <v>0.15</v>
      </c>
      <c r="E205" s="301">
        <v>7.2189013960005002E-2</v>
      </c>
      <c r="F205" s="301">
        <v>-0.16</v>
      </c>
      <c r="G205" s="301">
        <v>-0.04</v>
      </c>
      <c r="H205" s="301">
        <v>-0.16</v>
      </c>
      <c r="I205" s="301">
        <v>0.25</v>
      </c>
      <c r="J205" s="301">
        <v>0.33750000000000002</v>
      </c>
      <c r="K205" s="301">
        <v>-3.85E-2</v>
      </c>
      <c r="L205" s="301">
        <v>-2.5000000000000001E-3</v>
      </c>
      <c r="M205" s="301">
        <v>0</v>
      </c>
      <c r="N205" s="301">
        <v>1.0999999999999999E-2</v>
      </c>
      <c r="O205" s="301">
        <v>2.3E-2</v>
      </c>
      <c r="P205" s="298">
        <v>-6.0000000000000001E-3</v>
      </c>
      <c r="Q205" s="298">
        <v>0</v>
      </c>
      <c r="R205" s="298">
        <v>-2.1000000000000001E-2</v>
      </c>
      <c r="S205" s="298">
        <v>-7.0999999999999994E-2</v>
      </c>
      <c r="T205" s="298">
        <v>0</v>
      </c>
      <c r="U205" s="298">
        <v>1.4</v>
      </c>
      <c r="V205" s="298">
        <v>5.0000000000000001E-3</v>
      </c>
      <c r="W205" s="298">
        <v>-0.19</v>
      </c>
      <c r="X205" s="298">
        <v>-7.4999999999999997E-3</v>
      </c>
      <c r="Y205" s="313">
        <v>0.1</v>
      </c>
      <c r="Z205" s="313">
        <v>0</v>
      </c>
      <c r="AA205" s="445">
        <v>0.15</v>
      </c>
      <c r="AB205" s="445">
        <v>0.16500000000000001</v>
      </c>
      <c r="AC205" s="445">
        <v>0.15</v>
      </c>
      <c r="AD205" s="445">
        <v>0.15</v>
      </c>
      <c r="AE205" s="445">
        <v>0.15</v>
      </c>
      <c r="AF205" s="445">
        <v>0.15</v>
      </c>
      <c r="AG205" s="445">
        <v>0.15</v>
      </c>
      <c r="AH205" s="445">
        <v>0.15</v>
      </c>
      <c r="AI205" s="446">
        <v>0.15</v>
      </c>
      <c r="AJ205" s="446">
        <v>0.15</v>
      </c>
      <c r="AK205" s="446">
        <v>0.15</v>
      </c>
      <c r="AL205" s="445">
        <v>0.15</v>
      </c>
      <c r="AM205" s="298">
        <v>7.2531641630077998E-2</v>
      </c>
      <c r="AN205" s="298"/>
      <c r="AO205" s="313">
        <f t="shared" si="16"/>
        <v>0.16500000000000001</v>
      </c>
      <c r="AP205" s="313">
        <f t="shared" si="17"/>
        <v>0.16500000000000001</v>
      </c>
      <c r="AQ205" s="316">
        <f t="shared" si="18"/>
        <v>0.16500000000000001</v>
      </c>
      <c r="IU205" s="315">
        <f t="shared" si="14"/>
        <v>0</v>
      </c>
      <c r="IV205" s="298">
        <v>194</v>
      </c>
    </row>
    <row r="206" spans="1:256" x14ac:dyDescent="0.25">
      <c r="A206" s="326"/>
      <c r="B206" s="321"/>
      <c r="C206" s="301">
        <v>3.5539999999999998</v>
      </c>
      <c r="D206" s="301">
        <v>0.15</v>
      </c>
      <c r="E206" s="301">
        <v>7.2190582651917995E-2</v>
      </c>
      <c r="F206" s="301">
        <v>-0.16</v>
      </c>
      <c r="G206" s="301">
        <v>-2.75E-2</v>
      </c>
      <c r="H206" s="301">
        <v>-0.16</v>
      </c>
      <c r="I206" s="301">
        <v>0.247</v>
      </c>
      <c r="J206" s="301">
        <v>0.26</v>
      </c>
      <c r="K206" s="301">
        <v>-0.04</v>
      </c>
      <c r="L206" s="301">
        <v>-5.4999999999999997E-3</v>
      </c>
      <c r="M206" s="301">
        <v>0</v>
      </c>
      <c r="N206" s="301">
        <v>1.0999999999999999E-2</v>
      </c>
      <c r="O206" s="301">
        <v>0</v>
      </c>
      <c r="P206" s="298">
        <v>-6.0000000000000001E-3</v>
      </c>
      <c r="Q206" s="298">
        <v>0</v>
      </c>
      <c r="R206" s="298">
        <v>-2.7000000000000001E-3</v>
      </c>
      <c r="S206" s="298">
        <v>-5.8500000000000003E-2</v>
      </c>
      <c r="T206" s="298">
        <v>0</v>
      </c>
      <c r="U206" s="298">
        <v>0.88</v>
      </c>
      <c r="V206" s="298">
        <v>5.0000000000000001E-3</v>
      </c>
      <c r="W206" s="298">
        <v>-0.19</v>
      </c>
      <c r="X206" s="298">
        <v>-7.4999999999999997E-3</v>
      </c>
      <c r="Y206" s="313">
        <v>0.1</v>
      </c>
      <c r="Z206" s="313">
        <v>0</v>
      </c>
      <c r="AA206" s="445">
        <v>0.15</v>
      </c>
      <c r="AB206" s="445">
        <v>0.16500000000000001</v>
      </c>
      <c r="AC206" s="445">
        <v>0.15</v>
      </c>
      <c r="AD206" s="445">
        <v>0.15</v>
      </c>
      <c r="AE206" s="445">
        <v>0.15</v>
      </c>
      <c r="AF206" s="445">
        <v>0.15</v>
      </c>
      <c r="AG206" s="445">
        <v>0.15</v>
      </c>
      <c r="AH206" s="445">
        <v>0.15</v>
      </c>
      <c r="AI206" s="446">
        <v>0.15</v>
      </c>
      <c r="AJ206" s="446">
        <v>0.15</v>
      </c>
      <c r="AK206" s="446">
        <v>0.15</v>
      </c>
      <c r="AL206" s="445">
        <v>0.15</v>
      </c>
      <c r="AM206" s="298">
        <v>7.2534456480293996E-2</v>
      </c>
      <c r="AN206" s="298"/>
      <c r="AO206" s="313">
        <f t="shared" si="16"/>
        <v>0.16500000000000001</v>
      </c>
      <c r="AP206" s="313">
        <f t="shared" si="17"/>
        <v>0.16500000000000001</v>
      </c>
      <c r="AQ206" s="316">
        <f t="shared" si="18"/>
        <v>0.16500000000000001</v>
      </c>
      <c r="IU206" s="315">
        <f t="shared" si="14"/>
        <v>0</v>
      </c>
      <c r="IV206" s="298">
        <v>195</v>
      </c>
    </row>
    <row r="207" spans="1:256" x14ac:dyDescent="0.25">
      <c r="A207" s="326"/>
      <c r="B207" s="321"/>
      <c r="C207" s="301">
        <v>3.4929999999999999</v>
      </c>
      <c r="D207" s="301">
        <v>0.15</v>
      </c>
      <c r="E207" s="301">
        <v>7.2192259529480995E-2</v>
      </c>
      <c r="F207" s="301">
        <v>-0.16</v>
      </c>
      <c r="G207" s="301">
        <v>1.4999999999999999E-2</v>
      </c>
      <c r="H207" s="301">
        <v>-0.16</v>
      </c>
      <c r="I207" s="301">
        <v>0.14499999999999999</v>
      </c>
      <c r="J207" s="301">
        <v>0.17</v>
      </c>
      <c r="K207" s="301">
        <v>-0.05</v>
      </c>
      <c r="L207" s="301">
        <v>-1.7999999999999999E-2</v>
      </c>
      <c r="M207" s="301">
        <v>0</v>
      </c>
      <c r="N207" s="301">
        <v>6.4999999999999997E-3</v>
      </c>
      <c r="O207" s="301">
        <v>0</v>
      </c>
      <c r="P207" s="298">
        <v>-8.0000000000000002E-3</v>
      </c>
      <c r="Q207" s="298">
        <v>0</v>
      </c>
      <c r="R207" s="298">
        <v>-2.7000000000000001E-3</v>
      </c>
      <c r="S207" s="298">
        <v>-4.1000000000000002E-2</v>
      </c>
      <c r="T207" s="298">
        <v>0</v>
      </c>
      <c r="U207" s="298">
        <v>0.37</v>
      </c>
      <c r="V207" s="298">
        <v>5.0000000000000001E-3</v>
      </c>
      <c r="W207" s="298">
        <v>-0.19</v>
      </c>
      <c r="X207" s="298">
        <v>-7.4999999999999997E-3</v>
      </c>
      <c r="Y207" s="313">
        <v>0.1875</v>
      </c>
      <c r="Z207" s="313">
        <v>0</v>
      </c>
      <c r="AA207" s="445">
        <v>0.15</v>
      </c>
      <c r="AB207" s="445">
        <v>0.14699999999999999</v>
      </c>
      <c r="AC207" s="445">
        <v>0.15</v>
      </c>
      <c r="AD207" s="445">
        <v>0.15</v>
      </c>
      <c r="AE207" s="445">
        <v>0.14699999999999999</v>
      </c>
      <c r="AF207" s="445">
        <v>0.15</v>
      </c>
      <c r="AG207" s="445">
        <v>0.15</v>
      </c>
      <c r="AH207" s="445">
        <v>0.15</v>
      </c>
      <c r="AI207" s="446">
        <v>0.15</v>
      </c>
      <c r="AJ207" s="446">
        <v>0.15</v>
      </c>
      <c r="AK207" s="446">
        <v>0.15</v>
      </c>
      <c r="AL207" s="445">
        <v>0.15</v>
      </c>
      <c r="AM207" s="298">
        <v>7.2537465458114E-2</v>
      </c>
      <c r="AN207" s="298"/>
      <c r="AO207" s="313">
        <f t="shared" si="16"/>
        <v>0.14699999999999999</v>
      </c>
      <c r="AP207" s="313">
        <f t="shared" si="17"/>
        <v>0.14699999999999999</v>
      </c>
      <c r="AQ207" s="316">
        <f t="shared" si="18"/>
        <v>0.14699999999999999</v>
      </c>
      <c r="IU207" s="315">
        <f t="shared" ref="IU207:IU234" si="19">B208</f>
        <v>0</v>
      </c>
      <c r="IV207" s="298">
        <v>196</v>
      </c>
    </row>
    <row r="208" spans="1:256" x14ac:dyDescent="0.25">
      <c r="A208" s="326"/>
      <c r="B208" s="321"/>
      <c r="C208" s="301">
        <v>3.5285000000000002</v>
      </c>
      <c r="D208" s="301">
        <v>0.15</v>
      </c>
      <c r="E208" s="301">
        <v>7.2193882314220997E-2</v>
      </c>
      <c r="F208" s="301">
        <v>0</v>
      </c>
      <c r="G208" s="301">
        <v>1.4999999999999999E-2</v>
      </c>
      <c r="H208" s="301">
        <v>0</v>
      </c>
      <c r="I208" s="301">
        <v>0</v>
      </c>
      <c r="J208" s="301">
        <v>0.155</v>
      </c>
      <c r="K208" s="301">
        <v>-2.5000000000000001E-2</v>
      </c>
      <c r="L208" s="301">
        <v>7.0000000000000001E-3</v>
      </c>
      <c r="M208" s="301">
        <v>0</v>
      </c>
      <c r="N208" s="301">
        <v>6.4999999999999997E-3</v>
      </c>
      <c r="O208" s="301">
        <v>0</v>
      </c>
      <c r="P208" s="298">
        <v>-8.0000000000000002E-3</v>
      </c>
      <c r="Q208" s="298">
        <v>0</v>
      </c>
      <c r="R208" s="298">
        <v>-2.7499999999999998E-3</v>
      </c>
      <c r="S208" s="298">
        <v>-4.3499999999999997E-2</v>
      </c>
      <c r="T208" s="298">
        <v>0</v>
      </c>
      <c r="U208" s="298">
        <v>0.2525</v>
      </c>
      <c r="V208" s="298">
        <v>5.0000000000000001E-3</v>
      </c>
      <c r="W208" s="298">
        <v>-0.19</v>
      </c>
      <c r="X208" s="298">
        <v>-4.0000000000000001E-3</v>
      </c>
      <c r="Y208" s="313">
        <v>0.1875</v>
      </c>
      <c r="Z208" s="313">
        <v>0</v>
      </c>
      <c r="AA208" s="445">
        <v>0.15</v>
      </c>
      <c r="AB208" s="445">
        <v>0.14699999999999999</v>
      </c>
      <c r="AC208" s="445">
        <v>0.15</v>
      </c>
      <c r="AD208" s="445">
        <v>0.15</v>
      </c>
      <c r="AE208" s="445">
        <v>0.14699999999999999</v>
      </c>
      <c r="AF208" s="445">
        <v>0.15</v>
      </c>
      <c r="AG208" s="445">
        <v>0.15</v>
      </c>
      <c r="AH208" s="445">
        <v>0.15</v>
      </c>
      <c r="AI208" s="446">
        <v>0.15</v>
      </c>
      <c r="AJ208" s="446">
        <v>0.15</v>
      </c>
      <c r="AK208" s="446">
        <v>0.15</v>
      </c>
      <c r="AL208" s="445">
        <v>0.15</v>
      </c>
      <c r="AM208" s="298">
        <v>7.2540377372137005E-2</v>
      </c>
      <c r="AN208" s="298"/>
      <c r="AO208" s="313">
        <f t="shared" si="16"/>
        <v>0.14699999999999999</v>
      </c>
      <c r="AP208" s="313">
        <f t="shared" si="17"/>
        <v>0.14699999999999999</v>
      </c>
      <c r="AQ208" s="316">
        <f t="shared" si="18"/>
        <v>0.14699999999999999</v>
      </c>
      <c r="IU208" s="315">
        <f t="shared" si="19"/>
        <v>0</v>
      </c>
      <c r="IV208" s="298">
        <v>197</v>
      </c>
    </row>
    <row r="209" spans="1:256" x14ac:dyDescent="0.25">
      <c r="A209" s="326"/>
      <c r="B209" s="321"/>
      <c r="C209" s="301">
        <v>3.5485000000000002</v>
      </c>
      <c r="D209" s="301">
        <v>0.15</v>
      </c>
      <c r="E209" s="301">
        <v>7.2195559191784997E-2</v>
      </c>
      <c r="F209" s="301">
        <v>0</v>
      </c>
      <c r="G209" s="301">
        <v>0.02</v>
      </c>
      <c r="H209" s="301">
        <v>0</v>
      </c>
      <c r="I209" s="301">
        <v>0</v>
      </c>
      <c r="J209" s="301">
        <v>0.155</v>
      </c>
      <c r="K209" s="301">
        <v>-2.2499999999999999E-2</v>
      </c>
      <c r="L209" s="301">
        <v>9.4999999999999998E-3</v>
      </c>
      <c r="M209" s="301">
        <v>0</v>
      </c>
      <c r="N209" s="301">
        <v>6.4999999999999997E-3</v>
      </c>
      <c r="O209" s="301">
        <v>0</v>
      </c>
      <c r="P209" s="298">
        <v>-5.4999999999999997E-3</v>
      </c>
      <c r="Q209" s="298">
        <v>0</v>
      </c>
      <c r="R209" s="298">
        <v>-2.7499999999999998E-3</v>
      </c>
      <c r="S209" s="298">
        <v>-3.3500000000000002E-2</v>
      </c>
      <c r="T209" s="298">
        <v>0</v>
      </c>
      <c r="U209" s="298">
        <v>0.2525</v>
      </c>
      <c r="V209" s="298">
        <v>5.0000000000000001E-3</v>
      </c>
      <c r="W209" s="298">
        <v>-0.19</v>
      </c>
      <c r="X209" s="298">
        <v>-6.4999999999999997E-3</v>
      </c>
      <c r="Y209" s="313">
        <v>0.1875</v>
      </c>
      <c r="Z209" s="313">
        <v>0</v>
      </c>
      <c r="AA209" s="445">
        <v>0.15</v>
      </c>
      <c r="AB209" s="445">
        <v>0.14699999999999999</v>
      </c>
      <c r="AC209" s="445">
        <v>0.15</v>
      </c>
      <c r="AD209" s="445">
        <v>0.15</v>
      </c>
      <c r="AE209" s="445">
        <v>0.14699999999999999</v>
      </c>
      <c r="AF209" s="445">
        <v>0.15</v>
      </c>
      <c r="AG209" s="445">
        <v>0.15</v>
      </c>
      <c r="AH209" s="445">
        <v>0.15</v>
      </c>
      <c r="AI209" s="446">
        <v>0.15</v>
      </c>
      <c r="AJ209" s="446">
        <v>0.15</v>
      </c>
      <c r="AK209" s="446">
        <v>0.15</v>
      </c>
      <c r="AL209" s="445">
        <v>0.15</v>
      </c>
      <c r="AM209" s="298">
        <v>7.2543386349962005E-2</v>
      </c>
      <c r="AN209" s="298"/>
      <c r="AO209" s="313">
        <f t="shared" ref="AO209:AO235" si="20">AB209</f>
        <v>0.14699999999999999</v>
      </c>
      <c r="AP209" s="313">
        <f t="shared" ref="AP209:AP235" si="21">AB209</f>
        <v>0.14699999999999999</v>
      </c>
      <c r="AQ209" s="316">
        <f t="shared" ref="AQ209:AQ235" si="22">AB209</f>
        <v>0.14699999999999999</v>
      </c>
      <c r="IU209" s="315">
        <f t="shared" si="19"/>
        <v>0</v>
      </c>
      <c r="IV209" s="298">
        <v>198</v>
      </c>
    </row>
    <row r="210" spans="1:256" x14ac:dyDescent="0.25">
      <c r="A210" s="326"/>
      <c r="B210" s="321"/>
      <c r="C210" s="301">
        <v>3.5514999999999999</v>
      </c>
      <c r="D210" s="301">
        <v>0.15</v>
      </c>
      <c r="E210" s="301">
        <v>7.2197181976526997E-2</v>
      </c>
      <c r="F210" s="301">
        <v>0</v>
      </c>
      <c r="G210" s="301">
        <v>2.2499999999999999E-2</v>
      </c>
      <c r="H210" s="301">
        <v>0</v>
      </c>
      <c r="I210" s="301">
        <v>0</v>
      </c>
      <c r="J210" s="301">
        <v>0.155</v>
      </c>
      <c r="K210" s="301">
        <v>-2.2499999999999999E-2</v>
      </c>
      <c r="L210" s="301">
        <v>9.4999999999999998E-3</v>
      </c>
      <c r="M210" s="301">
        <v>0</v>
      </c>
      <c r="N210" s="301">
        <v>6.4999999999999997E-3</v>
      </c>
      <c r="O210" s="301">
        <v>0</v>
      </c>
      <c r="P210" s="298">
        <v>-5.4999999999999997E-3</v>
      </c>
      <c r="Q210" s="298">
        <v>0</v>
      </c>
      <c r="R210" s="298">
        <v>-2.7499999999999998E-3</v>
      </c>
      <c r="S210" s="298">
        <v>-3.3500000000000002E-2</v>
      </c>
      <c r="T210" s="298">
        <v>0</v>
      </c>
      <c r="U210" s="298">
        <v>0.25750000000000001</v>
      </c>
      <c r="V210" s="298">
        <v>5.0000000000000001E-3</v>
      </c>
      <c r="W210" s="298">
        <v>-0.19</v>
      </c>
      <c r="X210" s="298">
        <v>-6.4999999999999997E-3</v>
      </c>
      <c r="Y210" s="313">
        <v>0.1875</v>
      </c>
      <c r="Z210" s="313">
        <v>0</v>
      </c>
      <c r="AA210" s="445">
        <v>0.15</v>
      </c>
      <c r="AB210" s="445">
        <v>0.14699999999999999</v>
      </c>
      <c r="AC210" s="445">
        <v>0.15</v>
      </c>
      <c r="AD210" s="445">
        <v>0.15</v>
      </c>
      <c r="AE210" s="445">
        <v>0.14699999999999999</v>
      </c>
      <c r="AF210" s="445">
        <v>0.15</v>
      </c>
      <c r="AG210" s="445">
        <v>0.15</v>
      </c>
      <c r="AH210" s="445">
        <v>0.15</v>
      </c>
      <c r="AI210" s="446">
        <v>0.15</v>
      </c>
      <c r="AJ210" s="446">
        <v>0.15</v>
      </c>
      <c r="AK210" s="446">
        <v>0.15</v>
      </c>
      <c r="AL210" s="445">
        <v>0.15</v>
      </c>
      <c r="AM210" s="298">
        <v>7.2546298263999998E-2</v>
      </c>
      <c r="AN210" s="298"/>
      <c r="AO210" s="313">
        <f t="shared" si="20"/>
        <v>0.14699999999999999</v>
      </c>
      <c r="AP210" s="313">
        <f t="shared" si="21"/>
        <v>0.14699999999999999</v>
      </c>
      <c r="AQ210" s="316">
        <f t="shared" si="22"/>
        <v>0.14699999999999999</v>
      </c>
      <c r="IU210" s="315">
        <f t="shared" si="19"/>
        <v>0</v>
      </c>
      <c r="IV210" s="298">
        <v>199</v>
      </c>
    </row>
    <row r="211" spans="1:256" x14ac:dyDescent="0.25">
      <c r="A211" s="326"/>
      <c r="B211" s="321"/>
      <c r="C211" s="301">
        <v>3.5575000000000001</v>
      </c>
      <c r="D211" s="301">
        <v>0.15</v>
      </c>
      <c r="E211" s="301">
        <v>7.2198858854093995E-2</v>
      </c>
      <c r="F211" s="301">
        <v>0</v>
      </c>
      <c r="G211" s="301">
        <v>2.5000000000000001E-2</v>
      </c>
      <c r="H211" s="301">
        <v>0</v>
      </c>
      <c r="I211" s="301">
        <v>0</v>
      </c>
      <c r="J211" s="301">
        <v>0.155</v>
      </c>
      <c r="K211" s="301">
        <v>-2.2499999999999999E-2</v>
      </c>
      <c r="L211" s="301">
        <v>9.4999999999999998E-3</v>
      </c>
      <c r="M211" s="301">
        <v>0</v>
      </c>
      <c r="N211" s="301">
        <v>6.4999999999999997E-3</v>
      </c>
      <c r="O211" s="301">
        <v>0</v>
      </c>
      <c r="P211" s="298">
        <v>-5.4999999999999997E-3</v>
      </c>
      <c r="Q211" s="298">
        <v>0</v>
      </c>
      <c r="R211" s="298">
        <v>-2.5000000000000001E-4</v>
      </c>
      <c r="S211" s="298">
        <v>-3.3500000000000002E-2</v>
      </c>
      <c r="T211" s="298">
        <v>0</v>
      </c>
      <c r="U211" s="298">
        <v>0.25750000000000001</v>
      </c>
      <c r="V211" s="298">
        <v>5.0000000000000001E-3</v>
      </c>
      <c r="W211" s="298">
        <v>-0.19</v>
      </c>
      <c r="X211" s="298">
        <v>-6.4999999999999997E-3</v>
      </c>
      <c r="Y211" s="313">
        <v>0.1875</v>
      </c>
      <c r="Z211" s="313">
        <v>0</v>
      </c>
      <c r="AA211" s="445">
        <v>0.15</v>
      </c>
      <c r="AB211" s="445">
        <v>0.14699999999999999</v>
      </c>
      <c r="AC211" s="445">
        <v>0.15</v>
      </c>
      <c r="AD211" s="445">
        <v>0.15</v>
      </c>
      <c r="AE211" s="445">
        <v>0.14699999999999999</v>
      </c>
      <c r="AF211" s="445">
        <v>0.15</v>
      </c>
      <c r="AG211" s="445">
        <v>0.15</v>
      </c>
      <c r="AH211" s="445">
        <v>0.15</v>
      </c>
      <c r="AI211" s="446">
        <v>0.15</v>
      </c>
      <c r="AJ211" s="446">
        <v>0.15</v>
      </c>
      <c r="AK211" s="446">
        <v>0.15</v>
      </c>
      <c r="AL211" s="445">
        <v>0.15</v>
      </c>
      <c r="AM211" s="298">
        <v>7.2549307241822E-2</v>
      </c>
      <c r="AN211" s="298"/>
      <c r="AO211" s="313">
        <f t="shared" si="20"/>
        <v>0.14699999999999999</v>
      </c>
      <c r="AP211" s="313">
        <f t="shared" si="21"/>
        <v>0.14699999999999999</v>
      </c>
      <c r="AQ211" s="316">
        <f t="shared" si="22"/>
        <v>0.14699999999999999</v>
      </c>
      <c r="IU211" s="315">
        <f t="shared" si="19"/>
        <v>0</v>
      </c>
      <c r="IV211" s="298">
        <v>200</v>
      </c>
    </row>
    <row r="212" spans="1:256" x14ac:dyDescent="0.25">
      <c r="A212" s="326"/>
      <c r="B212" s="321"/>
      <c r="C212" s="301">
        <v>3.5485000000000002</v>
      </c>
      <c r="D212" s="301">
        <v>0.15</v>
      </c>
      <c r="E212" s="301">
        <v>7.2200535731662005E-2</v>
      </c>
      <c r="F212" s="301">
        <v>0</v>
      </c>
      <c r="G212" s="301">
        <v>1.7500000000000002E-2</v>
      </c>
      <c r="H212" s="301">
        <v>0</v>
      </c>
      <c r="I212" s="301">
        <v>0</v>
      </c>
      <c r="J212" s="301">
        <v>0.155</v>
      </c>
      <c r="K212" s="301">
        <v>-2.5000000000000001E-2</v>
      </c>
      <c r="L212" s="301">
        <v>7.0000000000000001E-3</v>
      </c>
      <c r="M212" s="301">
        <v>0</v>
      </c>
      <c r="N212" s="301">
        <v>6.4999999999999997E-3</v>
      </c>
      <c r="O212" s="301">
        <v>0</v>
      </c>
      <c r="P212" s="298">
        <v>-5.4999999999999997E-3</v>
      </c>
      <c r="Q212" s="298">
        <v>0</v>
      </c>
      <c r="R212" s="298">
        <v>-2.5000000000000001E-4</v>
      </c>
      <c r="S212" s="298">
        <v>-4.1000000000000002E-2</v>
      </c>
      <c r="T212" s="298">
        <v>0</v>
      </c>
      <c r="U212" s="298">
        <v>0.2525</v>
      </c>
      <c r="V212" s="298">
        <v>5.0000000000000001E-3</v>
      </c>
      <c r="W212" s="298">
        <v>-0.19</v>
      </c>
      <c r="X212" s="298">
        <v>-8.9999999999999993E-3</v>
      </c>
      <c r="Y212" s="313">
        <v>0.1875</v>
      </c>
      <c r="Z212" s="313">
        <v>0</v>
      </c>
      <c r="AA212" s="445">
        <v>0.15</v>
      </c>
      <c r="AB212" s="445">
        <v>0.14699999999999999</v>
      </c>
      <c r="AC212" s="445">
        <v>0.15</v>
      </c>
      <c r="AD212" s="445">
        <v>0.15</v>
      </c>
      <c r="AE212" s="445">
        <v>0.14699999999999999</v>
      </c>
      <c r="AF212" s="445">
        <v>0.15</v>
      </c>
      <c r="AG212" s="445">
        <v>0.15</v>
      </c>
      <c r="AH212" s="445">
        <v>0.15</v>
      </c>
      <c r="AI212" s="446">
        <v>0.15</v>
      </c>
      <c r="AJ212" s="446">
        <v>0.15</v>
      </c>
      <c r="AK212" s="446">
        <v>0.15</v>
      </c>
      <c r="AL212" s="445">
        <v>0.15</v>
      </c>
      <c r="AM212" s="298">
        <v>7.2552316219657007E-2</v>
      </c>
      <c r="AN212" s="298"/>
      <c r="AO212" s="313">
        <f t="shared" si="20"/>
        <v>0.14699999999999999</v>
      </c>
      <c r="AP212" s="313">
        <f t="shared" si="21"/>
        <v>0.14699999999999999</v>
      </c>
      <c r="AQ212" s="316">
        <f t="shared" si="22"/>
        <v>0.14699999999999999</v>
      </c>
      <c r="IU212" s="315">
        <f t="shared" si="19"/>
        <v>0</v>
      </c>
      <c r="IV212" s="298">
        <v>201</v>
      </c>
    </row>
    <row r="213" spans="1:256" x14ac:dyDescent="0.25">
      <c r="A213" s="326"/>
      <c r="B213" s="321"/>
      <c r="C213" s="301">
        <v>3.5625</v>
      </c>
      <c r="D213" s="301">
        <v>0.15</v>
      </c>
      <c r="E213" s="301">
        <v>7.2202158516405004E-2</v>
      </c>
      <c r="F213" s="301">
        <v>0</v>
      </c>
      <c r="G213" s="301">
        <v>7.4999999999999997E-3</v>
      </c>
      <c r="H213" s="301">
        <v>0</v>
      </c>
      <c r="I213" s="301">
        <v>0</v>
      </c>
      <c r="J213" s="301">
        <v>0.1575</v>
      </c>
      <c r="K213" s="301">
        <v>-2.5000000000000001E-2</v>
      </c>
      <c r="L213" s="301">
        <v>7.0000000000000001E-3</v>
      </c>
      <c r="M213" s="301">
        <v>0</v>
      </c>
      <c r="N213" s="301">
        <v>6.4999999999999997E-3</v>
      </c>
      <c r="O213" s="301">
        <v>0</v>
      </c>
      <c r="P213" s="298">
        <v>-5.4999999999999997E-3</v>
      </c>
      <c r="Q213" s="298">
        <v>0</v>
      </c>
      <c r="R213" s="298">
        <v>-2.1000000000000001E-2</v>
      </c>
      <c r="S213" s="298">
        <v>-4.1000000000000002E-2</v>
      </c>
      <c r="T213" s="298">
        <v>0</v>
      </c>
      <c r="U213" s="298">
        <v>0.255</v>
      </c>
      <c r="V213" s="298">
        <v>5.0000000000000001E-3</v>
      </c>
      <c r="W213" s="298">
        <v>-0.19</v>
      </c>
      <c r="X213" s="298">
        <v>-8.9999999999999993E-3</v>
      </c>
      <c r="Y213" s="313">
        <v>0.1875</v>
      </c>
      <c r="Z213" s="313">
        <v>0</v>
      </c>
      <c r="AA213" s="445">
        <v>0.15</v>
      </c>
      <c r="AB213" s="445">
        <v>0.14699999999999999</v>
      </c>
      <c r="AC213" s="445">
        <v>0.15</v>
      </c>
      <c r="AD213" s="445">
        <v>0.15</v>
      </c>
      <c r="AE213" s="445">
        <v>0.14699999999999999</v>
      </c>
      <c r="AF213" s="445">
        <v>0.15</v>
      </c>
      <c r="AG213" s="445">
        <v>0.15</v>
      </c>
      <c r="AH213" s="445">
        <v>0.15</v>
      </c>
      <c r="AI213" s="446">
        <v>0.15</v>
      </c>
      <c r="AJ213" s="446">
        <v>0.15</v>
      </c>
      <c r="AK213" s="446">
        <v>0.15</v>
      </c>
      <c r="AL213" s="445">
        <v>0.15</v>
      </c>
      <c r="AM213" s="298">
        <v>7.2555228133693001E-2</v>
      </c>
      <c r="AN213" s="298"/>
      <c r="AO213" s="313">
        <f t="shared" si="20"/>
        <v>0.14699999999999999</v>
      </c>
      <c r="AP213" s="313">
        <f t="shared" si="21"/>
        <v>0.14699999999999999</v>
      </c>
      <c r="AQ213" s="316">
        <f t="shared" si="22"/>
        <v>0.14699999999999999</v>
      </c>
      <c r="IU213" s="315">
        <f t="shared" si="19"/>
        <v>0</v>
      </c>
      <c r="IV213" s="298">
        <v>202</v>
      </c>
    </row>
    <row r="214" spans="1:256" x14ac:dyDescent="0.25">
      <c r="A214" s="326"/>
      <c r="B214" s="321"/>
      <c r="C214" s="301">
        <v>3.6305000000000001</v>
      </c>
      <c r="D214" s="301">
        <v>0.15</v>
      </c>
      <c r="E214" s="301">
        <v>7.2203835393974E-2</v>
      </c>
      <c r="F214" s="301">
        <v>0</v>
      </c>
      <c r="G214" s="301">
        <v>-3.2500000000000001E-2</v>
      </c>
      <c r="H214" s="301">
        <v>0</v>
      </c>
      <c r="I214" s="301">
        <v>0</v>
      </c>
      <c r="J214" s="301">
        <v>0.24</v>
      </c>
      <c r="K214" s="301">
        <v>-3.6499999999999998E-2</v>
      </c>
      <c r="L214" s="301">
        <v>2E-3</v>
      </c>
      <c r="M214" s="301">
        <v>0</v>
      </c>
      <c r="N214" s="301">
        <v>1.0999999999999999E-2</v>
      </c>
      <c r="O214" s="301">
        <v>0</v>
      </c>
      <c r="P214" s="298">
        <v>-8.5000000000000006E-3</v>
      </c>
      <c r="Q214" s="298">
        <v>0</v>
      </c>
      <c r="R214" s="298">
        <v>-0.02</v>
      </c>
      <c r="S214" s="298">
        <v>-5.6000000000000001E-2</v>
      </c>
      <c r="T214" s="298">
        <v>0</v>
      </c>
      <c r="U214" s="298">
        <v>0.72499999999999998</v>
      </c>
      <c r="V214" s="298">
        <v>5.0000000000000001E-3</v>
      </c>
      <c r="W214" s="298">
        <v>-0.19</v>
      </c>
      <c r="X214" s="298">
        <v>-6.4999999999999997E-3</v>
      </c>
      <c r="Y214" s="313">
        <v>0.1</v>
      </c>
      <c r="Z214" s="313">
        <v>0</v>
      </c>
      <c r="AA214" s="445">
        <v>0.15</v>
      </c>
      <c r="AB214" s="445">
        <v>0.16500000000000001</v>
      </c>
      <c r="AC214" s="445">
        <v>0.15</v>
      </c>
      <c r="AD214" s="445">
        <v>0.15</v>
      </c>
      <c r="AE214" s="445">
        <v>0.15</v>
      </c>
      <c r="AF214" s="445">
        <v>0.15</v>
      </c>
      <c r="AG214" s="445">
        <v>0.15</v>
      </c>
      <c r="AH214" s="445">
        <v>0.15</v>
      </c>
      <c r="AI214" s="446">
        <v>0.15</v>
      </c>
      <c r="AJ214" s="446">
        <v>0.15</v>
      </c>
      <c r="AK214" s="446">
        <v>0.15</v>
      </c>
      <c r="AL214" s="445">
        <v>0.15</v>
      </c>
      <c r="AM214" s="298">
        <v>7.2558237111534002E-2</v>
      </c>
      <c r="AN214" s="298"/>
      <c r="AO214" s="313">
        <f t="shared" si="20"/>
        <v>0.16500000000000001</v>
      </c>
      <c r="AP214" s="313">
        <f t="shared" si="21"/>
        <v>0.16500000000000001</v>
      </c>
      <c r="AQ214" s="316">
        <f t="shared" si="22"/>
        <v>0.16500000000000001</v>
      </c>
      <c r="IU214" s="315">
        <f t="shared" si="19"/>
        <v>0</v>
      </c>
      <c r="IV214" s="298">
        <v>203</v>
      </c>
    </row>
    <row r="215" spans="1:256" x14ac:dyDescent="0.25">
      <c r="A215" s="326"/>
      <c r="B215" s="321"/>
      <c r="C215" s="301">
        <v>3.7145000000000001</v>
      </c>
      <c r="D215" s="301">
        <v>0.15</v>
      </c>
      <c r="E215" s="301">
        <v>7.2205458178719997E-2</v>
      </c>
      <c r="F215" s="301">
        <v>0</v>
      </c>
      <c r="G215" s="301">
        <v>-5.5E-2</v>
      </c>
      <c r="H215" s="301">
        <v>0</v>
      </c>
      <c r="I215" s="301">
        <v>0</v>
      </c>
      <c r="J215" s="301">
        <v>0.29499999999999998</v>
      </c>
      <c r="K215" s="301">
        <v>-3.6499999999999998E-2</v>
      </c>
      <c r="L215" s="301">
        <v>-5.0000000000000001E-4</v>
      </c>
      <c r="M215" s="301">
        <v>0</v>
      </c>
      <c r="N215" s="301">
        <v>1.0999999999999999E-2</v>
      </c>
      <c r="O215" s="301">
        <v>0</v>
      </c>
      <c r="P215" s="298">
        <v>-8.5000000000000006E-3</v>
      </c>
      <c r="Q215" s="298">
        <v>0</v>
      </c>
      <c r="R215" s="298">
        <v>-0.02</v>
      </c>
      <c r="S215" s="298">
        <v>-7.0999999999999994E-2</v>
      </c>
      <c r="T215" s="298">
        <v>0</v>
      </c>
      <c r="U215" s="298">
        <v>1.0449999999999999</v>
      </c>
      <c r="V215" s="298">
        <v>5.0000000000000001E-3</v>
      </c>
      <c r="W215" s="298">
        <v>-0.19</v>
      </c>
      <c r="X215" s="298">
        <v>-6.4999999999999997E-3</v>
      </c>
      <c r="Y215" s="313">
        <v>0.1</v>
      </c>
      <c r="Z215" s="313">
        <v>0</v>
      </c>
      <c r="AA215" s="445">
        <v>0.15</v>
      </c>
      <c r="AB215" s="445">
        <v>0.16500000000000001</v>
      </c>
      <c r="AC215" s="445">
        <v>0.15</v>
      </c>
      <c r="AD215" s="445">
        <v>0.15</v>
      </c>
      <c r="AE215" s="445">
        <v>0.15</v>
      </c>
      <c r="AF215" s="445">
        <v>0.15</v>
      </c>
      <c r="AG215" s="445">
        <v>0.15</v>
      </c>
      <c r="AH215" s="445">
        <v>0.15</v>
      </c>
      <c r="AI215" s="446">
        <v>0.15</v>
      </c>
      <c r="AJ215" s="446">
        <v>0.15</v>
      </c>
      <c r="AK215" s="446">
        <v>0.15</v>
      </c>
      <c r="AL215" s="445">
        <v>0.15</v>
      </c>
      <c r="AM215" s="298">
        <v>7.2561149025576005E-2</v>
      </c>
      <c r="AN215" s="298"/>
      <c r="AO215" s="313">
        <f t="shared" si="20"/>
        <v>0.16500000000000001</v>
      </c>
      <c r="AP215" s="313">
        <f t="shared" si="21"/>
        <v>0.16500000000000001</v>
      </c>
      <c r="AQ215" s="316">
        <f t="shared" si="22"/>
        <v>0.16500000000000001</v>
      </c>
      <c r="IU215" s="315">
        <f t="shared" si="19"/>
        <v>0</v>
      </c>
      <c r="IV215" s="298">
        <v>204</v>
      </c>
    </row>
    <row r="216" spans="1:256" x14ac:dyDescent="0.25">
      <c r="B216" s="321"/>
      <c r="C216" s="301">
        <v>3.7530000000000001</v>
      </c>
      <c r="D216" s="301">
        <v>0.15</v>
      </c>
      <c r="E216" s="301">
        <v>7.2207135056292004E-2</v>
      </c>
      <c r="F216" s="301">
        <v>0</v>
      </c>
      <c r="G216" s="301">
        <v>-5.7500000000000002E-2</v>
      </c>
      <c r="H216" s="301">
        <v>0</v>
      </c>
      <c r="I216" s="301">
        <v>0</v>
      </c>
      <c r="J216" s="301">
        <v>0.34250000000000003</v>
      </c>
      <c r="K216" s="301">
        <v>-4.0500000000000001E-2</v>
      </c>
      <c r="L216" s="301">
        <v>5.4999999999999997E-3</v>
      </c>
      <c r="M216" s="301">
        <v>0</v>
      </c>
      <c r="N216" s="301">
        <v>1.0999999999999999E-2</v>
      </c>
      <c r="O216" s="301">
        <v>0</v>
      </c>
      <c r="P216" s="298">
        <v>-4.0000000000000001E-3</v>
      </c>
      <c r="Q216" s="298">
        <v>0</v>
      </c>
      <c r="R216" s="298">
        <v>-0.02</v>
      </c>
      <c r="S216" s="298">
        <v>-8.1500000000000003E-2</v>
      </c>
      <c r="T216" s="298">
        <v>0</v>
      </c>
      <c r="U216" s="298">
        <v>1.52</v>
      </c>
      <c r="V216" s="298">
        <v>5.0000000000000001E-3</v>
      </c>
      <c r="W216" s="298">
        <v>-0.19</v>
      </c>
      <c r="X216" s="298">
        <v>-6.4999999999999997E-3</v>
      </c>
      <c r="Y216" s="313">
        <v>0.1</v>
      </c>
      <c r="Z216" s="313">
        <v>0</v>
      </c>
      <c r="AA216" s="445">
        <v>0.15</v>
      </c>
      <c r="AB216" s="445">
        <v>0.15</v>
      </c>
      <c r="AC216" s="445">
        <v>0.15</v>
      </c>
      <c r="AD216" s="445">
        <v>0.15</v>
      </c>
      <c r="AE216" s="445">
        <v>0.15</v>
      </c>
      <c r="AF216" s="445">
        <v>0.15</v>
      </c>
      <c r="AG216" s="445">
        <v>0.15</v>
      </c>
      <c r="AH216" s="445">
        <v>0.15</v>
      </c>
      <c r="AI216" s="446">
        <v>0.15</v>
      </c>
      <c r="AJ216" s="446">
        <v>0.15</v>
      </c>
      <c r="AK216" s="446">
        <v>0.15</v>
      </c>
      <c r="AL216" s="445">
        <v>0.15</v>
      </c>
      <c r="AM216" s="298">
        <v>7.2564158003422002E-2</v>
      </c>
      <c r="AN216" s="298"/>
      <c r="AO216" s="313">
        <f t="shared" si="20"/>
        <v>0.15</v>
      </c>
      <c r="AP216" s="313">
        <f t="shared" si="21"/>
        <v>0.15</v>
      </c>
      <c r="AQ216" s="316">
        <f t="shared" si="22"/>
        <v>0.15</v>
      </c>
      <c r="IU216" s="315">
        <f t="shared" si="19"/>
        <v>0</v>
      </c>
      <c r="IV216" s="298">
        <v>205</v>
      </c>
    </row>
    <row r="217" spans="1:256" x14ac:dyDescent="0.25">
      <c r="B217" s="321"/>
      <c r="C217" s="301">
        <v>3.6960000000000002</v>
      </c>
      <c r="D217" s="301">
        <v>0.15</v>
      </c>
      <c r="E217" s="301">
        <v>7.2208811933863998E-2</v>
      </c>
      <c r="F217" s="301">
        <v>0</v>
      </c>
      <c r="G217" s="301">
        <v>-0.04</v>
      </c>
      <c r="H217" s="301">
        <v>0</v>
      </c>
      <c r="I217" s="301">
        <v>0</v>
      </c>
      <c r="J217" s="301">
        <v>0.33750000000000002</v>
      </c>
      <c r="K217" s="301">
        <v>-3.6499999999999998E-2</v>
      </c>
      <c r="L217" s="301">
        <v>-5.0000000000000001E-4</v>
      </c>
      <c r="M217" s="301">
        <v>0</v>
      </c>
      <c r="N217" s="301">
        <v>1.0999999999999999E-2</v>
      </c>
      <c r="O217" s="301">
        <v>0</v>
      </c>
      <c r="P217" s="298">
        <v>-4.0000000000000001E-3</v>
      </c>
      <c r="Q217" s="298">
        <v>0</v>
      </c>
      <c r="R217" s="298">
        <v>-0.02</v>
      </c>
      <c r="S217" s="298">
        <v>-6.9000000000000006E-2</v>
      </c>
      <c r="T217" s="298">
        <v>0</v>
      </c>
      <c r="U217" s="298">
        <v>1.4</v>
      </c>
      <c r="V217" s="298">
        <v>5.0000000000000001E-3</v>
      </c>
      <c r="W217" s="298">
        <v>-0.19</v>
      </c>
      <c r="X217" s="298">
        <v>-6.4999999999999997E-3</v>
      </c>
      <c r="Y217" s="313">
        <v>0.1</v>
      </c>
      <c r="Z217" s="313">
        <v>0</v>
      </c>
      <c r="AA217" s="445">
        <v>0.15</v>
      </c>
      <c r="AB217" s="445">
        <v>0.16500000000000001</v>
      </c>
      <c r="AC217" s="445">
        <v>0.15</v>
      </c>
      <c r="AD217" s="445">
        <v>0.15</v>
      </c>
      <c r="AE217" s="445">
        <v>0.15</v>
      </c>
      <c r="AF217" s="445">
        <v>0.15</v>
      </c>
      <c r="AG217" s="445">
        <v>0.15</v>
      </c>
      <c r="AH217" s="445">
        <v>0.15</v>
      </c>
      <c r="AI217" s="446">
        <v>0.15</v>
      </c>
      <c r="AJ217" s="446">
        <v>0.15</v>
      </c>
      <c r="AK217" s="446">
        <v>0.15</v>
      </c>
      <c r="AL217" s="445">
        <v>0.15</v>
      </c>
      <c r="AM217" s="298">
        <v>7.2567166981270997E-2</v>
      </c>
      <c r="AN217" s="298"/>
      <c r="AO217" s="313">
        <f t="shared" si="20"/>
        <v>0.16500000000000001</v>
      </c>
      <c r="AP217" s="313">
        <f t="shared" si="21"/>
        <v>0.16500000000000001</v>
      </c>
      <c r="AQ217" s="316">
        <f t="shared" si="22"/>
        <v>0.16500000000000001</v>
      </c>
      <c r="IU217" s="315">
        <f t="shared" si="19"/>
        <v>0</v>
      </c>
      <c r="IV217" s="298">
        <v>206</v>
      </c>
    </row>
    <row r="218" spans="1:256" x14ac:dyDescent="0.25">
      <c r="B218" s="321"/>
      <c r="C218" s="301">
        <v>3.6230000000000002</v>
      </c>
      <c r="D218" s="301">
        <v>0.15</v>
      </c>
      <c r="E218" s="301">
        <v>7.2210326532961999E-2</v>
      </c>
      <c r="F218" s="301">
        <v>0</v>
      </c>
      <c r="G218" s="301">
        <v>-2.75E-2</v>
      </c>
      <c r="H218" s="301">
        <v>0</v>
      </c>
      <c r="I218" s="301">
        <v>0</v>
      </c>
      <c r="J218" s="301">
        <v>0.26</v>
      </c>
      <c r="K218" s="301">
        <v>0</v>
      </c>
      <c r="L218" s="301">
        <v>0</v>
      </c>
      <c r="M218" s="301">
        <v>0</v>
      </c>
      <c r="N218" s="301">
        <v>0</v>
      </c>
      <c r="O218" s="301">
        <v>0</v>
      </c>
      <c r="P218" s="298">
        <v>0</v>
      </c>
      <c r="Q218" s="298">
        <v>0</v>
      </c>
      <c r="R218" s="298">
        <v>-1.6999999999999999E-3</v>
      </c>
      <c r="S218" s="298">
        <v>0</v>
      </c>
      <c r="T218" s="298">
        <v>0</v>
      </c>
      <c r="U218" s="298">
        <v>0.88</v>
      </c>
      <c r="V218" s="298">
        <v>0</v>
      </c>
      <c r="W218" s="298">
        <v>-0.19</v>
      </c>
      <c r="X218" s="298">
        <v>0</v>
      </c>
      <c r="Y218" s="313">
        <v>0.1</v>
      </c>
      <c r="Z218" s="313">
        <v>0</v>
      </c>
      <c r="AA218" s="445">
        <v>0.15</v>
      </c>
      <c r="AB218" s="445">
        <v>0.16500000000000001</v>
      </c>
      <c r="AC218" s="445">
        <v>0.15</v>
      </c>
      <c r="AD218" s="445">
        <v>0.15</v>
      </c>
      <c r="AE218" s="445">
        <v>0.15</v>
      </c>
      <c r="AF218" s="445">
        <v>0.15</v>
      </c>
      <c r="AG218" s="445">
        <v>0.15</v>
      </c>
      <c r="AH218" s="445">
        <v>0.15</v>
      </c>
      <c r="AI218" s="446">
        <v>0.15</v>
      </c>
      <c r="AJ218" s="446">
        <v>0.15</v>
      </c>
      <c r="AK218" s="446">
        <v>0.15</v>
      </c>
      <c r="AL218" s="445">
        <v>0.15</v>
      </c>
      <c r="AM218" s="298">
        <v>7.2569884767719001E-2</v>
      </c>
      <c r="AN218" s="298"/>
      <c r="AO218" s="313">
        <f t="shared" si="20"/>
        <v>0.16500000000000001</v>
      </c>
      <c r="AP218" s="313">
        <f t="shared" si="21"/>
        <v>0.16500000000000001</v>
      </c>
      <c r="AQ218" s="316">
        <f t="shared" si="22"/>
        <v>0.16500000000000001</v>
      </c>
      <c r="IU218" s="315">
        <f t="shared" si="19"/>
        <v>0</v>
      </c>
      <c r="IV218" s="298">
        <v>207</v>
      </c>
    </row>
    <row r="219" spans="1:256" x14ac:dyDescent="0.25">
      <c r="B219" s="321"/>
      <c r="C219" s="301">
        <v>3.5649999999999999</v>
      </c>
      <c r="D219" s="301">
        <v>0.15</v>
      </c>
      <c r="E219" s="301">
        <v>7.2212003410537004E-2</v>
      </c>
      <c r="F219" s="301">
        <v>0</v>
      </c>
      <c r="G219" s="301">
        <v>4.4976638999999999E-2</v>
      </c>
      <c r="H219" s="301">
        <v>0</v>
      </c>
      <c r="I219" s="301">
        <v>0</v>
      </c>
      <c r="J219" s="301">
        <v>0.17</v>
      </c>
      <c r="K219" s="301">
        <v>0</v>
      </c>
      <c r="L219" s="301">
        <v>0</v>
      </c>
      <c r="M219" s="301">
        <v>0</v>
      </c>
      <c r="N219" s="301">
        <v>0</v>
      </c>
      <c r="O219" s="301">
        <v>0</v>
      </c>
      <c r="P219" s="298">
        <v>0</v>
      </c>
      <c r="Q219" s="298">
        <v>0</v>
      </c>
      <c r="R219" s="298">
        <v>-1.6999999999999999E-3</v>
      </c>
      <c r="S219" s="298">
        <v>0</v>
      </c>
      <c r="T219" s="298">
        <v>0</v>
      </c>
      <c r="U219" s="298">
        <v>0.37</v>
      </c>
      <c r="V219" s="298">
        <v>0</v>
      </c>
      <c r="W219" s="298">
        <v>-0.19</v>
      </c>
      <c r="X219" s="298">
        <v>0</v>
      </c>
      <c r="Y219" s="313">
        <v>0.1875</v>
      </c>
      <c r="Z219" s="313">
        <v>0</v>
      </c>
      <c r="AA219" s="445">
        <v>0.15</v>
      </c>
      <c r="AB219" s="445">
        <v>0.14699999999999999</v>
      </c>
      <c r="AC219" s="445">
        <v>0.15</v>
      </c>
      <c r="AD219" s="445">
        <v>0.15</v>
      </c>
      <c r="AE219" s="445">
        <v>0.14699999999999999</v>
      </c>
      <c r="AF219" s="445">
        <v>0.15</v>
      </c>
      <c r="AG219" s="445">
        <v>0.15</v>
      </c>
      <c r="AH219" s="445">
        <v>0.15</v>
      </c>
      <c r="AI219" s="446">
        <v>0.15</v>
      </c>
      <c r="AJ219" s="446">
        <v>0.15</v>
      </c>
      <c r="AK219" s="446">
        <v>0.15</v>
      </c>
      <c r="AL219" s="445">
        <v>0.15</v>
      </c>
      <c r="AM219" s="298">
        <v>7.2572893745574005E-2</v>
      </c>
      <c r="AN219" s="298"/>
      <c r="AO219" s="313">
        <f t="shared" si="20"/>
        <v>0.14699999999999999</v>
      </c>
      <c r="AP219" s="313">
        <f t="shared" si="21"/>
        <v>0.14699999999999999</v>
      </c>
      <c r="AQ219" s="316">
        <f t="shared" si="22"/>
        <v>0.14699999999999999</v>
      </c>
      <c r="IU219" s="315">
        <f t="shared" si="19"/>
        <v>0</v>
      </c>
      <c r="IV219" s="298">
        <v>208</v>
      </c>
    </row>
    <row r="220" spans="1:256" x14ac:dyDescent="0.25">
      <c r="B220" s="321"/>
      <c r="C220" s="301">
        <v>3.6015000000000001</v>
      </c>
      <c r="D220" s="301">
        <v>0.15</v>
      </c>
      <c r="E220" s="301">
        <v>7.2213626195286998E-2</v>
      </c>
      <c r="F220" s="301">
        <v>0</v>
      </c>
      <c r="G220" s="301">
        <v>4.4968123999999998E-2</v>
      </c>
      <c r="H220" s="301">
        <v>0</v>
      </c>
      <c r="I220" s="301">
        <v>0</v>
      </c>
      <c r="J220" s="301">
        <v>0.155</v>
      </c>
      <c r="K220" s="301">
        <v>0</v>
      </c>
      <c r="L220" s="301">
        <v>0</v>
      </c>
      <c r="M220" s="301">
        <v>0</v>
      </c>
      <c r="N220" s="301">
        <v>0</v>
      </c>
      <c r="O220" s="301">
        <v>0</v>
      </c>
      <c r="P220" s="298">
        <v>0</v>
      </c>
      <c r="Q220" s="298">
        <v>0</v>
      </c>
      <c r="R220" s="298">
        <v>-1.75E-3</v>
      </c>
      <c r="S220" s="298">
        <v>0</v>
      </c>
      <c r="T220" s="298">
        <v>0</v>
      </c>
      <c r="U220" s="298">
        <v>0.2525</v>
      </c>
      <c r="V220" s="298">
        <v>0</v>
      </c>
      <c r="W220" s="298">
        <v>-0.19</v>
      </c>
      <c r="X220" s="298">
        <v>0</v>
      </c>
      <c r="Y220" s="313">
        <v>0.1875</v>
      </c>
      <c r="Z220" s="313">
        <v>0</v>
      </c>
      <c r="AA220" s="445">
        <v>0.15</v>
      </c>
      <c r="AB220" s="445">
        <v>0.14699999999999999</v>
      </c>
      <c r="AC220" s="445">
        <v>0.15</v>
      </c>
      <c r="AD220" s="445">
        <v>0.15</v>
      </c>
      <c r="AE220" s="445">
        <v>0.14699999999999999</v>
      </c>
      <c r="AF220" s="445">
        <v>0.15</v>
      </c>
      <c r="AG220" s="445">
        <v>0.15</v>
      </c>
      <c r="AH220" s="445">
        <v>0.15</v>
      </c>
      <c r="AI220" s="446">
        <v>0.15</v>
      </c>
      <c r="AJ220" s="446">
        <v>0.15</v>
      </c>
      <c r="AK220" s="446">
        <v>0.15</v>
      </c>
      <c r="AL220" s="445">
        <v>0.15</v>
      </c>
      <c r="AM220" s="298">
        <v>7.2575805659629997E-2</v>
      </c>
      <c r="AN220" s="298"/>
      <c r="AO220" s="313">
        <f t="shared" si="20"/>
        <v>0.14699999999999999</v>
      </c>
      <c r="AP220" s="313">
        <f t="shared" si="21"/>
        <v>0.14699999999999999</v>
      </c>
      <c r="AQ220" s="316">
        <f t="shared" si="22"/>
        <v>0.14699999999999999</v>
      </c>
      <c r="IU220" s="315">
        <f t="shared" si="19"/>
        <v>0</v>
      </c>
      <c r="IV220" s="298">
        <v>209</v>
      </c>
    </row>
    <row r="221" spans="1:256" x14ac:dyDescent="0.25">
      <c r="B221" s="321"/>
      <c r="C221" s="301">
        <v>3.6225000000000001</v>
      </c>
      <c r="D221" s="301">
        <v>0.15</v>
      </c>
      <c r="E221" s="301">
        <v>7.2215303072863002E-2</v>
      </c>
      <c r="F221" s="301">
        <v>0</v>
      </c>
      <c r="G221" s="301">
        <v>4.4968123999999998E-2</v>
      </c>
      <c r="H221" s="301">
        <v>0</v>
      </c>
      <c r="I221" s="301">
        <v>0</v>
      </c>
      <c r="J221" s="301">
        <v>0.155</v>
      </c>
      <c r="K221" s="301">
        <v>0</v>
      </c>
      <c r="L221" s="301">
        <v>0</v>
      </c>
      <c r="M221" s="301">
        <v>0</v>
      </c>
      <c r="N221" s="301">
        <v>0</v>
      </c>
      <c r="O221" s="301">
        <v>0</v>
      </c>
      <c r="P221" s="298">
        <v>0</v>
      </c>
      <c r="Q221" s="298">
        <v>0</v>
      </c>
      <c r="R221" s="298">
        <v>-1.75E-3</v>
      </c>
      <c r="S221" s="298">
        <v>0</v>
      </c>
      <c r="T221" s="298">
        <v>0</v>
      </c>
      <c r="U221" s="298">
        <v>0.2525</v>
      </c>
      <c r="V221" s="298">
        <v>0</v>
      </c>
      <c r="W221" s="298">
        <v>-0.19</v>
      </c>
      <c r="X221" s="298">
        <v>0</v>
      </c>
      <c r="Y221" s="313">
        <v>0.1875</v>
      </c>
      <c r="Z221" s="313">
        <v>0</v>
      </c>
      <c r="AA221" s="445">
        <v>0.15</v>
      </c>
      <c r="AB221" s="445">
        <v>0.14699999999999999</v>
      </c>
      <c r="AC221" s="445">
        <v>0.15</v>
      </c>
      <c r="AD221" s="445">
        <v>0.15</v>
      </c>
      <c r="AE221" s="445">
        <v>0.14699999999999999</v>
      </c>
      <c r="AF221" s="445">
        <v>0.15</v>
      </c>
      <c r="AG221" s="445">
        <v>0.15</v>
      </c>
      <c r="AH221" s="445">
        <v>0.15</v>
      </c>
      <c r="AI221" s="446">
        <v>0.15</v>
      </c>
      <c r="AJ221" s="446">
        <v>0.15</v>
      </c>
      <c r="AK221" s="446">
        <v>0.15</v>
      </c>
      <c r="AL221" s="445">
        <v>0.15</v>
      </c>
      <c r="AM221" s="298">
        <v>7.2578814637490996E-2</v>
      </c>
      <c r="AN221" s="298"/>
      <c r="AO221" s="313">
        <f t="shared" si="20"/>
        <v>0.14699999999999999</v>
      </c>
      <c r="AP221" s="313">
        <f t="shared" si="21"/>
        <v>0.14699999999999999</v>
      </c>
      <c r="AQ221" s="316">
        <f t="shared" si="22"/>
        <v>0.14699999999999999</v>
      </c>
      <c r="IU221" s="315">
        <f t="shared" si="19"/>
        <v>0</v>
      </c>
      <c r="IV221" s="298">
        <v>210</v>
      </c>
    </row>
    <row r="222" spans="1:256" x14ac:dyDescent="0.25">
      <c r="B222" s="321"/>
      <c r="C222" s="301">
        <v>3.6255000000000002</v>
      </c>
      <c r="D222" s="301">
        <v>0.15</v>
      </c>
      <c r="E222" s="301">
        <v>7.2216925857614994E-2</v>
      </c>
      <c r="F222" s="301">
        <v>0</v>
      </c>
      <c r="G222" s="301">
        <v>4.4968123999999998E-2</v>
      </c>
      <c r="H222" s="301">
        <v>0</v>
      </c>
      <c r="I222" s="301">
        <v>0</v>
      </c>
      <c r="J222" s="301">
        <v>0.155</v>
      </c>
      <c r="K222" s="301">
        <v>0</v>
      </c>
      <c r="L222" s="301">
        <v>0</v>
      </c>
      <c r="M222" s="301">
        <v>0</v>
      </c>
      <c r="N222" s="301">
        <v>0</v>
      </c>
      <c r="O222" s="301">
        <v>0</v>
      </c>
      <c r="P222" s="298">
        <v>0</v>
      </c>
      <c r="Q222" s="298">
        <v>0</v>
      </c>
      <c r="R222" s="298">
        <v>-1.75E-3</v>
      </c>
      <c r="S222" s="298">
        <v>0</v>
      </c>
      <c r="T222" s="298">
        <v>0</v>
      </c>
      <c r="U222" s="298">
        <v>0.25750000000000001</v>
      </c>
      <c r="V222" s="298">
        <v>0</v>
      </c>
      <c r="W222" s="298">
        <v>-0.19</v>
      </c>
      <c r="X222" s="298">
        <v>0</v>
      </c>
      <c r="Y222" s="313">
        <v>0.1875</v>
      </c>
      <c r="Z222" s="313">
        <v>0</v>
      </c>
      <c r="AA222" s="445">
        <v>0.15</v>
      </c>
      <c r="AB222" s="445">
        <v>0.14699999999999999</v>
      </c>
      <c r="AC222" s="445">
        <v>0.15</v>
      </c>
      <c r="AD222" s="445">
        <v>0.15</v>
      </c>
      <c r="AE222" s="445">
        <v>0.14699999999999999</v>
      </c>
      <c r="AF222" s="445">
        <v>0.15</v>
      </c>
      <c r="AG222" s="445">
        <v>0.15</v>
      </c>
      <c r="AH222" s="445">
        <v>0.15</v>
      </c>
      <c r="AI222" s="446">
        <v>0.15</v>
      </c>
      <c r="AJ222" s="446">
        <v>0.15</v>
      </c>
      <c r="AK222" s="446">
        <v>0.15</v>
      </c>
      <c r="AL222" s="445">
        <v>0.15</v>
      </c>
      <c r="AM222" s="298">
        <v>7.2581726551552997E-2</v>
      </c>
      <c r="AN222" s="298"/>
      <c r="AO222" s="313">
        <f t="shared" si="20"/>
        <v>0.14699999999999999</v>
      </c>
      <c r="AP222" s="313">
        <f t="shared" si="21"/>
        <v>0.14699999999999999</v>
      </c>
      <c r="AQ222" s="316">
        <f t="shared" si="22"/>
        <v>0.14699999999999999</v>
      </c>
      <c r="IU222" s="315">
        <f t="shared" si="19"/>
        <v>0</v>
      </c>
      <c r="IV222" s="298">
        <v>211</v>
      </c>
    </row>
    <row r="223" spans="1:256" x14ac:dyDescent="0.25">
      <c r="A223" s="325"/>
      <c r="B223" s="321"/>
      <c r="C223" s="301">
        <v>3.6315</v>
      </c>
      <c r="D223" s="301">
        <v>0.15</v>
      </c>
      <c r="E223" s="301">
        <v>7.2218602735191997E-2</v>
      </c>
      <c r="F223" s="301">
        <v>0</v>
      </c>
      <c r="G223" s="301">
        <v>4.4968123999999998E-2</v>
      </c>
      <c r="H223" s="301">
        <v>0</v>
      </c>
      <c r="I223" s="301">
        <v>0</v>
      </c>
      <c r="J223" s="301">
        <v>0.155</v>
      </c>
      <c r="K223" s="301">
        <v>0</v>
      </c>
      <c r="L223" s="301">
        <v>0</v>
      </c>
      <c r="M223" s="301">
        <v>0</v>
      </c>
      <c r="N223" s="301">
        <v>0</v>
      </c>
      <c r="O223" s="301">
        <v>0</v>
      </c>
      <c r="P223" s="298">
        <v>0</v>
      </c>
      <c r="Q223" s="298">
        <v>0</v>
      </c>
      <c r="R223" s="298">
        <v>7.5000000000000002E-4</v>
      </c>
      <c r="S223" s="298">
        <v>0</v>
      </c>
      <c r="T223" s="298">
        <v>0</v>
      </c>
      <c r="U223" s="298">
        <v>0.25750000000000001</v>
      </c>
      <c r="V223" s="298">
        <v>0</v>
      </c>
      <c r="W223" s="298">
        <v>-0.19</v>
      </c>
      <c r="X223" s="298">
        <v>0</v>
      </c>
      <c r="Y223" s="313">
        <v>0.1875</v>
      </c>
      <c r="Z223" s="313">
        <v>0</v>
      </c>
      <c r="AA223" s="445">
        <v>0.15</v>
      </c>
      <c r="AB223" s="445">
        <v>0.14699999999999999</v>
      </c>
      <c r="AC223" s="445">
        <v>0.15</v>
      </c>
      <c r="AD223" s="445">
        <v>0.15</v>
      </c>
      <c r="AE223" s="445">
        <v>0.14699999999999999</v>
      </c>
      <c r="AF223" s="445">
        <v>0.15</v>
      </c>
      <c r="AG223" s="445">
        <v>0.15</v>
      </c>
      <c r="AH223" s="445">
        <v>0.15</v>
      </c>
      <c r="AI223" s="446">
        <v>0.15</v>
      </c>
      <c r="AJ223" s="446">
        <v>0.15</v>
      </c>
      <c r="AK223" s="446">
        <v>0.15</v>
      </c>
      <c r="AL223" s="445">
        <v>0.15</v>
      </c>
      <c r="AM223" s="298">
        <v>7.2584735529420005E-2</v>
      </c>
      <c r="AN223" s="298"/>
      <c r="AO223" s="313">
        <f t="shared" si="20"/>
        <v>0.14699999999999999</v>
      </c>
      <c r="AP223" s="313">
        <f t="shared" si="21"/>
        <v>0.14699999999999999</v>
      </c>
      <c r="AQ223" s="316">
        <f t="shared" si="22"/>
        <v>0.14699999999999999</v>
      </c>
      <c r="IU223" s="315">
        <f t="shared" si="19"/>
        <v>0</v>
      </c>
      <c r="IV223" s="298">
        <v>212</v>
      </c>
    </row>
    <row r="224" spans="1:256" x14ac:dyDescent="0.25">
      <c r="A224" s="326"/>
      <c r="B224" s="321"/>
      <c r="C224" s="301">
        <v>3.6215000000000002</v>
      </c>
      <c r="D224" s="301">
        <v>0.15</v>
      </c>
      <c r="E224" s="301">
        <v>7.2220279612770999E-2</v>
      </c>
      <c r="F224" s="301">
        <v>0</v>
      </c>
      <c r="G224" s="301">
        <v>4.4968123999999998E-2</v>
      </c>
      <c r="H224" s="301">
        <v>0</v>
      </c>
      <c r="I224" s="301">
        <v>0</v>
      </c>
      <c r="J224" s="301">
        <v>0.155</v>
      </c>
      <c r="K224" s="301">
        <v>0</v>
      </c>
      <c r="L224" s="301">
        <v>0</v>
      </c>
      <c r="M224" s="301">
        <v>0</v>
      </c>
      <c r="N224" s="301">
        <v>0</v>
      </c>
      <c r="O224" s="301">
        <v>0</v>
      </c>
      <c r="P224" s="298">
        <v>0</v>
      </c>
      <c r="Q224" s="298">
        <v>0</v>
      </c>
      <c r="R224" s="298">
        <v>7.5000000000000002E-4</v>
      </c>
      <c r="S224" s="298">
        <v>0</v>
      </c>
      <c r="T224" s="298">
        <v>0</v>
      </c>
      <c r="U224" s="298">
        <v>0.2525</v>
      </c>
      <c r="V224" s="298">
        <v>0</v>
      </c>
      <c r="W224" s="298">
        <v>-0.19</v>
      </c>
      <c r="X224" s="298">
        <v>0</v>
      </c>
      <c r="Y224" s="313">
        <v>0.1875</v>
      </c>
      <c r="Z224" s="313">
        <v>0</v>
      </c>
      <c r="AA224" s="445">
        <v>0.15</v>
      </c>
      <c r="AB224" s="445">
        <v>0.14699999999999999</v>
      </c>
      <c r="AC224" s="445">
        <v>0.15</v>
      </c>
      <c r="AD224" s="445">
        <v>0.15</v>
      </c>
      <c r="AE224" s="445">
        <v>0.14699999999999999</v>
      </c>
      <c r="AF224" s="445">
        <v>0.15</v>
      </c>
      <c r="AG224" s="445">
        <v>0.15</v>
      </c>
      <c r="AH224" s="445">
        <v>0.15</v>
      </c>
      <c r="AI224" s="446">
        <v>0.15</v>
      </c>
      <c r="AJ224" s="446">
        <v>0.15</v>
      </c>
      <c r="AK224" s="446">
        <v>0.15</v>
      </c>
      <c r="AL224" s="445">
        <v>0.15</v>
      </c>
      <c r="AM224" s="298">
        <v>7.2587744507289997E-2</v>
      </c>
      <c r="AN224" s="298"/>
      <c r="AO224" s="313">
        <f t="shared" si="20"/>
        <v>0.14699999999999999</v>
      </c>
      <c r="AP224" s="313">
        <f t="shared" si="21"/>
        <v>0.14699999999999999</v>
      </c>
      <c r="AQ224" s="316">
        <f t="shared" si="22"/>
        <v>0.14699999999999999</v>
      </c>
      <c r="IU224" s="315">
        <f t="shared" si="19"/>
        <v>0</v>
      </c>
      <c r="IV224" s="298">
        <v>213</v>
      </c>
    </row>
    <row r="225" spans="1:256" x14ac:dyDescent="0.25">
      <c r="A225" s="326"/>
      <c r="B225" s="321"/>
      <c r="C225" s="301">
        <v>3.6345000000000001</v>
      </c>
      <c r="D225" s="301">
        <v>0.15</v>
      </c>
      <c r="E225" s="301">
        <v>7.2221902397525004E-2</v>
      </c>
      <c r="F225" s="301">
        <v>0</v>
      </c>
      <c r="G225" s="301">
        <v>4.4968123999999998E-2</v>
      </c>
      <c r="H225" s="301">
        <v>0</v>
      </c>
      <c r="I225" s="301">
        <v>0</v>
      </c>
      <c r="J225" s="301">
        <v>0.1575</v>
      </c>
      <c r="K225" s="301">
        <v>0</v>
      </c>
      <c r="L225" s="301">
        <v>0</v>
      </c>
      <c r="M225" s="301">
        <v>0</v>
      </c>
      <c r="N225" s="301">
        <v>0</v>
      </c>
      <c r="O225" s="301">
        <v>0</v>
      </c>
      <c r="P225" s="298">
        <v>0</v>
      </c>
      <c r="Q225" s="298">
        <v>0</v>
      </c>
      <c r="R225" s="298">
        <v>-0.02</v>
      </c>
      <c r="S225" s="298">
        <v>0</v>
      </c>
      <c r="T225" s="298">
        <v>0</v>
      </c>
      <c r="U225" s="298">
        <v>0.255</v>
      </c>
      <c r="V225" s="298">
        <v>0</v>
      </c>
      <c r="W225" s="298">
        <v>-0.19</v>
      </c>
      <c r="X225" s="298">
        <v>0</v>
      </c>
      <c r="Y225" s="313">
        <v>0.1875</v>
      </c>
      <c r="Z225" s="313">
        <v>0</v>
      </c>
      <c r="AA225" s="445">
        <v>0.15</v>
      </c>
      <c r="AB225" s="445">
        <v>0.14699999999999999</v>
      </c>
      <c r="AC225" s="445">
        <v>0.15</v>
      </c>
      <c r="AD225" s="445">
        <v>0.15</v>
      </c>
      <c r="AE225" s="445">
        <v>0.14699999999999999</v>
      </c>
      <c r="AF225" s="445">
        <v>0.15</v>
      </c>
      <c r="AG225" s="445">
        <v>0.15</v>
      </c>
      <c r="AH225" s="445">
        <v>0.15</v>
      </c>
      <c r="AI225" s="446">
        <v>0.15</v>
      </c>
      <c r="AJ225" s="446">
        <v>0.15</v>
      </c>
      <c r="AK225" s="446">
        <v>0.15</v>
      </c>
      <c r="AL225" s="445">
        <v>0.15</v>
      </c>
      <c r="AM225" s="298">
        <v>7.2590656421360006E-2</v>
      </c>
      <c r="AN225" s="298"/>
      <c r="AO225" s="313">
        <f t="shared" si="20"/>
        <v>0.14699999999999999</v>
      </c>
      <c r="AP225" s="313">
        <f t="shared" si="21"/>
        <v>0.14699999999999999</v>
      </c>
      <c r="AQ225" s="316">
        <f t="shared" si="22"/>
        <v>0.14699999999999999</v>
      </c>
      <c r="IU225" s="315">
        <f t="shared" si="19"/>
        <v>0</v>
      </c>
      <c r="IV225" s="298">
        <v>214</v>
      </c>
    </row>
    <row r="226" spans="1:256" x14ac:dyDescent="0.25">
      <c r="A226" s="326"/>
      <c r="B226" s="321"/>
      <c r="C226" s="301">
        <v>3.6974999999999998</v>
      </c>
      <c r="D226" s="301">
        <v>0.15</v>
      </c>
      <c r="E226" s="301">
        <v>7.2223579275106004E-2</v>
      </c>
      <c r="F226" s="301">
        <v>0</v>
      </c>
      <c r="G226" s="301">
        <v>-3.4988712999999998E-2</v>
      </c>
      <c r="H226" s="301">
        <v>0</v>
      </c>
      <c r="I226" s="301">
        <v>0</v>
      </c>
      <c r="J226" s="301">
        <v>0.24</v>
      </c>
      <c r="K226" s="301">
        <v>0</v>
      </c>
      <c r="L226" s="301">
        <v>0</v>
      </c>
      <c r="M226" s="301">
        <v>0</v>
      </c>
      <c r="N226" s="301">
        <v>0</v>
      </c>
      <c r="O226" s="301">
        <v>0</v>
      </c>
      <c r="P226" s="298">
        <v>0</v>
      </c>
      <c r="Q226" s="298">
        <v>0</v>
      </c>
      <c r="R226" s="298">
        <v>-1.9E-2</v>
      </c>
      <c r="S226" s="298">
        <v>0</v>
      </c>
      <c r="T226" s="298">
        <v>0</v>
      </c>
      <c r="U226" s="298">
        <v>0.72499999999999998</v>
      </c>
      <c r="V226" s="298">
        <v>0</v>
      </c>
      <c r="W226" s="298">
        <v>-0.19</v>
      </c>
      <c r="X226" s="298">
        <v>0</v>
      </c>
      <c r="Y226" s="313">
        <v>0.1</v>
      </c>
      <c r="Z226" s="313">
        <v>0</v>
      </c>
      <c r="AA226" s="445">
        <v>0.15</v>
      </c>
      <c r="AB226" s="445">
        <v>0.16500000000000001</v>
      </c>
      <c r="AC226" s="445">
        <v>0.15</v>
      </c>
      <c r="AD226" s="445">
        <v>0.15</v>
      </c>
      <c r="AE226" s="445">
        <v>0.15</v>
      </c>
      <c r="AF226" s="445">
        <v>0.15</v>
      </c>
      <c r="AG226" s="445">
        <v>0.15</v>
      </c>
      <c r="AH226" s="445">
        <v>0.15</v>
      </c>
      <c r="AI226" s="446">
        <v>0.15</v>
      </c>
      <c r="AJ226" s="446">
        <v>0.15</v>
      </c>
      <c r="AK226" s="446">
        <v>0.15</v>
      </c>
      <c r="AL226" s="445">
        <v>0.15</v>
      </c>
      <c r="AM226" s="298">
        <v>7.2593665399235993E-2</v>
      </c>
      <c r="AN226" s="298"/>
      <c r="AO226" s="313">
        <f t="shared" si="20"/>
        <v>0.16500000000000001</v>
      </c>
      <c r="AP226" s="313">
        <f t="shared" si="21"/>
        <v>0.16500000000000001</v>
      </c>
      <c r="AQ226" s="316">
        <f t="shared" si="22"/>
        <v>0.16500000000000001</v>
      </c>
      <c r="IU226" s="315">
        <f t="shared" si="19"/>
        <v>0</v>
      </c>
      <c r="IV226" s="298">
        <v>215</v>
      </c>
    </row>
    <row r="227" spans="1:256" x14ac:dyDescent="0.25">
      <c r="A227" s="326"/>
      <c r="B227" s="321"/>
      <c r="C227" s="301">
        <v>3.7785000000000002</v>
      </c>
      <c r="D227" s="301">
        <v>0.15</v>
      </c>
      <c r="E227" s="301">
        <v>7.2225202059862006E-2</v>
      </c>
      <c r="F227" s="301">
        <v>0</v>
      </c>
      <c r="G227" s="301">
        <v>-4.9951938000000001E-2</v>
      </c>
      <c r="H227" s="301">
        <v>0</v>
      </c>
      <c r="I227" s="301">
        <v>0</v>
      </c>
      <c r="J227" s="301">
        <v>0.29499999999999998</v>
      </c>
      <c r="K227" s="301">
        <v>0</v>
      </c>
      <c r="L227" s="301">
        <v>0</v>
      </c>
      <c r="M227" s="301">
        <v>0</v>
      </c>
      <c r="N227" s="301">
        <v>0</v>
      </c>
      <c r="O227" s="301">
        <v>0</v>
      </c>
      <c r="P227" s="298">
        <v>0</v>
      </c>
      <c r="Q227" s="298">
        <v>0</v>
      </c>
      <c r="R227" s="298">
        <v>-1.9E-2</v>
      </c>
      <c r="S227" s="298">
        <v>0</v>
      </c>
      <c r="T227" s="298">
        <v>0</v>
      </c>
      <c r="U227" s="298">
        <v>1.0449999999999999</v>
      </c>
      <c r="V227" s="298">
        <v>0</v>
      </c>
      <c r="W227" s="298">
        <v>-0.19</v>
      </c>
      <c r="X227" s="298">
        <v>0</v>
      </c>
      <c r="Y227" s="313">
        <v>0.1</v>
      </c>
      <c r="Z227" s="313">
        <v>0</v>
      </c>
      <c r="AA227" s="445">
        <v>0.15</v>
      </c>
      <c r="AB227" s="445">
        <v>0.16500000000000001</v>
      </c>
      <c r="AC227" s="445">
        <v>0.15</v>
      </c>
      <c r="AD227" s="445">
        <v>0.15</v>
      </c>
      <c r="AE227" s="445">
        <v>0.15</v>
      </c>
      <c r="AF227" s="445">
        <v>0.15</v>
      </c>
      <c r="AG227" s="445">
        <v>0.15</v>
      </c>
      <c r="AH227" s="445">
        <v>0.15</v>
      </c>
      <c r="AI227" s="446">
        <v>0.15</v>
      </c>
      <c r="AJ227" s="446">
        <v>0.15</v>
      </c>
      <c r="AK227" s="446">
        <v>0.15</v>
      </c>
      <c r="AL227" s="445">
        <v>0.15</v>
      </c>
      <c r="AM227" s="298">
        <v>7.2596577313311997E-2</v>
      </c>
      <c r="AN227" s="298"/>
      <c r="AO227" s="313">
        <f t="shared" si="20"/>
        <v>0.16500000000000001</v>
      </c>
      <c r="AP227" s="313">
        <f t="shared" si="21"/>
        <v>0.16500000000000001</v>
      </c>
      <c r="AQ227" s="316">
        <f t="shared" si="22"/>
        <v>0.16500000000000001</v>
      </c>
      <c r="IU227" s="315">
        <f t="shared" si="19"/>
        <v>0</v>
      </c>
      <c r="IV227" s="298">
        <v>216</v>
      </c>
    </row>
    <row r="228" spans="1:256" x14ac:dyDescent="0.25">
      <c r="A228" s="326"/>
      <c r="B228" s="321"/>
      <c r="C228" s="301">
        <v>3.8149999999999999</v>
      </c>
      <c r="D228" s="301"/>
      <c r="E228" s="301">
        <v>7.2226878937444006E-2</v>
      </c>
      <c r="F228" s="301">
        <v>0</v>
      </c>
      <c r="G228" s="301">
        <v>-4.4955184000000002E-2</v>
      </c>
      <c r="H228" s="301">
        <v>0</v>
      </c>
      <c r="I228" s="301">
        <v>0</v>
      </c>
      <c r="J228" s="301">
        <v>0.34250000000000003</v>
      </c>
      <c r="K228" s="301">
        <v>0</v>
      </c>
      <c r="L228" s="301">
        <v>0</v>
      </c>
      <c r="M228" s="301">
        <v>0</v>
      </c>
      <c r="N228" s="301">
        <v>0</v>
      </c>
      <c r="O228" s="301">
        <v>0</v>
      </c>
      <c r="P228" s="298">
        <v>0</v>
      </c>
      <c r="Q228" s="298">
        <v>0</v>
      </c>
      <c r="R228" s="298">
        <v>-1.4E-2</v>
      </c>
      <c r="S228" s="298">
        <v>0</v>
      </c>
      <c r="T228" s="298">
        <v>0</v>
      </c>
      <c r="U228" s="298">
        <v>1.52</v>
      </c>
      <c r="V228" s="298">
        <v>0</v>
      </c>
      <c r="W228" s="298">
        <v>-0.19</v>
      </c>
      <c r="X228" s="298">
        <v>0</v>
      </c>
      <c r="Y228" s="313">
        <v>0.1</v>
      </c>
      <c r="Z228" s="313">
        <v>0</v>
      </c>
      <c r="AA228" s="298"/>
      <c r="AB228" s="298"/>
      <c r="AC228" s="312"/>
      <c r="AD228" s="312"/>
      <c r="AE228" s="298"/>
      <c r="AF228" s="312"/>
      <c r="AG228" s="298"/>
      <c r="AH228" s="298"/>
      <c r="AI228" s="313"/>
      <c r="AJ228" s="313"/>
      <c r="AK228" s="313"/>
      <c r="AL228" s="298"/>
      <c r="AM228" s="298">
        <v>7.2599586291193993E-2</v>
      </c>
      <c r="AN228" s="298"/>
      <c r="AO228" s="313">
        <f t="shared" si="20"/>
        <v>0</v>
      </c>
      <c r="AP228" s="313">
        <f t="shared" si="21"/>
        <v>0</v>
      </c>
      <c r="AQ228" s="316">
        <f t="shared" si="22"/>
        <v>0</v>
      </c>
      <c r="IU228" s="315">
        <f t="shared" si="19"/>
        <v>0</v>
      </c>
      <c r="IV228" s="298">
        <v>217</v>
      </c>
    </row>
    <row r="229" spans="1:256" x14ac:dyDescent="0.25">
      <c r="A229" s="326"/>
      <c r="B229" s="321"/>
      <c r="C229" s="301">
        <v>3.762</v>
      </c>
      <c r="D229" s="301"/>
      <c r="E229" s="301">
        <v>7.2228555815028003E-2</v>
      </c>
      <c r="F229" s="301">
        <v>0</v>
      </c>
      <c r="G229" s="301">
        <v>-1.9957422999999998E-2</v>
      </c>
      <c r="H229" s="301">
        <v>0</v>
      </c>
      <c r="I229" s="301">
        <v>0</v>
      </c>
      <c r="J229" s="301">
        <v>0.33750000000000002</v>
      </c>
      <c r="K229" s="301">
        <v>0</v>
      </c>
      <c r="L229" s="301">
        <v>0</v>
      </c>
      <c r="M229" s="301">
        <v>0</v>
      </c>
      <c r="N229" s="301">
        <v>0</v>
      </c>
      <c r="O229" s="301">
        <v>0</v>
      </c>
      <c r="P229" s="298">
        <v>0</v>
      </c>
      <c r="Q229" s="298">
        <v>0</v>
      </c>
      <c r="R229" s="298">
        <v>-1.4E-2</v>
      </c>
      <c r="S229" s="298">
        <v>0</v>
      </c>
      <c r="T229" s="298">
        <v>0</v>
      </c>
      <c r="U229" s="298">
        <v>1.4</v>
      </c>
      <c r="V229" s="298">
        <v>0</v>
      </c>
      <c r="W229" s="298">
        <v>-0.19</v>
      </c>
      <c r="X229" s="298">
        <v>0</v>
      </c>
      <c r="Y229" s="313">
        <v>0.1</v>
      </c>
      <c r="Z229" s="313">
        <v>0</v>
      </c>
      <c r="AA229" s="298"/>
      <c r="AB229" s="298"/>
      <c r="AC229" s="312"/>
      <c r="AD229" s="312"/>
      <c r="AE229" s="298"/>
      <c r="AF229" s="312"/>
      <c r="AG229" s="298"/>
      <c r="AH229" s="298"/>
      <c r="AI229" s="313"/>
      <c r="AJ229" s="313"/>
      <c r="AK229" s="313"/>
      <c r="AL229" s="298"/>
      <c r="AM229" s="298">
        <v>7.2602595269079001E-2</v>
      </c>
      <c r="AN229" s="298"/>
      <c r="AO229" s="313">
        <f t="shared" si="20"/>
        <v>0</v>
      </c>
      <c r="AP229" s="313">
        <f t="shared" si="21"/>
        <v>0</v>
      </c>
      <c r="AQ229" s="316">
        <f t="shared" si="22"/>
        <v>0</v>
      </c>
      <c r="IU229" s="315">
        <f t="shared" si="19"/>
        <v>0</v>
      </c>
      <c r="IV229" s="298">
        <v>218</v>
      </c>
    </row>
    <row r="230" spans="1:256" x14ac:dyDescent="0.25">
      <c r="A230" s="326"/>
      <c r="B230" s="321"/>
      <c r="C230" s="301">
        <v>3.6920000000000002</v>
      </c>
      <c r="D230" s="301"/>
      <c r="E230" s="301">
        <v>7.2230070414135997E-2</v>
      </c>
      <c r="F230" s="301">
        <v>0</v>
      </c>
      <c r="G230" s="301">
        <v>-9.957423E-3</v>
      </c>
      <c r="H230" s="301">
        <v>0</v>
      </c>
      <c r="I230" s="301">
        <v>0</v>
      </c>
      <c r="J230" s="301">
        <v>0.26</v>
      </c>
      <c r="K230" s="301">
        <v>0</v>
      </c>
      <c r="L230" s="301">
        <v>0</v>
      </c>
      <c r="M230" s="301">
        <v>0</v>
      </c>
      <c r="N230" s="301">
        <v>0</v>
      </c>
      <c r="O230" s="301">
        <v>0</v>
      </c>
      <c r="P230" s="298">
        <v>0</v>
      </c>
      <c r="Q230" s="298">
        <v>0</v>
      </c>
      <c r="R230" s="298">
        <v>4.3E-3</v>
      </c>
      <c r="S230" s="298">
        <v>0</v>
      </c>
      <c r="T230" s="298">
        <v>0</v>
      </c>
      <c r="U230" s="298">
        <v>0.88</v>
      </c>
      <c r="V230" s="298">
        <v>0</v>
      </c>
      <c r="W230" s="298">
        <v>-0.19</v>
      </c>
      <c r="X230" s="298">
        <v>0</v>
      </c>
      <c r="Y230" s="313">
        <v>0.1</v>
      </c>
      <c r="Z230" s="313">
        <v>0</v>
      </c>
      <c r="AA230" s="298"/>
      <c r="AB230" s="298"/>
      <c r="AC230" s="312"/>
      <c r="AD230" s="312"/>
      <c r="AE230" s="298"/>
      <c r="AF230" s="312"/>
      <c r="AG230" s="298"/>
      <c r="AH230" s="298"/>
      <c r="AI230" s="313"/>
      <c r="AJ230" s="313"/>
      <c r="AK230" s="313"/>
      <c r="AL230" s="298"/>
      <c r="AM230" s="298">
        <v>7.2605313055557993E-2</v>
      </c>
      <c r="AN230" s="298"/>
      <c r="AO230" s="313">
        <f t="shared" si="20"/>
        <v>0</v>
      </c>
      <c r="AP230" s="313">
        <f t="shared" si="21"/>
        <v>0</v>
      </c>
      <c r="AQ230" s="316">
        <f t="shared" si="22"/>
        <v>0</v>
      </c>
      <c r="IU230" s="315">
        <f t="shared" si="19"/>
        <v>0</v>
      </c>
      <c r="IV230" s="298">
        <v>219</v>
      </c>
    </row>
    <row r="231" spans="1:256" x14ac:dyDescent="0.25">
      <c r="A231" s="326"/>
      <c r="B231" s="321"/>
      <c r="C231" s="301">
        <v>3.637</v>
      </c>
      <c r="D231" s="301"/>
      <c r="E231" s="301">
        <v>7.2231747291720994E-2</v>
      </c>
      <c r="F231" s="301">
        <v>0</v>
      </c>
      <c r="G231" s="301">
        <v>4.9976639000000003E-2</v>
      </c>
      <c r="H231" s="301">
        <v>0</v>
      </c>
      <c r="I231" s="301">
        <v>0</v>
      </c>
      <c r="J231" s="301">
        <v>0.17</v>
      </c>
      <c r="K231" s="301">
        <v>0</v>
      </c>
      <c r="L231" s="301">
        <v>0</v>
      </c>
      <c r="M231" s="301">
        <v>0</v>
      </c>
      <c r="N231" s="301">
        <v>0</v>
      </c>
      <c r="O231" s="301">
        <v>0</v>
      </c>
      <c r="P231" s="298">
        <v>0</v>
      </c>
      <c r="Q231" s="298">
        <v>0</v>
      </c>
      <c r="R231" s="298">
        <v>4.3E-3</v>
      </c>
      <c r="S231" s="298">
        <v>0</v>
      </c>
      <c r="T231" s="298">
        <v>0</v>
      </c>
      <c r="U231" s="298">
        <v>0.37</v>
      </c>
      <c r="V231" s="298">
        <v>0</v>
      </c>
      <c r="W231" s="298">
        <v>-0.19</v>
      </c>
      <c r="X231" s="298">
        <v>0</v>
      </c>
      <c r="Y231" s="313">
        <v>0.1875</v>
      </c>
      <c r="Z231" s="313">
        <v>0</v>
      </c>
      <c r="AA231" s="298"/>
      <c r="AB231" s="298"/>
      <c r="AC231" s="312"/>
      <c r="AD231" s="312"/>
      <c r="AE231" s="298"/>
      <c r="AF231" s="312"/>
      <c r="AG231" s="298"/>
      <c r="AH231" s="298"/>
      <c r="AI231" s="313"/>
      <c r="AJ231" s="313"/>
      <c r="AK231" s="313"/>
      <c r="AL231" s="298"/>
      <c r="AM231" s="298">
        <v>7.2608322033447997E-2</v>
      </c>
      <c r="AN231" s="298"/>
      <c r="AO231" s="313">
        <f t="shared" si="20"/>
        <v>0</v>
      </c>
      <c r="AP231" s="313">
        <f t="shared" si="21"/>
        <v>0</v>
      </c>
      <c r="AQ231" s="316">
        <f t="shared" si="22"/>
        <v>0</v>
      </c>
      <c r="IU231" s="315">
        <f t="shared" si="19"/>
        <v>0</v>
      </c>
      <c r="IV231" s="298">
        <v>220</v>
      </c>
    </row>
    <row r="232" spans="1:256" x14ac:dyDescent="0.25">
      <c r="A232" s="326"/>
      <c r="B232" s="321"/>
      <c r="C232" s="301">
        <v>3.6745000000000001</v>
      </c>
      <c r="D232" s="301"/>
      <c r="E232" s="301">
        <v>7.2233370076482006E-2</v>
      </c>
      <c r="F232" s="301">
        <v>0</v>
      </c>
      <c r="G232" s="301">
        <v>4.9968124000000003E-2</v>
      </c>
      <c r="H232" s="301">
        <v>0</v>
      </c>
      <c r="I232" s="301">
        <v>0</v>
      </c>
      <c r="J232" s="301">
        <v>0.155</v>
      </c>
      <c r="K232" s="301">
        <v>0</v>
      </c>
      <c r="L232" s="301">
        <v>0</v>
      </c>
      <c r="M232" s="301">
        <v>0</v>
      </c>
      <c r="N232" s="301">
        <v>0</v>
      </c>
      <c r="O232" s="301">
        <v>0</v>
      </c>
      <c r="P232" s="298">
        <v>0</v>
      </c>
      <c r="Q232" s="298">
        <v>0</v>
      </c>
      <c r="R232" s="298">
        <v>4.2500000000000003E-3</v>
      </c>
      <c r="S232" s="298">
        <v>0</v>
      </c>
      <c r="T232" s="298">
        <v>0</v>
      </c>
      <c r="U232" s="298">
        <v>0.2525</v>
      </c>
      <c r="V232" s="298">
        <v>0</v>
      </c>
      <c r="W232" s="298">
        <v>-0.19</v>
      </c>
      <c r="X232" s="298">
        <v>0</v>
      </c>
      <c r="Y232" s="313">
        <v>0.1875</v>
      </c>
      <c r="Z232" s="313">
        <v>0</v>
      </c>
      <c r="AA232" s="298"/>
      <c r="AB232" s="298"/>
      <c r="AC232" s="312"/>
      <c r="AD232" s="312"/>
      <c r="AE232" s="298"/>
      <c r="AF232" s="312"/>
      <c r="AG232" s="298"/>
      <c r="AH232" s="298"/>
      <c r="AI232" s="313"/>
      <c r="AJ232" s="313"/>
      <c r="AK232" s="313"/>
      <c r="AL232" s="298"/>
      <c r="AM232" s="298">
        <v>7.2611233947538004E-2</v>
      </c>
      <c r="AN232" s="298"/>
      <c r="AO232" s="313">
        <f t="shared" si="20"/>
        <v>0</v>
      </c>
      <c r="AP232" s="313">
        <f t="shared" si="21"/>
        <v>0</v>
      </c>
      <c r="AQ232" s="316">
        <f t="shared" si="22"/>
        <v>0</v>
      </c>
      <c r="IU232" s="315">
        <f t="shared" si="19"/>
        <v>0</v>
      </c>
      <c r="IV232" s="298">
        <v>221</v>
      </c>
    </row>
    <row r="233" spans="1:256" x14ac:dyDescent="0.25">
      <c r="A233" s="326"/>
      <c r="B233" s="321"/>
      <c r="C233" s="301">
        <v>3.6964999999999999</v>
      </c>
      <c r="D233" s="301"/>
      <c r="E233" s="301">
        <v>7.2235046954069002E-2</v>
      </c>
      <c r="F233" s="301">
        <v>0</v>
      </c>
      <c r="G233" s="301">
        <v>4.9968124000000003E-2</v>
      </c>
      <c r="H233" s="301">
        <v>0</v>
      </c>
      <c r="I233" s="301">
        <v>0</v>
      </c>
      <c r="J233" s="301">
        <v>0.155</v>
      </c>
      <c r="K233" s="301">
        <v>0</v>
      </c>
      <c r="L233" s="301">
        <v>0</v>
      </c>
      <c r="M233" s="301">
        <v>0</v>
      </c>
      <c r="N233" s="301">
        <v>0</v>
      </c>
      <c r="O233" s="301">
        <v>0</v>
      </c>
      <c r="P233" s="298">
        <v>0</v>
      </c>
      <c r="Q233" s="298">
        <v>0</v>
      </c>
      <c r="R233" s="298">
        <v>4.2500000000000003E-3</v>
      </c>
      <c r="S233" s="298">
        <v>0</v>
      </c>
      <c r="T233" s="298">
        <v>0</v>
      </c>
      <c r="U233" s="298">
        <v>0.2525</v>
      </c>
      <c r="V233" s="298">
        <v>0</v>
      </c>
      <c r="W233" s="298">
        <v>-0.19</v>
      </c>
      <c r="X233" s="298">
        <v>0</v>
      </c>
      <c r="Y233" s="313">
        <v>0.1875</v>
      </c>
      <c r="Z233" s="313">
        <v>0</v>
      </c>
      <c r="AA233" s="298"/>
      <c r="AB233" s="298"/>
      <c r="AC233" s="312"/>
      <c r="AD233" s="312"/>
      <c r="AE233" s="298"/>
      <c r="AF233" s="312"/>
      <c r="AG233" s="298"/>
      <c r="AH233" s="298"/>
      <c r="AI233" s="313"/>
      <c r="AJ233" s="313"/>
      <c r="AK233" s="313"/>
      <c r="AL233" s="298"/>
      <c r="AM233" s="298">
        <v>7.2614242925435002E-2</v>
      </c>
      <c r="AN233" s="298"/>
      <c r="AO233" s="313">
        <f t="shared" si="20"/>
        <v>0</v>
      </c>
      <c r="AP233" s="313">
        <f t="shared" si="21"/>
        <v>0</v>
      </c>
      <c r="AQ233" s="316">
        <f t="shared" si="22"/>
        <v>0</v>
      </c>
      <c r="IU233" s="315">
        <f t="shared" si="19"/>
        <v>0</v>
      </c>
      <c r="IV233" s="298">
        <v>222</v>
      </c>
    </row>
    <row r="234" spans="1:256" x14ac:dyDescent="0.25">
      <c r="A234" s="326"/>
      <c r="B234" s="321"/>
      <c r="C234" s="301">
        <v>3.6995</v>
      </c>
      <c r="D234" s="301"/>
      <c r="E234" s="301">
        <v>7.2236669738831E-2</v>
      </c>
      <c r="F234" s="301">
        <v>0</v>
      </c>
      <c r="G234" s="301">
        <v>4.9968124000000003E-2</v>
      </c>
      <c r="H234" s="301">
        <v>0</v>
      </c>
      <c r="I234" s="301">
        <v>0</v>
      </c>
      <c r="J234" s="301">
        <v>0.155</v>
      </c>
      <c r="K234" s="301">
        <v>0</v>
      </c>
      <c r="L234" s="301">
        <v>0</v>
      </c>
      <c r="M234" s="301">
        <v>0</v>
      </c>
      <c r="N234" s="301">
        <v>0</v>
      </c>
      <c r="O234" s="301">
        <v>0</v>
      </c>
      <c r="P234" s="298">
        <v>0</v>
      </c>
      <c r="Q234" s="298">
        <v>0</v>
      </c>
      <c r="R234" s="298">
        <v>4.2500000000000003E-3</v>
      </c>
      <c r="S234" s="298">
        <v>0</v>
      </c>
      <c r="T234" s="298">
        <v>0</v>
      </c>
      <c r="U234" s="298">
        <v>0.25750000000000001</v>
      </c>
      <c r="V234" s="298">
        <v>0</v>
      </c>
      <c r="W234" s="298">
        <v>-0.19</v>
      </c>
      <c r="X234" s="298">
        <v>0</v>
      </c>
      <c r="Y234" s="313">
        <v>0.1875</v>
      </c>
      <c r="Z234" s="313">
        <v>0</v>
      </c>
      <c r="AA234" s="298"/>
      <c r="AB234" s="298"/>
      <c r="AC234" s="312"/>
      <c r="AD234" s="312"/>
      <c r="AE234" s="298"/>
      <c r="AF234" s="312"/>
      <c r="AG234" s="298"/>
      <c r="AH234" s="298"/>
      <c r="AI234" s="313"/>
      <c r="AJ234" s="313"/>
      <c r="AK234" s="313"/>
      <c r="AL234" s="298"/>
      <c r="AM234" s="298">
        <v>7.2617154839530004E-2</v>
      </c>
      <c r="AN234" s="298"/>
      <c r="AO234" s="313">
        <f t="shared" si="20"/>
        <v>0</v>
      </c>
      <c r="AP234" s="313">
        <f t="shared" si="21"/>
        <v>0</v>
      </c>
      <c r="AQ234" s="316">
        <f t="shared" si="22"/>
        <v>0</v>
      </c>
      <c r="IU234" s="315">
        <f t="shared" si="19"/>
        <v>0</v>
      </c>
      <c r="IV234" s="298">
        <v>223</v>
      </c>
    </row>
    <row r="235" spans="1:256" x14ac:dyDescent="0.25">
      <c r="A235" s="326"/>
      <c r="B235" s="321"/>
      <c r="C235" s="301">
        <v>3.7054999999999998</v>
      </c>
      <c r="D235" s="301"/>
      <c r="E235" s="301">
        <v>7.2238346616418994E-2</v>
      </c>
      <c r="F235" s="301">
        <v>0</v>
      </c>
      <c r="G235" s="301">
        <v>4.9968124000000003E-2</v>
      </c>
      <c r="H235" s="301">
        <v>0</v>
      </c>
      <c r="I235" s="301">
        <v>0</v>
      </c>
      <c r="J235" s="301">
        <v>0.155</v>
      </c>
      <c r="K235" s="301">
        <v>0</v>
      </c>
      <c r="L235" s="301">
        <v>0</v>
      </c>
      <c r="M235" s="301">
        <v>0</v>
      </c>
      <c r="N235" s="301">
        <v>0</v>
      </c>
      <c r="O235" s="301">
        <v>0</v>
      </c>
      <c r="P235" s="298">
        <v>0</v>
      </c>
      <c r="Q235" s="298">
        <v>0</v>
      </c>
      <c r="R235" s="298">
        <v>6.7499999999999999E-3</v>
      </c>
      <c r="S235" s="298">
        <v>0</v>
      </c>
      <c r="T235" s="298">
        <v>0</v>
      </c>
      <c r="U235" s="298">
        <v>0.25750000000000001</v>
      </c>
      <c r="V235" s="298">
        <v>0</v>
      </c>
      <c r="W235" s="298">
        <v>-0.19</v>
      </c>
      <c r="X235" s="298">
        <v>0</v>
      </c>
      <c r="Y235" s="313">
        <v>0.1875</v>
      </c>
      <c r="Z235" s="313">
        <v>0</v>
      </c>
      <c r="AA235" s="298"/>
      <c r="AB235" s="298"/>
      <c r="AC235" s="312"/>
      <c r="AD235" s="312"/>
      <c r="AE235" s="298"/>
      <c r="AF235" s="312"/>
      <c r="AG235" s="298"/>
      <c r="AH235" s="298"/>
      <c r="AI235" s="313"/>
      <c r="AJ235" s="313"/>
      <c r="AK235" s="313"/>
      <c r="AL235" s="298"/>
      <c r="AM235" s="298">
        <v>7.2620163817432998E-2</v>
      </c>
      <c r="AN235" s="298"/>
      <c r="AO235" s="313">
        <f t="shared" si="20"/>
        <v>0</v>
      </c>
      <c r="AP235" s="313">
        <f t="shared" si="21"/>
        <v>0</v>
      </c>
      <c r="AQ235" s="316">
        <f t="shared" si="22"/>
        <v>0</v>
      </c>
    </row>
    <row r="236" spans="1:256" x14ac:dyDescent="0.25">
      <c r="A236" s="326"/>
      <c r="B236" s="321"/>
      <c r="C236" s="301">
        <v>3.7444999999999999</v>
      </c>
      <c r="D236" s="301"/>
      <c r="E236" s="301">
        <v>7.1971005915753006E-2</v>
      </c>
      <c r="F236" s="301">
        <v>0</v>
      </c>
      <c r="G236" s="301">
        <v>4.9968124000000003E-2</v>
      </c>
      <c r="H236" s="301">
        <v>0</v>
      </c>
      <c r="I236" s="301">
        <v>0</v>
      </c>
      <c r="J236" s="301">
        <v>0.155</v>
      </c>
      <c r="K236" s="301">
        <v>0</v>
      </c>
      <c r="L236" s="301">
        <v>0</v>
      </c>
      <c r="M236" s="301">
        <v>0</v>
      </c>
      <c r="N236" s="301">
        <v>0</v>
      </c>
      <c r="O236" s="301">
        <v>0</v>
      </c>
      <c r="P236" s="298">
        <v>0</v>
      </c>
      <c r="Q236" s="298">
        <v>0</v>
      </c>
      <c r="R236" s="298">
        <v>6.7499999999999999E-3</v>
      </c>
      <c r="S236" s="298">
        <v>0</v>
      </c>
      <c r="T236" s="298">
        <v>0</v>
      </c>
      <c r="U236" s="298">
        <v>0.2525</v>
      </c>
      <c r="V236" s="298">
        <v>0</v>
      </c>
      <c r="W236" s="298">
        <v>-0.19</v>
      </c>
      <c r="X236" s="298">
        <v>0</v>
      </c>
      <c r="Y236" s="313">
        <v>0</v>
      </c>
      <c r="Z236" s="313">
        <v>0</v>
      </c>
      <c r="AA236" s="298"/>
      <c r="AB236" s="298"/>
      <c r="AC236" s="312"/>
      <c r="AD236" s="312"/>
      <c r="AE236" s="298"/>
      <c r="AF236" s="312"/>
      <c r="AG236" s="298"/>
      <c r="AH236" s="298"/>
      <c r="AI236" s="313"/>
      <c r="AJ236" s="313"/>
      <c r="AK236" s="313"/>
      <c r="AL236" s="298"/>
      <c r="AM236" s="298">
        <v>7.2127136054843999E-2</v>
      </c>
      <c r="AN236" s="298"/>
      <c r="AO236" s="313">
        <f>AB235</f>
        <v>0</v>
      </c>
      <c r="AP236" s="313">
        <f>AB235</f>
        <v>0</v>
      </c>
      <c r="AQ236" s="316">
        <f>AB235</f>
        <v>0</v>
      </c>
    </row>
    <row r="237" spans="1:256" x14ac:dyDescent="0.25">
      <c r="A237" s="326"/>
      <c r="B237" s="321"/>
      <c r="C237" s="301">
        <v>3.7565</v>
      </c>
      <c r="D237" s="301"/>
      <c r="E237" s="301">
        <v>7.1969485431470998E-2</v>
      </c>
      <c r="F237" s="301">
        <v>0</v>
      </c>
      <c r="G237" s="301">
        <v>4.9968124000000003E-2</v>
      </c>
      <c r="H237" s="301">
        <v>0</v>
      </c>
      <c r="I237" s="301">
        <v>0</v>
      </c>
      <c r="J237" s="301">
        <v>0.1575</v>
      </c>
      <c r="K237" s="301">
        <v>0</v>
      </c>
      <c r="L237" s="301">
        <v>0</v>
      </c>
      <c r="M237" s="301">
        <v>0</v>
      </c>
      <c r="N237" s="301">
        <v>0</v>
      </c>
      <c r="O237" s="301">
        <v>0</v>
      </c>
      <c r="P237" s="298">
        <v>0</v>
      </c>
      <c r="Q237" s="298">
        <v>0</v>
      </c>
      <c r="R237" s="298">
        <v>-1.4E-2</v>
      </c>
      <c r="S237" s="298">
        <v>0</v>
      </c>
      <c r="T237" s="298">
        <v>0</v>
      </c>
      <c r="U237" s="298">
        <v>0.255</v>
      </c>
      <c r="V237" s="298">
        <v>0</v>
      </c>
      <c r="W237" s="298">
        <v>-0.19</v>
      </c>
      <c r="X237" s="298">
        <v>0</v>
      </c>
      <c r="Y237" s="313">
        <v>0</v>
      </c>
      <c r="Z237" s="313">
        <v>0</v>
      </c>
      <c r="AA237" s="298"/>
      <c r="AB237" s="298"/>
      <c r="AC237" s="312"/>
      <c r="AD237" s="312"/>
      <c r="AE237" s="298"/>
      <c r="AF237" s="312"/>
      <c r="AG237" s="298"/>
      <c r="AH237" s="298"/>
      <c r="AI237" s="313"/>
      <c r="AJ237" s="313"/>
      <c r="AK237" s="313"/>
      <c r="AL237" s="298"/>
      <c r="AM237" s="298">
        <v>7.2128344820906007E-2</v>
      </c>
      <c r="AN237" s="298"/>
      <c r="AO237" s="313">
        <f>AB236</f>
        <v>0</v>
      </c>
      <c r="AP237" s="313">
        <f>AB236</f>
        <v>0</v>
      </c>
      <c r="AQ237" s="316">
        <f>AB236</f>
        <v>0</v>
      </c>
    </row>
    <row r="238" spans="1:256" x14ac:dyDescent="0.25">
      <c r="A238" s="326"/>
      <c r="B238" s="321"/>
      <c r="C238" s="301">
        <v>3.8174999999999999</v>
      </c>
      <c r="D238" s="301"/>
      <c r="E238" s="301">
        <v>7.1967914264380997E-2</v>
      </c>
      <c r="F238" s="301">
        <v>0</v>
      </c>
      <c r="G238" s="301">
        <v>-2.9988713E-2</v>
      </c>
      <c r="H238" s="301">
        <v>0</v>
      </c>
      <c r="I238" s="301">
        <v>0</v>
      </c>
      <c r="J238" s="301">
        <v>0.24</v>
      </c>
      <c r="K238" s="301">
        <v>0</v>
      </c>
      <c r="L238" s="301">
        <v>0</v>
      </c>
      <c r="M238" s="301">
        <v>0</v>
      </c>
      <c r="N238" s="301">
        <v>0</v>
      </c>
      <c r="O238" s="301">
        <v>0</v>
      </c>
      <c r="P238" s="298">
        <v>0</v>
      </c>
      <c r="Q238" s="298">
        <v>0</v>
      </c>
      <c r="R238" s="298">
        <v>-1.2999999999999999E-2</v>
      </c>
      <c r="S238" s="298">
        <v>0</v>
      </c>
      <c r="T238" s="298">
        <v>0</v>
      </c>
      <c r="U238" s="298">
        <v>0.72499999999999998</v>
      </c>
      <c r="V238" s="298">
        <v>0</v>
      </c>
      <c r="W238" s="298">
        <v>-0.19</v>
      </c>
      <c r="X238" s="298">
        <v>0</v>
      </c>
      <c r="Y238" s="313">
        <v>0</v>
      </c>
      <c r="Z238" s="313">
        <v>0</v>
      </c>
      <c r="AA238" s="298"/>
      <c r="AB238" s="298"/>
      <c r="AC238" s="312"/>
      <c r="AD238" s="312"/>
      <c r="AE238" s="298"/>
      <c r="AF238" s="312"/>
      <c r="AG238" s="298"/>
      <c r="AH238" s="298"/>
      <c r="AI238" s="313"/>
      <c r="AJ238" s="313"/>
      <c r="AK238" s="313"/>
      <c r="AL238" s="298"/>
      <c r="AM238" s="298">
        <v>7.2129593879170006E-2</v>
      </c>
      <c r="AN238" s="298"/>
      <c r="AO238" s="313">
        <f>AB237</f>
        <v>0</v>
      </c>
      <c r="AP238" s="313">
        <f>AB237</f>
        <v>0</v>
      </c>
      <c r="AQ238" s="316">
        <f>AB237</f>
        <v>0</v>
      </c>
    </row>
    <row r="239" spans="1:256" x14ac:dyDescent="0.25">
      <c r="A239" s="326"/>
      <c r="B239" s="321"/>
      <c r="C239" s="301">
        <v>3.8984999999999999</v>
      </c>
      <c r="D239" s="301"/>
      <c r="E239" s="301">
        <v>7.1966393780100002E-2</v>
      </c>
      <c r="F239" s="301">
        <v>0</v>
      </c>
      <c r="G239" s="301">
        <v>-4.4951937999999997E-2</v>
      </c>
      <c r="H239" s="301">
        <v>0</v>
      </c>
      <c r="I239" s="301">
        <v>0</v>
      </c>
      <c r="J239" s="301">
        <v>0.29499999999999998</v>
      </c>
      <c r="K239" s="301">
        <v>0</v>
      </c>
      <c r="L239" s="301">
        <v>0</v>
      </c>
      <c r="M239" s="301">
        <v>0</v>
      </c>
      <c r="N239" s="301">
        <v>0</v>
      </c>
      <c r="O239" s="301">
        <v>0</v>
      </c>
      <c r="P239" s="298">
        <v>0</v>
      </c>
      <c r="Q239" s="298">
        <v>0</v>
      </c>
      <c r="R239" s="298">
        <v>-1.2999999999999999E-2</v>
      </c>
      <c r="S239" s="298">
        <v>0</v>
      </c>
      <c r="T239" s="298">
        <v>0</v>
      </c>
      <c r="U239" s="298">
        <v>1.0449999999999999</v>
      </c>
      <c r="V239" s="298">
        <v>0</v>
      </c>
      <c r="W239" s="298">
        <v>-0.19</v>
      </c>
      <c r="X239" s="298">
        <v>0</v>
      </c>
      <c r="Y239" s="313">
        <v>0</v>
      </c>
      <c r="Z239" s="313">
        <v>0</v>
      </c>
      <c r="AA239" s="298"/>
      <c r="AB239" s="298"/>
      <c r="AC239" s="312"/>
      <c r="AD239" s="312"/>
      <c r="AE239" s="298"/>
      <c r="AF239" s="312"/>
      <c r="AG239" s="298"/>
      <c r="AH239" s="298"/>
      <c r="AI239" s="313"/>
      <c r="AJ239" s="313"/>
      <c r="AK239" s="313"/>
      <c r="AL239" s="298"/>
      <c r="AM239" s="298">
        <v>7.2130802645233E-2</v>
      </c>
      <c r="AN239" s="298"/>
      <c r="AO239" s="313">
        <f>AB238</f>
        <v>0</v>
      </c>
      <c r="AP239" s="313">
        <f>AB238</f>
        <v>0</v>
      </c>
      <c r="AQ239" s="316">
        <f>AB238</f>
        <v>0</v>
      </c>
    </row>
    <row r="240" spans="1:256" x14ac:dyDescent="0.25">
      <c r="A240" s="326"/>
      <c r="B240" s="321"/>
      <c r="C240" s="301">
        <v>3.9434999999999998</v>
      </c>
      <c r="D240" s="301"/>
      <c r="E240" s="301">
        <v>7.1964822613012E-2</v>
      </c>
      <c r="F240" s="301">
        <v>0</v>
      </c>
      <c r="G240" s="301">
        <v>-3.9955183999999998E-2</v>
      </c>
      <c r="H240" s="301">
        <v>0</v>
      </c>
      <c r="I240" s="301">
        <v>0</v>
      </c>
      <c r="J240" s="301">
        <v>0.34250000000000003</v>
      </c>
      <c r="K240" s="301">
        <v>0</v>
      </c>
      <c r="L240" s="301">
        <v>0</v>
      </c>
      <c r="M240" s="301">
        <v>0</v>
      </c>
      <c r="N240" s="301">
        <v>0</v>
      </c>
      <c r="O240" s="301">
        <v>0</v>
      </c>
      <c r="P240" s="298">
        <v>0</v>
      </c>
      <c r="Q240" s="298">
        <v>0</v>
      </c>
      <c r="R240" s="298">
        <v>-1.2999999999999999E-2</v>
      </c>
      <c r="S240" s="298">
        <v>0</v>
      </c>
      <c r="T240" s="298">
        <v>0</v>
      </c>
      <c r="U240" s="298">
        <v>1.52</v>
      </c>
      <c r="V240" s="298">
        <v>0</v>
      </c>
      <c r="W240" s="298">
        <v>-0.19</v>
      </c>
      <c r="X240" s="298">
        <v>0</v>
      </c>
      <c r="Y240" s="298">
        <v>0</v>
      </c>
      <c r="Z240" s="298">
        <v>0</v>
      </c>
      <c r="AA240" s="298"/>
      <c r="AB240" s="298"/>
      <c r="AC240" s="298"/>
      <c r="AD240" s="298"/>
      <c r="AE240" s="298"/>
      <c r="AF240" s="298"/>
      <c r="AG240" s="298"/>
      <c r="AH240" s="298"/>
      <c r="AI240" s="313"/>
      <c r="AJ240" s="313"/>
      <c r="AK240" s="313"/>
      <c r="AL240" s="298"/>
      <c r="AM240" s="298">
        <v>7.2132051703497999E-2</v>
      </c>
      <c r="AN240" s="298"/>
      <c r="AO240" s="313">
        <f>AB239</f>
        <v>0</v>
      </c>
      <c r="AP240" s="313">
        <f>AB239</f>
        <v>0</v>
      </c>
      <c r="AQ240" s="316">
        <f>AB239</f>
        <v>0</v>
      </c>
    </row>
    <row r="241" spans="1:43" x14ac:dyDescent="0.25">
      <c r="A241" s="326"/>
      <c r="B241" s="321"/>
      <c r="C241" s="301">
        <v>3.8944999999999999</v>
      </c>
      <c r="D241" s="301"/>
      <c r="E241" s="301">
        <v>7.1963251445923998E-2</v>
      </c>
      <c r="F241" s="301">
        <v>0</v>
      </c>
      <c r="G241" s="301">
        <v>-1.4957422999999999E-2</v>
      </c>
      <c r="H241" s="301">
        <v>0</v>
      </c>
      <c r="I241" s="301">
        <v>0</v>
      </c>
      <c r="J241" s="301">
        <v>0.33750000000000002</v>
      </c>
      <c r="K241" s="301">
        <v>0</v>
      </c>
      <c r="L241" s="301">
        <v>0</v>
      </c>
      <c r="M241" s="301">
        <v>0</v>
      </c>
      <c r="N241" s="301">
        <v>0</v>
      </c>
      <c r="O241" s="301">
        <v>0</v>
      </c>
      <c r="P241" s="298">
        <v>0</v>
      </c>
      <c r="Q241" s="298">
        <v>0</v>
      </c>
      <c r="R241" s="298">
        <v>-1.2999999999999999E-2</v>
      </c>
      <c r="S241" s="298">
        <v>0</v>
      </c>
      <c r="T241" s="298">
        <v>0</v>
      </c>
      <c r="U241" s="298">
        <v>1.4</v>
      </c>
      <c r="V241" s="298">
        <v>0</v>
      </c>
      <c r="W241" s="298">
        <v>0</v>
      </c>
      <c r="X241" s="298">
        <v>0</v>
      </c>
      <c r="Y241" s="298">
        <v>0</v>
      </c>
      <c r="Z241" s="298">
        <v>0</v>
      </c>
      <c r="AA241" s="298"/>
      <c r="AB241" s="298"/>
      <c r="AC241" s="298"/>
      <c r="AD241" s="298"/>
      <c r="AE241" s="298"/>
      <c r="AF241" s="298"/>
      <c r="AG241" s="298"/>
      <c r="AH241" s="298"/>
      <c r="AI241" s="313"/>
      <c r="AJ241" s="313"/>
      <c r="AK241" s="313"/>
      <c r="AL241" s="298"/>
      <c r="AM241" s="298">
        <v>7.2133300761763997E-2</v>
      </c>
      <c r="AN241" s="298"/>
      <c r="AO241" s="298"/>
      <c r="AP241" s="298"/>
      <c r="AQ241" s="298"/>
    </row>
    <row r="242" spans="1:43" x14ac:dyDescent="0.25">
      <c r="B242" s="321"/>
      <c r="C242" s="301">
        <v>3.8275000000000001</v>
      </c>
      <c r="D242" s="301"/>
      <c r="E242" s="301">
        <v>7.1961832327263997E-2</v>
      </c>
      <c r="F242" s="301">
        <v>0</v>
      </c>
      <c r="G242" s="301">
        <v>-4.9574229999999999E-3</v>
      </c>
      <c r="H242" s="301">
        <v>0</v>
      </c>
      <c r="I242" s="301">
        <v>0</v>
      </c>
      <c r="J242" s="301">
        <v>0.26</v>
      </c>
      <c r="K242" s="301">
        <v>0</v>
      </c>
      <c r="L242" s="301">
        <v>0</v>
      </c>
      <c r="M242" s="301">
        <v>0</v>
      </c>
      <c r="N242" s="301">
        <v>0</v>
      </c>
      <c r="O242" s="301">
        <v>0</v>
      </c>
      <c r="P242" s="298">
        <v>0</v>
      </c>
      <c r="Q242" s="298">
        <v>0</v>
      </c>
      <c r="R242" s="298">
        <v>5.3E-3</v>
      </c>
      <c r="S242" s="298">
        <v>0</v>
      </c>
      <c r="T242" s="298">
        <v>0</v>
      </c>
      <c r="U242" s="298">
        <v>0.88</v>
      </c>
      <c r="V242" s="298">
        <v>0</v>
      </c>
      <c r="W242" s="298">
        <v>0</v>
      </c>
      <c r="X242" s="298">
        <v>0</v>
      </c>
      <c r="Y242" s="298">
        <v>0</v>
      </c>
      <c r="Z242" s="298">
        <v>0</v>
      </c>
      <c r="AA242" s="298"/>
      <c r="AB242" s="298"/>
      <c r="AC242" s="298"/>
      <c r="AD242" s="298"/>
      <c r="AE242" s="298"/>
      <c r="AF242" s="298"/>
      <c r="AG242" s="298"/>
      <c r="AH242" s="298"/>
      <c r="AI242" s="313"/>
      <c r="AJ242" s="313"/>
      <c r="AK242" s="313"/>
      <c r="AL242" s="298"/>
      <c r="AM242" s="298">
        <v>7.2134428943424006E-2</v>
      </c>
      <c r="AN242" s="298"/>
      <c r="AO242" s="298"/>
      <c r="AP242" s="298"/>
      <c r="AQ242" s="298"/>
    </row>
    <row r="243" spans="1:43" x14ac:dyDescent="0.25">
      <c r="B243" s="321"/>
      <c r="C243" s="301">
        <v>3.7755000000000001</v>
      </c>
      <c r="D243" s="301"/>
      <c r="E243" s="301">
        <v>7.1960261160177993E-2</v>
      </c>
      <c r="F243" s="301">
        <v>0</v>
      </c>
      <c r="G243" s="301">
        <v>5.4976639000000001E-2</v>
      </c>
      <c r="H243" s="301">
        <v>0</v>
      </c>
      <c r="I243" s="301">
        <v>0</v>
      </c>
      <c r="J243" s="301">
        <v>0.17</v>
      </c>
      <c r="K243" s="301">
        <v>0</v>
      </c>
      <c r="L243" s="301">
        <v>0</v>
      </c>
      <c r="M243" s="301">
        <v>0</v>
      </c>
      <c r="N243" s="301">
        <v>0</v>
      </c>
      <c r="O243" s="301">
        <v>0</v>
      </c>
      <c r="P243" s="298">
        <v>0</v>
      </c>
      <c r="Q243" s="298">
        <v>0</v>
      </c>
      <c r="R243" s="298">
        <v>5.3E-3</v>
      </c>
      <c r="S243" s="298">
        <v>0</v>
      </c>
      <c r="T243" s="298">
        <v>0</v>
      </c>
      <c r="U243" s="298">
        <v>0.37</v>
      </c>
      <c r="V243" s="298">
        <v>0</v>
      </c>
      <c r="W243" s="298">
        <v>0</v>
      </c>
      <c r="X243" s="298">
        <v>0</v>
      </c>
      <c r="Y243" s="298">
        <v>0</v>
      </c>
      <c r="Z243" s="298">
        <v>0</v>
      </c>
      <c r="AA243" s="298"/>
      <c r="AB243" s="298"/>
      <c r="AC243" s="298"/>
      <c r="AD243" s="298"/>
      <c r="AE243" s="298"/>
      <c r="AF243" s="298"/>
      <c r="AG243" s="298"/>
      <c r="AH243" s="298"/>
      <c r="AI243" s="313"/>
      <c r="AJ243" s="313"/>
      <c r="AK243" s="313"/>
      <c r="AL243" s="298"/>
      <c r="AM243" s="298">
        <v>7.2135678001691003E-2</v>
      </c>
      <c r="AN243" s="298"/>
      <c r="AO243" s="298"/>
      <c r="AP243" s="298"/>
      <c r="AQ243" s="298"/>
    </row>
    <row r="244" spans="1:43" x14ac:dyDescent="0.25">
      <c r="B244" s="321"/>
      <c r="C244" s="301">
        <v>3.7915000000000001</v>
      </c>
      <c r="D244" s="301"/>
      <c r="E244" s="301">
        <v>7.1958740675901994E-2</v>
      </c>
      <c r="F244" s="301">
        <v>0</v>
      </c>
      <c r="G244" s="301">
        <v>5.4968124E-2</v>
      </c>
      <c r="H244" s="301">
        <v>0</v>
      </c>
      <c r="I244" s="301">
        <v>0</v>
      </c>
      <c r="J244" s="301">
        <v>0.155</v>
      </c>
      <c r="K244" s="301">
        <v>0</v>
      </c>
      <c r="L244" s="301">
        <v>0</v>
      </c>
      <c r="M244" s="301">
        <v>0</v>
      </c>
      <c r="N244" s="301">
        <v>0</v>
      </c>
      <c r="O244" s="301">
        <v>0</v>
      </c>
      <c r="P244" s="298">
        <v>0</v>
      </c>
      <c r="Q244" s="298">
        <v>0</v>
      </c>
      <c r="R244" s="298">
        <v>5.2500000000000003E-3</v>
      </c>
      <c r="S244" s="298">
        <v>0</v>
      </c>
      <c r="T244" s="298">
        <v>0</v>
      </c>
      <c r="U244" s="298">
        <v>0.2525</v>
      </c>
      <c r="V244" s="298">
        <v>0</v>
      </c>
      <c r="W244" s="298">
        <v>0</v>
      </c>
      <c r="X244" s="298">
        <v>0</v>
      </c>
      <c r="Y244" s="298">
        <v>0</v>
      </c>
      <c r="Z244" s="298">
        <v>0</v>
      </c>
      <c r="AA244" s="298"/>
      <c r="AB244" s="298"/>
      <c r="AC244" s="298"/>
      <c r="AD244" s="298"/>
      <c r="AE244" s="298"/>
      <c r="AF244" s="298"/>
      <c r="AG244" s="298"/>
      <c r="AH244" s="298"/>
      <c r="AI244" s="313"/>
      <c r="AJ244" s="313"/>
      <c r="AK244" s="313"/>
      <c r="AL244" s="298"/>
      <c r="AM244" s="298">
        <v>7.2136886767755995E-2</v>
      </c>
      <c r="AN244" s="298"/>
      <c r="AO244" s="298"/>
      <c r="AP244" s="298"/>
      <c r="AQ244" s="298"/>
    </row>
    <row r="245" spans="1:43" x14ac:dyDescent="0.25">
      <c r="B245" s="321"/>
      <c r="C245" s="301">
        <v>3.8165</v>
      </c>
      <c r="D245" s="301"/>
      <c r="E245" s="301">
        <v>7.1957169508817004E-2</v>
      </c>
      <c r="F245" s="301">
        <v>0</v>
      </c>
      <c r="G245" s="301">
        <v>5.4968124E-2</v>
      </c>
      <c r="H245" s="301">
        <v>0</v>
      </c>
      <c r="I245" s="301">
        <v>0</v>
      </c>
      <c r="J245" s="301">
        <v>0.155</v>
      </c>
      <c r="K245" s="301">
        <v>0</v>
      </c>
      <c r="L245" s="301">
        <v>0</v>
      </c>
      <c r="M245" s="301">
        <v>0</v>
      </c>
      <c r="N245" s="301">
        <v>0</v>
      </c>
      <c r="O245" s="301">
        <v>0</v>
      </c>
      <c r="P245" s="298">
        <v>0</v>
      </c>
      <c r="Q245" s="298">
        <v>0</v>
      </c>
      <c r="R245" s="298">
        <v>5.2500000000000003E-3</v>
      </c>
      <c r="S245" s="298">
        <v>0</v>
      </c>
      <c r="T245" s="298">
        <v>0</v>
      </c>
      <c r="U245" s="298">
        <v>0.2525</v>
      </c>
      <c r="V245" s="298">
        <v>0</v>
      </c>
      <c r="W245" s="298">
        <v>0</v>
      </c>
      <c r="X245" s="298">
        <v>0</v>
      </c>
      <c r="Y245" s="298">
        <v>0</v>
      </c>
      <c r="Z245" s="298">
        <v>0</v>
      </c>
      <c r="AA245" s="298"/>
      <c r="AB245" s="298"/>
      <c r="AC245" s="298"/>
      <c r="AD245" s="298"/>
      <c r="AE245" s="298"/>
      <c r="AF245" s="298"/>
      <c r="AG245" s="298"/>
      <c r="AH245" s="298"/>
      <c r="AI245" s="313"/>
      <c r="AJ245" s="313"/>
      <c r="AK245" s="313"/>
      <c r="AL245" s="298"/>
      <c r="AM245" s="298">
        <v>7.2138135826023006E-2</v>
      </c>
      <c r="AN245" s="298"/>
      <c r="AO245" s="298"/>
      <c r="AP245" s="298"/>
      <c r="AQ245" s="298"/>
    </row>
    <row r="246" spans="1:43" x14ac:dyDescent="0.25">
      <c r="B246" s="321"/>
      <c r="C246" s="301">
        <v>3.8275000000000001</v>
      </c>
      <c r="D246" s="301"/>
      <c r="E246" s="301">
        <v>7.1955649024542004E-2</v>
      </c>
      <c r="F246" s="301">
        <v>0</v>
      </c>
      <c r="G246" s="301">
        <v>5.4968124E-2</v>
      </c>
      <c r="H246" s="301">
        <v>0</v>
      </c>
      <c r="I246" s="301">
        <v>0</v>
      </c>
      <c r="J246" s="301">
        <v>0.155</v>
      </c>
      <c r="K246" s="301">
        <v>0</v>
      </c>
      <c r="L246" s="301">
        <v>0</v>
      </c>
      <c r="M246" s="301">
        <v>0</v>
      </c>
      <c r="N246" s="301">
        <v>0</v>
      </c>
      <c r="O246" s="301">
        <v>0</v>
      </c>
      <c r="P246" s="298">
        <v>0</v>
      </c>
      <c r="Q246" s="298">
        <v>0</v>
      </c>
      <c r="R246" s="298">
        <v>5.2500000000000003E-3</v>
      </c>
      <c r="S246" s="298">
        <v>0</v>
      </c>
      <c r="T246" s="298">
        <v>0</v>
      </c>
      <c r="U246" s="298">
        <v>0.25750000000000001</v>
      </c>
      <c r="V246" s="298">
        <v>0</v>
      </c>
      <c r="W246" s="298">
        <v>0</v>
      </c>
      <c r="X246" s="298">
        <v>0</v>
      </c>
      <c r="Y246" s="298">
        <v>0</v>
      </c>
      <c r="Z246" s="298">
        <v>0</v>
      </c>
      <c r="AA246" s="298"/>
      <c r="AB246" s="298"/>
      <c r="AC246" s="298"/>
      <c r="AD246" s="298"/>
      <c r="AE246" s="298"/>
      <c r="AF246" s="298"/>
      <c r="AG246" s="298"/>
      <c r="AH246" s="298"/>
      <c r="AI246" s="313"/>
      <c r="AJ246" s="313"/>
      <c r="AK246" s="313"/>
      <c r="AL246" s="298"/>
      <c r="AM246" s="298">
        <v>7.2139344592088997E-2</v>
      </c>
      <c r="AN246" s="298"/>
      <c r="AO246" s="298"/>
      <c r="AP246" s="298"/>
      <c r="AQ246" s="298"/>
    </row>
    <row r="247" spans="1:43" x14ac:dyDescent="0.25">
      <c r="B247" s="321"/>
      <c r="C247" s="301">
        <v>3.8365</v>
      </c>
      <c r="D247" s="301"/>
      <c r="E247" s="301">
        <v>7.1954077857458998E-2</v>
      </c>
      <c r="F247" s="301">
        <v>0</v>
      </c>
      <c r="G247" s="301">
        <v>5.4968124E-2</v>
      </c>
      <c r="H247" s="301">
        <v>0</v>
      </c>
      <c r="I247" s="301">
        <v>0</v>
      </c>
      <c r="J247" s="301">
        <v>0.155</v>
      </c>
      <c r="K247" s="301">
        <v>0</v>
      </c>
      <c r="L247" s="301">
        <v>0</v>
      </c>
      <c r="M247" s="301">
        <v>0</v>
      </c>
      <c r="N247" s="301">
        <v>0</v>
      </c>
      <c r="O247" s="301">
        <v>0</v>
      </c>
      <c r="P247" s="298">
        <v>0</v>
      </c>
      <c r="Q247" s="298">
        <v>0</v>
      </c>
      <c r="R247" s="298">
        <v>7.7499999999999999E-3</v>
      </c>
      <c r="S247" s="298">
        <v>0</v>
      </c>
      <c r="T247" s="298">
        <v>0</v>
      </c>
      <c r="U247" s="298">
        <v>0.25750000000000001</v>
      </c>
      <c r="V247" s="298">
        <v>0</v>
      </c>
      <c r="W247" s="298">
        <v>0</v>
      </c>
      <c r="X247" s="298">
        <v>0</v>
      </c>
      <c r="Y247" s="298">
        <v>0</v>
      </c>
      <c r="Z247" s="298">
        <v>0</v>
      </c>
      <c r="AA247" s="298"/>
      <c r="AB247" s="298"/>
      <c r="AC247" s="298"/>
      <c r="AD247" s="298"/>
      <c r="AE247" s="298"/>
      <c r="AF247" s="298"/>
      <c r="AG247" s="298"/>
      <c r="AH247" s="298"/>
      <c r="AI247" s="313"/>
      <c r="AJ247" s="313"/>
      <c r="AK247" s="313"/>
      <c r="AL247" s="298"/>
      <c r="AM247" s="298">
        <v>7.2140593650358006E-2</v>
      </c>
      <c r="AN247" s="298"/>
      <c r="AO247" s="298"/>
      <c r="AP247" s="298"/>
      <c r="AQ247" s="298"/>
    </row>
    <row r="248" spans="1:43" x14ac:dyDescent="0.25">
      <c r="B248" s="321"/>
      <c r="C248" s="301">
        <v>3.8275000000000001</v>
      </c>
      <c r="D248" s="301"/>
      <c r="E248" s="301">
        <v>7.1952506690377005E-2</v>
      </c>
      <c r="F248" s="301">
        <v>0</v>
      </c>
      <c r="G248" s="301">
        <v>5.4968124E-2</v>
      </c>
      <c r="H248" s="301">
        <v>0</v>
      </c>
      <c r="I248" s="301">
        <v>0</v>
      </c>
      <c r="J248" s="301">
        <v>0.155</v>
      </c>
      <c r="K248" s="301">
        <v>0</v>
      </c>
      <c r="L248" s="301">
        <v>0</v>
      </c>
      <c r="M248" s="301">
        <v>0</v>
      </c>
      <c r="N248" s="301">
        <v>0</v>
      </c>
      <c r="O248" s="301">
        <v>0</v>
      </c>
      <c r="P248" s="298">
        <v>0</v>
      </c>
      <c r="Q248" s="298">
        <v>0</v>
      </c>
      <c r="R248" s="298">
        <v>7.7499999999999999E-3</v>
      </c>
      <c r="S248" s="298">
        <v>0</v>
      </c>
      <c r="T248" s="298">
        <v>0</v>
      </c>
      <c r="U248" s="298">
        <v>0.2525</v>
      </c>
      <c r="V248" s="298">
        <v>0</v>
      </c>
      <c r="W248" s="298">
        <v>0</v>
      </c>
      <c r="X248" s="298">
        <v>0</v>
      </c>
      <c r="Y248" s="298">
        <v>0</v>
      </c>
      <c r="Z248" s="298">
        <v>0</v>
      </c>
      <c r="AA248" s="298"/>
      <c r="AB248" s="298"/>
      <c r="AC248" s="298"/>
      <c r="AD248" s="298"/>
      <c r="AE248" s="298"/>
      <c r="AF248" s="298"/>
      <c r="AG248" s="298"/>
      <c r="AH248" s="298"/>
      <c r="AI248" s="313"/>
      <c r="AJ248" s="313"/>
      <c r="AK248" s="313"/>
      <c r="AL248" s="298"/>
      <c r="AM248" s="298">
        <v>7.2141842708628001E-2</v>
      </c>
      <c r="AN248" s="298"/>
      <c r="AO248" s="298"/>
      <c r="AP248" s="298"/>
      <c r="AQ248" s="298"/>
    </row>
    <row r="249" spans="1:43" x14ac:dyDescent="0.25">
      <c r="A249" s="325"/>
      <c r="B249" s="321"/>
      <c r="C249" s="301">
        <v>3.8384999999999998</v>
      </c>
      <c r="D249" s="301"/>
      <c r="E249" s="301">
        <v>7.1950986206104003E-2</v>
      </c>
      <c r="F249" s="301">
        <v>0</v>
      </c>
      <c r="G249" s="301">
        <v>5.4968124E-2</v>
      </c>
      <c r="H249" s="301">
        <v>0</v>
      </c>
      <c r="I249" s="301">
        <v>0</v>
      </c>
      <c r="J249" s="301">
        <v>0.1575</v>
      </c>
      <c r="K249" s="301">
        <v>0</v>
      </c>
      <c r="L249" s="301">
        <v>0</v>
      </c>
      <c r="M249" s="301">
        <v>0</v>
      </c>
      <c r="N249" s="301">
        <v>0</v>
      </c>
      <c r="O249" s="301">
        <v>0</v>
      </c>
      <c r="P249" s="298">
        <v>0</v>
      </c>
      <c r="Q249" s="298">
        <v>0</v>
      </c>
      <c r="R249" s="298">
        <v>-1.2999999999999999E-2</v>
      </c>
      <c r="S249" s="298">
        <v>0</v>
      </c>
      <c r="T249" s="298">
        <v>0</v>
      </c>
      <c r="U249" s="298">
        <v>0.255</v>
      </c>
      <c r="V249" s="298">
        <v>0</v>
      </c>
      <c r="W249" s="298">
        <v>0</v>
      </c>
      <c r="X249" s="298">
        <v>0</v>
      </c>
      <c r="Y249" s="298">
        <v>0</v>
      </c>
      <c r="Z249" s="298">
        <v>0</v>
      </c>
      <c r="AA249" s="298"/>
      <c r="AB249" s="298"/>
      <c r="AC249" s="298"/>
      <c r="AD249" s="298"/>
      <c r="AE249" s="298"/>
      <c r="AF249" s="298"/>
      <c r="AG249" s="298"/>
      <c r="AH249" s="298"/>
      <c r="AI249" s="313"/>
      <c r="AJ249" s="313"/>
      <c r="AK249" s="313"/>
      <c r="AL249" s="298"/>
      <c r="AM249" s="298">
        <v>7.2143051474695005E-2</v>
      </c>
      <c r="AN249" s="298"/>
      <c r="AO249" s="298"/>
      <c r="AP249" s="298"/>
      <c r="AQ249" s="298"/>
    </row>
    <row r="250" spans="1:43" x14ac:dyDescent="0.25">
      <c r="A250" s="326"/>
      <c r="B250" s="321"/>
      <c r="C250" s="301">
        <v>3.8944999999999999</v>
      </c>
      <c r="D250" s="301"/>
      <c r="E250" s="301">
        <v>7.1949415039023995E-2</v>
      </c>
      <c r="F250" s="301">
        <v>0</v>
      </c>
      <c r="G250" s="301">
        <v>-2.4988712999999999E-2</v>
      </c>
      <c r="H250" s="301">
        <v>0</v>
      </c>
      <c r="I250" s="301">
        <v>0</v>
      </c>
      <c r="J250" s="301">
        <v>0.24</v>
      </c>
      <c r="K250" s="301">
        <v>0</v>
      </c>
      <c r="L250" s="301">
        <v>0</v>
      </c>
      <c r="M250" s="301">
        <v>0</v>
      </c>
      <c r="N250" s="301">
        <v>0</v>
      </c>
      <c r="O250" s="301">
        <v>0</v>
      </c>
      <c r="P250" s="298">
        <v>0</v>
      </c>
      <c r="Q250" s="298">
        <v>0</v>
      </c>
      <c r="R250" s="298">
        <v>-1.2E-2</v>
      </c>
      <c r="S250" s="298">
        <v>0</v>
      </c>
      <c r="T250" s="298">
        <v>0</v>
      </c>
      <c r="U250" s="298">
        <v>0.72499999999999998</v>
      </c>
      <c r="V250" s="298">
        <v>0</v>
      </c>
      <c r="W250" s="298">
        <v>0</v>
      </c>
      <c r="X250" s="298">
        <v>0</v>
      </c>
      <c r="Y250" s="298">
        <v>0</v>
      </c>
      <c r="Z250" s="298">
        <v>0</v>
      </c>
      <c r="AA250" s="298"/>
      <c r="AB250" s="298"/>
      <c r="AC250" s="298"/>
      <c r="AD250" s="298"/>
      <c r="AE250" s="298"/>
      <c r="AF250" s="298"/>
      <c r="AG250" s="298"/>
      <c r="AH250" s="298"/>
      <c r="AI250" s="313"/>
      <c r="AJ250" s="313"/>
      <c r="AK250" s="313"/>
      <c r="AL250" s="298"/>
      <c r="AM250" s="298">
        <v>7.2144300532965E-2</v>
      </c>
      <c r="AN250" s="298"/>
      <c r="AO250" s="298"/>
      <c r="AP250" s="298"/>
      <c r="AQ250" s="298"/>
    </row>
    <row r="251" spans="1:43" x14ac:dyDescent="0.25">
      <c r="A251" s="326"/>
      <c r="B251" s="321"/>
      <c r="C251" s="301">
        <v>3.9725000000000001</v>
      </c>
      <c r="D251" s="301"/>
      <c r="E251" s="301">
        <v>7.1947894554753006E-2</v>
      </c>
      <c r="F251" s="301">
        <v>0</v>
      </c>
      <c r="G251" s="301">
        <v>-3.9951937999999999E-2</v>
      </c>
      <c r="H251" s="301">
        <v>0</v>
      </c>
      <c r="I251" s="301">
        <v>0</v>
      </c>
      <c r="J251" s="301">
        <v>0.29499999999999998</v>
      </c>
      <c r="K251" s="301">
        <v>0</v>
      </c>
      <c r="L251" s="301">
        <v>0</v>
      </c>
      <c r="M251" s="301">
        <v>0</v>
      </c>
      <c r="N251" s="301">
        <v>0</v>
      </c>
      <c r="O251" s="301">
        <v>0</v>
      </c>
      <c r="P251" s="298">
        <v>0</v>
      </c>
      <c r="Q251" s="298">
        <v>0</v>
      </c>
      <c r="R251" s="298">
        <v>-1.2E-2</v>
      </c>
      <c r="S251" s="298">
        <v>0</v>
      </c>
      <c r="T251" s="298">
        <v>0</v>
      </c>
      <c r="U251" s="298">
        <v>1.0449999999999999</v>
      </c>
      <c r="V251" s="298">
        <v>0</v>
      </c>
      <c r="W251" s="298">
        <v>0</v>
      </c>
      <c r="X251" s="298">
        <v>0</v>
      </c>
      <c r="Y251" s="298">
        <v>0</v>
      </c>
      <c r="Z251" s="298">
        <v>0</v>
      </c>
      <c r="AA251" s="298"/>
      <c r="AB251" s="298"/>
      <c r="AC251" s="298"/>
      <c r="AD251" s="298"/>
      <c r="AE251" s="298"/>
      <c r="AF251" s="298"/>
      <c r="AG251" s="298"/>
      <c r="AH251" s="298"/>
      <c r="AI251" s="313"/>
      <c r="AJ251" s="313"/>
      <c r="AK251" s="313"/>
      <c r="AL251" s="298"/>
      <c r="AM251" s="298">
        <v>7.2145509299034002E-2</v>
      </c>
      <c r="AN251" s="298"/>
      <c r="AO251" s="298"/>
      <c r="AP251" s="298"/>
      <c r="AQ251" s="298"/>
    </row>
    <row r="252" spans="1:43" x14ac:dyDescent="0.25">
      <c r="A252" s="326"/>
      <c r="B252" s="321"/>
      <c r="C252" s="301">
        <v>4.0155000000000003</v>
      </c>
      <c r="D252" s="301"/>
      <c r="E252" s="301">
        <v>7.1946323387672997E-2</v>
      </c>
      <c r="F252" s="301">
        <v>0</v>
      </c>
      <c r="G252" s="301">
        <v>-3.4955184E-2</v>
      </c>
      <c r="H252" s="301">
        <v>0</v>
      </c>
      <c r="I252" s="301">
        <v>0</v>
      </c>
      <c r="J252" s="301">
        <v>0.34250000000000003</v>
      </c>
      <c r="K252" s="301">
        <v>0</v>
      </c>
      <c r="L252" s="301">
        <v>0</v>
      </c>
      <c r="M252" s="301">
        <v>0</v>
      </c>
      <c r="N252" s="301">
        <v>0</v>
      </c>
      <c r="O252" s="301">
        <v>0</v>
      </c>
      <c r="P252" s="298">
        <v>0</v>
      </c>
      <c r="Q252" s="298">
        <v>0</v>
      </c>
      <c r="R252" s="298">
        <v>-1.2E-2</v>
      </c>
      <c r="S252" s="298">
        <v>0</v>
      </c>
      <c r="T252" s="298">
        <v>0</v>
      </c>
      <c r="U252" s="298">
        <v>1.52</v>
      </c>
      <c r="V252" s="298">
        <v>0</v>
      </c>
      <c r="W252" s="298">
        <v>0</v>
      </c>
      <c r="X252" s="298">
        <v>0</v>
      </c>
      <c r="Y252" s="298">
        <v>0</v>
      </c>
      <c r="Z252" s="298">
        <v>0</v>
      </c>
      <c r="AA252" s="298"/>
      <c r="AB252" s="298"/>
      <c r="AC252" s="298"/>
      <c r="AD252" s="298"/>
      <c r="AE252" s="298"/>
      <c r="AF252" s="298"/>
      <c r="AG252" s="298"/>
      <c r="AH252" s="298"/>
      <c r="AI252" s="313"/>
      <c r="AJ252" s="313"/>
      <c r="AK252" s="313"/>
      <c r="AL252" s="298"/>
      <c r="AM252" s="298">
        <v>7.2146758357304996E-2</v>
      </c>
      <c r="AN252" s="298"/>
      <c r="AO252" s="298"/>
      <c r="AP252" s="298"/>
      <c r="AQ252" s="298"/>
    </row>
    <row r="253" spans="1:43" x14ac:dyDescent="0.25">
      <c r="A253" s="326"/>
      <c r="B253" s="321"/>
      <c r="C253" s="301">
        <v>3.9704999999999999</v>
      </c>
      <c r="D253" s="301"/>
      <c r="E253" s="301">
        <v>7.1944752220595001E-2</v>
      </c>
      <c r="F253" s="301">
        <v>0</v>
      </c>
      <c r="G253" s="301">
        <v>-9.957423E-3</v>
      </c>
      <c r="H253" s="301">
        <v>0</v>
      </c>
      <c r="I253" s="301">
        <v>0</v>
      </c>
      <c r="J253" s="301">
        <v>0.33750000000000002</v>
      </c>
      <c r="K253" s="301">
        <v>0</v>
      </c>
      <c r="L253" s="301">
        <v>0</v>
      </c>
      <c r="M253" s="301">
        <v>0</v>
      </c>
      <c r="N253" s="301">
        <v>0</v>
      </c>
      <c r="O253" s="301">
        <v>0</v>
      </c>
      <c r="P253" s="298">
        <v>0</v>
      </c>
      <c r="Q253" s="298">
        <v>0</v>
      </c>
      <c r="R253" s="298">
        <v>-1.2E-2</v>
      </c>
      <c r="S253" s="298">
        <v>0</v>
      </c>
      <c r="T253" s="298">
        <v>0</v>
      </c>
      <c r="U253" s="298">
        <v>1.4</v>
      </c>
      <c r="V253" s="298">
        <v>0</v>
      </c>
      <c r="W253" s="298">
        <v>0</v>
      </c>
      <c r="X253" s="298">
        <v>0</v>
      </c>
      <c r="Y253" s="298">
        <v>0</v>
      </c>
      <c r="Z253" s="298">
        <v>0</v>
      </c>
      <c r="AA253" s="298"/>
      <c r="AB253" s="298"/>
      <c r="AC253" s="298"/>
      <c r="AD253" s="298"/>
      <c r="AE253" s="298"/>
      <c r="AF253" s="298"/>
      <c r="AG253" s="298"/>
      <c r="AH253" s="298"/>
      <c r="AI253" s="313"/>
      <c r="AJ253" s="313"/>
      <c r="AK253" s="313"/>
      <c r="AL253" s="298"/>
      <c r="AM253" s="298">
        <v>7.2148007415577003E-2</v>
      </c>
      <c r="AN253" s="298"/>
      <c r="AO253" s="298"/>
      <c r="AP253" s="298"/>
      <c r="AQ253" s="298"/>
    </row>
    <row r="254" spans="1:43" x14ac:dyDescent="0.25">
      <c r="A254" s="326"/>
      <c r="B254" s="321"/>
      <c r="C254" s="301">
        <v>3.9064999999999999</v>
      </c>
      <c r="D254" s="301"/>
      <c r="E254" s="301">
        <v>7.1943282419135002E-2</v>
      </c>
      <c r="F254" s="301">
        <v>0</v>
      </c>
      <c r="G254" s="301">
        <v>4.2577000000000002E-5</v>
      </c>
      <c r="H254" s="301">
        <v>0</v>
      </c>
      <c r="I254" s="301">
        <v>0</v>
      </c>
      <c r="J254" s="301">
        <v>0.26</v>
      </c>
      <c r="K254" s="301">
        <v>0</v>
      </c>
      <c r="L254" s="301">
        <v>0</v>
      </c>
      <c r="M254" s="301">
        <v>0</v>
      </c>
      <c r="N254" s="301">
        <v>0</v>
      </c>
      <c r="O254" s="301">
        <v>0</v>
      </c>
      <c r="P254" s="298">
        <v>0</v>
      </c>
      <c r="Q254" s="298">
        <v>0</v>
      </c>
      <c r="R254" s="298">
        <v>6.3E-3</v>
      </c>
      <c r="S254" s="298">
        <v>0</v>
      </c>
      <c r="T254" s="298">
        <v>0</v>
      </c>
      <c r="U254" s="298">
        <v>0.88</v>
      </c>
      <c r="V254" s="298">
        <v>0</v>
      </c>
      <c r="W254" s="298">
        <v>0</v>
      </c>
      <c r="X254" s="298">
        <v>0</v>
      </c>
      <c r="Y254" s="298">
        <v>0</v>
      </c>
      <c r="Z254" s="298">
        <v>0</v>
      </c>
      <c r="AA254" s="298"/>
      <c r="AB254" s="298"/>
      <c r="AC254" s="298"/>
      <c r="AD254" s="298"/>
      <c r="AE254" s="298"/>
      <c r="AF254" s="298"/>
      <c r="AG254" s="298"/>
      <c r="AH254" s="298"/>
      <c r="AI254" s="313"/>
      <c r="AJ254" s="313"/>
      <c r="AK254" s="313"/>
      <c r="AL254" s="298"/>
      <c r="AM254" s="298">
        <v>7.2149175889445E-2</v>
      </c>
      <c r="AN254" s="298"/>
      <c r="AO254" s="298"/>
      <c r="AP254" s="298"/>
      <c r="AQ254" s="298"/>
    </row>
    <row r="255" spans="1:43" x14ac:dyDescent="0.25">
      <c r="A255" s="326"/>
      <c r="B255" s="321"/>
      <c r="C255" s="301">
        <v>3.8574999999999999</v>
      </c>
      <c r="D255" s="301"/>
      <c r="E255" s="301">
        <v>7.1941711252059004E-2</v>
      </c>
      <c r="F255" s="301">
        <v>0</v>
      </c>
      <c r="G255" s="301">
        <v>5.9976638999999998E-2</v>
      </c>
      <c r="H255" s="301">
        <v>0</v>
      </c>
      <c r="I255" s="301">
        <v>0</v>
      </c>
      <c r="J255" s="301">
        <v>0.17</v>
      </c>
      <c r="K255" s="301">
        <v>0</v>
      </c>
      <c r="L255" s="301">
        <v>0</v>
      </c>
      <c r="M255" s="301">
        <v>0</v>
      </c>
      <c r="N255" s="301">
        <v>0</v>
      </c>
      <c r="O255" s="301">
        <v>0</v>
      </c>
      <c r="P255" s="298">
        <v>0</v>
      </c>
      <c r="Q255" s="298">
        <v>0</v>
      </c>
      <c r="R255" s="298">
        <v>6.3E-3</v>
      </c>
      <c r="S255" s="298">
        <v>0</v>
      </c>
      <c r="T255" s="298">
        <v>0</v>
      </c>
      <c r="U255" s="298">
        <v>0.37</v>
      </c>
      <c r="V255" s="298">
        <v>0</v>
      </c>
      <c r="W255" s="298">
        <v>0</v>
      </c>
      <c r="X255" s="298">
        <v>0</v>
      </c>
      <c r="Y255" s="298">
        <v>0</v>
      </c>
      <c r="Z255" s="298">
        <v>0</v>
      </c>
      <c r="AA255" s="298"/>
      <c r="AB255" s="298"/>
      <c r="AC255" s="298"/>
      <c r="AD255" s="298"/>
      <c r="AE255" s="298"/>
      <c r="AF255" s="298"/>
      <c r="AG255" s="298"/>
      <c r="AH255" s="298"/>
      <c r="AI255" s="313"/>
      <c r="AJ255" s="313"/>
      <c r="AK255" s="313"/>
      <c r="AL255" s="298"/>
      <c r="AM255" s="298">
        <v>7.2150424947718006E-2</v>
      </c>
      <c r="AN255" s="298"/>
      <c r="AO255" s="298"/>
      <c r="AP255" s="298"/>
      <c r="AQ255" s="298"/>
    </row>
    <row r="256" spans="1:43" x14ac:dyDescent="0.25">
      <c r="A256" s="326"/>
      <c r="B256" s="321"/>
      <c r="C256" s="301">
        <v>3.8744999999999998</v>
      </c>
      <c r="D256" s="301"/>
      <c r="E256" s="301">
        <v>7.1941332008718994E-2</v>
      </c>
      <c r="F256" s="301">
        <v>0</v>
      </c>
      <c r="G256" s="301">
        <v>5.9968123999999998E-2</v>
      </c>
      <c r="H256" s="301">
        <v>0</v>
      </c>
      <c r="I256" s="301">
        <v>0</v>
      </c>
      <c r="J256" s="301">
        <v>0.155</v>
      </c>
      <c r="K256" s="301">
        <v>0</v>
      </c>
      <c r="L256" s="301">
        <v>0</v>
      </c>
      <c r="M256" s="301">
        <v>0</v>
      </c>
      <c r="N256" s="301">
        <v>0</v>
      </c>
      <c r="O256" s="301">
        <v>0</v>
      </c>
      <c r="P256" s="298">
        <v>0</v>
      </c>
      <c r="Q256" s="298">
        <v>0</v>
      </c>
      <c r="R256" s="298">
        <v>6.2500000000000003E-3</v>
      </c>
      <c r="S256" s="298">
        <v>0</v>
      </c>
      <c r="T256" s="298">
        <v>0</v>
      </c>
      <c r="U256" s="298">
        <v>0.2525</v>
      </c>
      <c r="V256" s="298">
        <v>0</v>
      </c>
      <c r="W256" s="298">
        <v>0</v>
      </c>
      <c r="X256" s="298">
        <v>0</v>
      </c>
      <c r="Y256" s="298">
        <v>0</v>
      </c>
      <c r="Z256" s="298">
        <v>0</v>
      </c>
      <c r="AA256" s="298"/>
      <c r="AB256" s="298"/>
      <c r="AC256" s="298"/>
      <c r="AD256" s="298"/>
      <c r="AE256" s="298"/>
      <c r="AF256" s="298"/>
      <c r="AG256" s="298"/>
      <c r="AH256" s="298"/>
      <c r="AI256" s="313"/>
      <c r="AJ256" s="313"/>
      <c r="AK256" s="313"/>
      <c r="AL256" s="298"/>
      <c r="AM256" s="298">
        <v>7.2149460678696001E-2</v>
      </c>
      <c r="AN256" s="298"/>
      <c r="AO256" s="298"/>
      <c r="AP256" s="298"/>
      <c r="AQ256" s="298"/>
    </row>
    <row r="257" spans="1:43" x14ac:dyDescent="0.25">
      <c r="A257" s="326"/>
      <c r="B257" s="321"/>
      <c r="C257" s="301">
        <v>3.9005000000000001</v>
      </c>
      <c r="D257" s="301"/>
      <c r="E257" s="301">
        <v>7.1941841928040998E-2</v>
      </c>
      <c r="F257" s="301">
        <v>0</v>
      </c>
      <c r="G257" s="301">
        <v>5.9968123999999998E-2</v>
      </c>
      <c r="H257" s="301">
        <v>0</v>
      </c>
      <c r="I257" s="301">
        <v>0</v>
      </c>
      <c r="J257" s="301">
        <v>0.155</v>
      </c>
      <c r="K257" s="301">
        <v>0</v>
      </c>
      <c r="L257" s="301">
        <v>0</v>
      </c>
      <c r="M257" s="301">
        <v>0</v>
      </c>
      <c r="N257" s="301">
        <v>0</v>
      </c>
      <c r="O257" s="301">
        <v>0</v>
      </c>
      <c r="P257" s="298">
        <v>0</v>
      </c>
      <c r="Q257" s="298">
        <v>0</v>
      </c>
      <c r="R257" s="298">
        <v>6.2500000000000003E-3</v>
      </c>
      <c r="S257" s="298">
        <v>0</v>
      </c>
      <c r="T257" s="298">
        <v>0</v>
      </c>
      <c r="U257" s="298">
        <v>0.2525</v>
      </c>
      <c r="V257" s="298">
        <v>0</v>
      </c>
      <c r="W257" s="298">
        <v>0</v>
      </c>
      <c r="X257" s="298">
        <v>0</v>
      </c>
      <c r="Y257" s="298">
        <v>0</v>
      </c>
      <c r="Z257" s="298">
        <v>0</v>
      </c>
      <c r="AA257" s="298"/>
      <c r="AB257" s="298"/>
      <c r="AC257" s="298"/>
      <c r="AD257" s="298"/>
      <c r="AE257" s="298"/>
      <c r="AF257" s="298"/>
      <c r="AG257" s="298"/>
      <c r="AH257" s="298"/>
      <c r="AI257" s="313"/>
      <c r="AJ257" s="313"/>
      <c r="AK257" s="313"/>
      <c r="AL257" s="298"/>
      <c r="AM257" s="298">
        <v>7.2147902899972999E-2</v>
      </c>
      <c r="AN257" s="298"/>
      <c r="AO257" s="298"/>
      <c r="AP257" s="298"/>
      <c r="AQ257" s="298"/>
    </row>
    <row r="258" spans="1:43" x14ac:dyDescent="0.25">
      <c r="A258" s="326"/>
      <c r="B258" s="321"/>
      <c r="C258" s="301">
        <v>3.9115000000000002</v>
      </c>
      <c r="D258" s="301"/>
      <c r="E258" s="301">
        <v>7.1942335398352E-2</v>
      </c>
      <c r="F258" s="301">
        <v>0</v>
      </c>
      <c r="G258" s="301">
        <v>5.9968123999999998E-2</v>
      </c>
      <c r="H258" s="301">
        <v>0</v>
      </c>
      <c r="I258" s="301">
        <v>0</v>
      </c>
      <c r="J258" s="301">
        <v>0.155</v>
      </c>
      <c r="K258" s="301">
        <v>0</v>
      </c>
      <c r="L258" s="301">
        <v>0</v>
      </c>
      <c r="M258" s="301">
        <v>0</v>
      </c>
      <c r="N258" s="301">
        <v>0</v>
      </c>
      <c r="O258" s="301">
        <v>0</v>
      </c>
      <c r="P258" s="298">
        <v>0</v>
      </c>
      <c r="Q258" s="298">
        <v>0</v>
      </c>
      <c r="R258" s="298">
        <v>6.2500000000000003E-3</v>
      </c>
      <c r="S258" s="298">
        <v>0</v>
      </c>
      <c r="T258" s="298">
        <v>0</v>
      </c>
      <c r="U258" s="298">
        <v>0.25750000000000001</v>
      </c>
      <c r="V258" s="298">
        <v>0</v>
      </c>
      <c r="W258" s="298">
        <v>0</v>
      </c>
      <c r="X258" s="298">
        <v>0</v>
      </c>
      <c r="Y258" s="298">
        <v>0</v>
      </c>
      <c r="Z258" s="298">
        <v>0</v>
      </c>
      <c r="AA258" s="298"/>
      <c r="AB258" s="298"/>
      <c r="AC258" s="298"/>
      <c r="AD258" s="298"/>
      <c r="AE258" s="298"/>
      <c r="AF258" s="298"/>
      <c r="AG258" s="298"/>
      <c r="AH258" s="298"/>
      <c r="AI258" s="313"/>
      <c r="AJ258" s="313"/>
      <c r="AK258" s="313"/>
      <c r="AL258" s="298"/>
      <c r="AM258" s="298">
        <v>7.2146395372177999E-2</v>
      </c>
      <c r="AN258" s="298"/>
      <c r="AO258" s="298"/>
      <c r="AP258" s="298"/>
      <c r="AQ258" s="298"/>
    </row>
    <row r="259" spans="1:43" x14ac:dyDescent="0.25">
      <c r="A259" s="326"/>
      <c r="B259" s="321"/>
      <c r="C259" s="301">
        <v>3.9205000000000001</v>
      </c>
      <c r="D259" s="301"/>
      <c r="E259" s="301">
        <v>7.1942845317673004E-2</v>
      </c>
      <c r="F259" s="301">
        <v>0</v>
      </c>
      <c r="G259" s="301">
        <v>5.9968123999999998E-2</v>
      </c>
      <c r="H259" s="301">
        <v>0</v>
      </c>
      <c r="I259" s="301">
        <v>0</v>
      </c>
      <c r="J259" s="301">
        <v>0.155</v>
      </c>
      <c r="K259" s="301">
        <v>0</v>
      </c>
      <c r="L259" s="301">
        <v>0</v>
      </c>
      <c r="M259" s="301">
        <v>0</v>
      </c>
      <c r="N259" s="301">
        <v>0</v>
      </c>
      <c r="O259" s="301">
        <v>0</v>
      </c>
      <c r="P259" s="298">
        <v>0</v>
      </c>
      <c r="Q259" s="298">
        <v>0</v>
      </c>
      <c r="R259" s="298">
        <v>8.7500000000000008E-3</v>
      </c>
      <c r="S259" s="298">
        <v>0</v>
      </c>
      <c r="T259" s="298">
        <v>0</v>
      </c>
      <c r="U259" s="298">
        <v>0.25750000000000001</v>
      </c>
      <c r="V259" s="298">
        <v>0</v>
      </c>
      <c r="W259" s="298">
        <v>0</v>
      </c>
      <c r="X259" s="298">
        <v>0</v>
      </c>
      <c r="Y259" s="298">
        <v>0</v>
      </c>
      <c r="Z259" s="298">
        <v>0</v>
      </c>
      <c r="AA259" s="298"/>
      <c r="AB259" s="298"/>
      <c r="AC259" s="298"/>
      <c r="AD259" s="298"/>
      <c r="AE259" s="298"/>
      <c r="AF259" s="298"/>
      <c r="AG259" s="298"/>
      <c r="AH259" s="298"/>
      <c r="AI259" s="313"/>
      <c r="AJ259" s="313"/>
      <c r="AK259" s="313"/>
      <c r="AL259" s="298"/>
      <c r="AM259" s="298">
        <v>7.2144837593457994E-2</v>
      </c>
      <c r="AN259" s="298"/>
      <c r="AO259" s="298"/>
      <c r="AP259" s="298"/>
      <c r="AQ259" s="298"/>
    </row>
    <row r="260" spans="1:43" x14ac:dyDescent="0.25">
      <c r="A260" s="326"/>
      <c r="B260" s="321"/>
      <c r="C260" s="301">
        <v>3.9104999999999999</v>
      </c>
      <c r="D260" s="301"/>
      <c r="E260" s="301">
        <v>7.1943355237000003E-2</v>
      </c>
      <c r="F260" s="301">
        <v>0</v>
      </c>
      <c r="G260" s="301">
        <v>5.9968123999999998E-2</v>
      </c>
      <c r="H260" s="301">
        <v>0</v>
      </c>
      <c r="I260" s="301">
        <v>0</v>
      </c>
      <c r="J260" s="301">
        <v>0.155</v>
      </c>
      <c r="K260" s="301">
        <v>0</v>
      </c>
      <c r="L260" s="301">
        <v>0</v>
      </c>
      <c r="M260" s="301">
        <v>0</v>
      </c>
      <c r="N260" s="301">
        <v>0</v>
      </c>
      <c r="O260" s="301">
        <v>0</v>
      </c>
      <c r="P260" s="298">
        <v>0</v>
      </c>
      <c r="Q260" s="298">
        <v>0</v>
      </c>
      <c r="R260" s="298">
        <v>8.7500000000000008E-3</v>
      </c>
      <c r="S260" s="298">
        <v>0</v>
      </c>
      <c r="T260" s="298">
        <v>0</v>
      </c>
      <c r="U260" s="298">
        <v>0.2525</v>
      </c>
      <c r="V260" s="298">
        <v>0</v>
      </c>
      <c r="W260" s="298">
        <v>0</v>
      </c>
      <c r="X260" s="298">
        <v>0</v>
      </c>
      <c r="Y260" s="298">
        <v>0</v>
      </c>
      <c r="Z260" s="298">
        <v>0</v>
      </c>
      <c r="AA260" s="298"/>
      <c r="AB260" s="298"/>
      <c r="AC260" s="298"/>
      <c r="AD260" s="298"/>
      <c r="AE260" s="298"/>
      <c r="AF260" s="298"/>
      <c r="AG260" s="298"/>
      <c r="AH260" s="298"/>
      <c r="AI260" s="313"/>
      <c r="AJ260" s="313"/>
      <c r="AK260" s="313"/>
      <c r="AL260" s="298"/>
      <c r="AM260" s="298">
        <v>7.2143279814739003E-2</v>
      </c>
      <c r="AN260" s="298"/>
      <c r="AO260" s="298"/>
      <c r="AP260" s="298"/>
      <c r="AQ260" s="298"/>
    </row>
    <row r="261" spans="1:43" x14ac:dyDescent="0.25">
      <c r="A261" s="326"/>
      <c r="B261" s="321"/>
      <c r="C261" s="301">
        <v>3.9205000000000001</v>
      </c>
      <c r="D261" s="301"/>
      <c r="E261" s="301">
        <v>7.1943848707305996E-2</v>
      </c>
      <c r="F261" s="301">
        <v>0</v>
      </c>
      <c r="G261" s="301">
        <v>5.9968123999999998E-2</v>
      </c>
      <c r="H261" s="301">
        <v>0</v>
      </c>
      <c r="I261" s="301">
        <v>0</v>
      </c>
      <c r="J261" s="301">
        <v>0.1575</v>
      </c>
      <c r="K261" s="301">
        <v>0</v>
      </c>
      <c r="L261" s="301">
        <v>0</v>
      </c>
      <c r="M261" s="301">
        <v>0</v>
      </c>
      <c r="N261" s="301">
        <v>0</v>
      </c>
      <c r="O261" s="301">
        <v>0</v>
      </c>
      <c r="P261" s="298">
        <v>0</v>
      </c>
      <c r="Q261" s="298">
        <v>0</v>
      </c>
      <c r="R261" s="298">
        <v>-1.2E-2</v>
      </c>
      <c r="S261" s="298">
        <v>0</v>
      </c>
      <c r="T261" s="298">
        <v>0</v>
      </c>
      <c r="U261" s="298">
        <v>0.255</v>
      </c>
      <c r="V261" s="298">
        <v>0</v>
      </c>
      <c r="W261" s="298">
        <v>0</v>
      </c>
      <c r="X261" s="298">
        <v>0</v>
      </c>
      <c r="Y261" s="298">
        <v>0</v>
      </c>
      <c r="Z261" s="298">
        <v>0</v>
      </c>
      <c r="AA261" s="298"/>
      <c r="AB261" s="298"/>
      <c r="AC261" s="298"/>
      <c r="AD261" s="298"/>
      <c r="AE261" s="298"/>
      <c r="AF261" s="298"/>
      <c r="AG261" s="298"/>
      <c r="AH261" s="298"/>
      <c r="AI261" s="313"/>
      <c r="AJ261" s="313"/>
      <c r="AK261" s="313"/>
      <c r="AL261" s="298"/>
      <c r="AM261" s="298">
        <v>7.2141772286946002E-2</v>
      </c>
      <c r="AN261" s="298"/>
      <c r="AO261" s="298"/>
      <c r="AP261" s="298"/>
      <c r="AQ261" s="298"/>
    </row>
    <row r="262" spans="1:43" x14ac:dyDescent="0.25">
      <c r="A262" s="326"/>
      <c r="B262" s="321"/>
      <c r="C262" s="301">
        <v>3.9714999999999998</v>
      </c>
      <c r="D262" s="301"/>
      <c r="E262" s="301">
        <v>7.1944358626627999E-2</v>
      </c>
      <c r="F262" s="301">
        <v>0</v>
      </c>
      <c r="G262" s="301">
        <v>-1.9988713000000002E-2</v>
      </c>
      <c r="H262" s="301">
        <v>0</v>
      </c>
      <c r="I262" s="301">
        <v>0</v>
      </c>
      <c r="J262" s="301">
        <v>0.24</v>
      </c>
      <c r="K262" s="301">
        <v>0</v>
      </c>
      <c r="L262" s="301">
        <v>0</v>
      </c>
      <c r="M262" s="301">
        <v>0</v>
      </c>
      <c r="N262" s="301">
        <v>0</v>
      </c>
      <c r="O262" s="301">
        <v>0</v>
      </c>
      <c r="P262" s="298">
        <v>0</v>
      </c>
      <c r="Q262" s="298">
        <v>0</v>
      </c>
      <c r="R262" s="298">
        <v>-1.0999999999999999E-2</v>
      </c>
      <c r="S262" s="298">
        <v>0</v>
      </c>
      <c r="T262" s="298">
        <v>0</v>
      </c>
      <c r="U262" s="298">
        <v>0.72499999999999998</v>
      </c>
      <c r="V262" s="298">
        <v>0</v>
      </c>
      <c r="W262" s="298">
        <v>0</v>
      </c>
      <c r="X262" s="298">
        <v>0</v>
      </c>
      <c r="Y262" s="298">
        <v>0</v>
      </c>
      <c r="Z262" s="298">
        <v>0</v>
      </c>
      <c r="AA262" s="298"/>
      <c r="AB262" s="298"/>
      <c r="AC262" s="298"/>
      <c r="AD262" s="298"/>
      <c r="AE262" s="298"/>
      <c r="AF262" s="298"/>
      <c r="AG262" s="298"/>
      <c r="AH262" s="298"/>
      <c r="AI262" s="313"/>
      <c r="AJ262" s="313"/>
      <c r="AK262" s="313"/>
      <c r="AL262" s="298"/>
      <c r="AM262" s="298">
        <v>7.2140214508227996E-2</v>
      </c>
      <c r="AN262" s="298"/>
      <c r="AO262" s="298"/>
      <c r="AP262" s="298"/>
      <c r="AQ262" s="298"/>
    </row>
    <row r="263" spans="1:43" x14ac:dyDescent="0.25">
      <c r="A263" s="326"/>
      <c r="B263" s="321"/>
      <c r="C263" s="301">
        <v>4.0465</v>
      </c>
      <c r="D263" s="301"/>
      <c r="E263" s="301">
        <v>7.1944852096939002E-2</v>
      </c>
      <c r="F263" s="301">
        <v>0</v>
      </c>
      <c r="G263" s="301">
        <v>-3.4951938000000002E-2</v>
      </c>
      <c r="H263" s="301">
        <v>0</v>
      </c>
      <c r="I263" s="301">
        <v>0</v>
      </c>
      <c r="J263" s="301">
        <v>0.29499999999999998</v>
      </c>
      <c r="K263" s="301">
        <v>0</v>
      </c>
      <c r="L263" s="301">
        <v>0</v>
      </c>
      <c r="M263" s="301">
        <v>0</v>
      </c>
      <c r="N263" s="301">
        <v>0</v>
      </c>
      <c r="O263" s="301">
        <v>0</v>
      </c>
      <c r="P263" s="298">
        <v>0</v>
      </c>
      <c r="Q263" s="298">
        <v>0</v>
      </c>
      <c r="R263" s="298">
        <v>-1.0999999999999999E-2</v>
      </c>
      <c r="S263" s="298">
        <v>0</v>
      </c>
      <c r="T263" s="298">
        <v>0</v>
      </c>
      <c r="U263" s="298">
        <v>1.0449999999999999</v>
      </c>
      <c r="V263" s="298">
        <v>0</v>
      </c>
      <c r="W263" s="298">
        <v>0</v>
      </c>
      <c r="X263" s="298">
        <v>0</v>
      </c>
      <c r="Y263" s="298">
        <v>0</v>
      </c>
      <c r="Z263" s="298">
        <v>0</v>
      </c>
      <c r="AA263" s="298"/>
      <c r="AB263" s="298"/>
      <c r="AC263" s="298"/>
      <c r="AD263" s="298"/>
      <c r="AE263" s="298"/>
      <c r="AF263" s="298"/>
      <c r="AG263" s="298"/>
      <c r="AH263" s="298"/>
      <c r="AI263" s="313"/>
      <c r="AJ263" s="313"/>
      <c r="AK263" s="313"/>
      <c r="AL263" s="298"/>
      <c r="AM263" s="298">
        <v>7.2138706980437006E-2</v>
      </c>
      <c r="AN263" s="298"/>
      <c r="AO263" s="298"/>
      <c r="AP263" s="298"/>
      <c r="AQ263" s="298"/>
    </row>
    <row r="264" spans="1:43" x14ac:dyDescent="0.25">
      <c r="A264" s="326"/>
      <c r="B264" s="321"/>
      <c r="C264" s="301">
        <v>4.0875000000000004</v>
      </c>
      <c r="D264" s="301"/>
      <c r="E264" s="301">
        <v>7.1945362016262004E-2</v>
      </c>
      <c r="F264" s="301">
        <v>0</v>
      </c>
      <c r="G264" s="301">
        <v>-2.9955183999999999E-2</v>
      </c>
      <c r="H264" s="301">
        <v>0</v>
      </c>
      <c r="I264" s="301">
        <v>0</v>
      </c>
      <c r="J264" s="301">
        <v>0.34250000000000003</v>
      </c>
      <c r="K264" s="301">
        <v>0</v>
      </c>
      <c r="L264" s="301">
        <v>0</v>
      </c>
      <c r="M264" s="301">
        <v>0</v>
      </c>
      <c r="N264" s="301">
        <v>0</v>
      </c>
      <c r="O264" s="301">
        <v>0</v>
      </c>
      <c r="P264" s="298">
        <v>0</v>
      </c>
      <c r="Q264" s="298">
        <v>0</v>
      </c>
      <c r="R264" s="298">
        <v>-1.0999999999999999E-2</v>
      </c>
      <c r="S264" s="298">
        <v>0</v>
      </c>
      <c r="T264" s="298">
        <v>0</v>
      </c>
      <c r="U264" s="298">
        <v>1.52</v>
      </c>
      <c r="V264" s="298">
        <v>0</v>
      </c>
      <c r="W264" s="298">
        <v>0</v>
      </c>
      <c r="X264" s="298">
        <v>0</v>
      </c>
      <c r="Y264" s="298">
        <v>0</v>
      </c>
      <c r="Z264" s="298">
        <v>0</v>
      </c>
      <c r="AA264" s="298"/>
      <c r="AB264" s="298"/>
      <c r="AC264" s="298"/>
      <c r="AD264" s="298"/>
      <c r="AE264" s="298"/>
      <c r="AF264" s="298"/>
      <c r="AG264" s="298"/>
      <c r="AH264" s="298"/>
      <c r="AI264" s="313"/>
      <c r="AJ264" s="313"/>
      <c r="AK264" s="313"/>
      <c r="AL264" s="298"/>
      <c r="AM264" s="298">
        <v>7.2137149201719999E-2</v>
      </c>
      <c r="AN264" s="298"/>
      <c r="AO264" s="298"/>
      <c r="AP264" s="298"/>
      <c r="AQ264" s="298"/>
    </row>
    <row r="265" spans="1:43" x14ac:dyDescent="0.25">
      <c r="A265" s="326"/>
      <c r="B265" s="321"/>
      <c r="C265" s="301">
        <v>4.0465</v>
      </c>
      <c r="D265" s="301"/>
      <c r="E265" s="301">
        <v>7.1945871935583994E-2</v>
      </c>
      <c r="F265" s="301">
        <v>0</v>
      </c>
      <c r="G265" s="301">
        <v>-4.9574229999999999E-3</v>
      </c>
      <c r="H265" s="301">
        <v>0</v>
      </c>
      <c r="I265" s="301">
        <v>0</v>
      </c>
      <c r="J265" s="301">
        <v>0.33750000000000002</v>
      </c>
      <c r="K265" s="301">
        <v>0</v>
      </c>
      <c r="L265" s="301">
        <v>0</v>
      </c>
      <c r="M265" s="301">
        <v>0</v>
      </c>
      <c r="N265" s="301">
        <v>0</v>
      </c>
      <c r="O265" s="301">
        <v>0</v>
      </c>
      <c r="P265" s="298">
        <v>0</v>
      </c>
      <c r="Q265" s="298">
        <v>0</v>
      </c>
      <c r="R265" s="298">
        <v>-1.0999999999999999E-2</v>
      </c>
      <c r="S265" s="298">
        <v>0</v>
      </c>
      <c r="T265" s="298">
        <v>0</v>
      </c>
      <c r="U265" s="298">
        <v>1.4</v>
      </c>
      <c r="V265" s="298">
        <v>0</v>
      </c>
      <c r="W265" s="298">
        <v>0</v>
      </c>
      <c r="X265" s="298">
        <v>0</v>
      </c>
      <c r="Y265" s="298">
        <v>0</v>
      </c>
      <c r="Z265" s="298">
        <v>0</v>
      </c>
      <c r="AA265" s="298"/>
      <c r="AB265" s="298"/>
      <c r="AC265" s="298"/>
      <c r="AD265" s="298"/>
      <c r="AE265" s="298"/>
      <c r="AF265" s="298"/>
      <c r="AG265" s="298"/>
      <c r="AH265" s="298"/>
      <c r="AI265" s="313"/>
      <c r="AJ265" s="313"/>
      <c r="AK265" s="313"/>
      <c r="AL265" s="298"/>
      <c r="AM265" s="298">
        <v>7.2135591423005005E-2</v>
      </c>
      <c r="AN265" s="298"/>
      <c r="AO265" s="298"/>
      <c r="AP265" s="298"/>
      <c r="AQ265" s="298"/>
    </row>
    <row r="266" spans="1:43" x14ac:dyDescent="0.25">
      <c r="A266" s="326"/>
      <c r="B266" s="321"/>
      <c r="C266" s="301">
        <v>3.9855</v>
      </c>
      <c r="D266" s="301"/>
      <c r="E266" s="301">
        <v>7.1946332507874994E-2</v>
      </c>
      <c r="F266" s="301">
        <v>0</v>
      </c>
      <c r="G266" s="301">
        <v>5.0425770000000003E-3</v>
      </c>
      <c r="H266" s="301">
        <v>0</v>
      </c>
      <c r="I266" s="301">
        <v>0</v>
      </c>
      <c r="J266" s="301">
        <v>0.26</v>
      </c>
      <c r="K266" s="301">
        <v>0</v>
      </c>
      <c r="L266" s="301">
        <v>0</v>
      </c>
      <c r="M266" s="301">
        <v>0</v>
      </c>
      <c r="N266" s="301">
        <v>0</v>
      </c>
      <c r="O266" s="301">
        <v>0</v>
      </c>
      <c r="P266" s="298">
        <v>0</v>
      </c>
      <c r="Q266" s="298">
        <v>0</v>
      </c>
      <c r="R266" s="298">
        <v>7.3000000000000001E-3</v>
      </c>
      <c r="S266" s="298">
        <v>0</v>
      </c>
      <c r="T266" s="298">
        <v>0</v>
      </c>
      <c r="U266" s="298">
        <v>0.88</v>
      </c>
      <c r="V266" s="298">
        <v>0</v>
      </c>
      <c r="W266" s="298">
        <v>0</v>
      </c>
      <c r="X266" s="298">
        <v>0</v>
      </c>
      <c r="Y266" s="298">
        <v>0</v>
      </c>
      <c r="Z266" s="298">
        <v>0</v>
      </c>
      <c r="AA266" s="298"/>
      <c r="AB266" s="298"/>
      <c r="AC266" s="298"/>
      <c r="AD266" s="298"/>
      <c r="AE266" s="298"/>
      <c r="AF266" s="298"/>
      <c r="AG266" s="298"/>
      <c r="AH266" s="298"/>
      <c r="AI266" s="313"/>
      <c r="AJ266" s="313"/>
      <c r="AK266" s="313"/>
      <c r="AL266" s="298"/>
      <c r="AM266" s="298">
        <v>7.2134184397069007E-2</v>
      </c>
      <c r="AN266" s="298"/>
      <c r="AO266" s="298"/>
      <c r="AP266" s="298"/>
      <c r="AQ266" s="298"/>
    </row>
    <row r="267" spans="1:43" x14ac:dyDescent="0.25">
      <c r="A267" s="326"/>
      <c r="B267" s="321"/>
      <c r="C267" s="301">
        <v>3.9394999999999998</v>
      </c>
      <c r="D267" s="301"/>
      <c r="E267" s="301">
        <v>7.1946842427196997E-2</v>
      </c>
      <c r="F267" s="301">
        <v>0</v>
      </c>
      <c r="G267" s="301">
        <v>6.4976639000000003E-2</v>
      </c>
      <c r="H267" s="301">
        <v>0</v>
      </c>
      <c r="I267" s="301">
        <v>0</v>
      </c>
      <c r="J267" s="301">
        <v>0.17</v>
      </c>
      <c r="K267" s="301">
        <v>0</v>
      </c>
      <c r="L267" s="301">
        <v>0</v>
      </c>
      <c r="M267" s="301">
        <v>0</v>
      </c>
      <c r="N267" s="301">
        <v>0</v>
      </c>
      <c r="O267" s="301">
        <v>0</v>
      </c>
      <c r="P267" s="298">
        <v>0</v>
      </c>
      <c r="Q267" s="298">
        <v>0</v>
      </c>
      <c r="R267" s="298">
        <v>7.3000000000000001E-3</v>
      </c>
      <c r="S267" s="298">
        <v>0</v>
      </c>
      <c r="T267" s="298">
        <v>0</v>
      </c>
      <c r="U267" s="298">
        <v>0.37</v>
      </c>
      <c r="V267" s="298">
        <v>0</v>
      </c>
      <c r="W267" s="298">
        <v>0</v>
      </c>
      <c r="X267" s="298">
        <v>0</v>
      </c>
      <c r="Y267" s="298">
        <v>0</v>
      </c>
      <c r="Z267" s="298">
        <v>0</v>
      </c>
      <c r="AA267" s="298"/>
      <c r="AB267" s="298"/>
      <c r="AC267" s="298"/>
      <c r="AD267" s="298"/>
      <c r="AE267" s="298"/>
      <c r="AF267" s="298"/>
      <c r="AG267" s="298"/>
      <c r="AH267" s="298"/>
      <c r="AI267" s="313"/>
      <c r="AJ267" s="313"/>
      <c r="AK267" s="313"/>
      <c r="AL267" s="298"/>
      <c r="AM267" s="298">
        <v>7.2132626618354997E-2</v>
      </c>
      <c r="AN267" s="298"/>
      <c r="AO267" s="298"/>
      <c r="AP267" s="298"/>
      <c r="AQ267" s="298"/>
    </row>
    <row r="268" spans="1:43" x14ac:dyDescent="0.25">
      <c r="B268" s="321"/>
      <c r="C268" s="301">
        <v>3.9575</v>
      </c>
      <c r="D268" s="301"/>
      <c r="E268" s="301">
        <v>7.1947335897508999E-2</v>
      </c>
      <c r="F268" s="301">
        <v>0</v>
      </c>
      <c r="G268" s="301">
        <v>6.4968124000000002E-2</v>
      </c>
      <c r="H268" s="301">
        <v>0</v>
      </c>
      <c r="I268" s="301">
        <v>0</v>
      </c>
      <c r="J268" s="301">
        <v>0.155</v>
      </c>
      <c r="K268" s="301">
        <v>0</v>
      </c>
      <c r="L268" s="301">
        <v>0</v>
      </c>
      <c r="M268" s="301">
        <v>0</v>
      </c>
      <c r="N268" s="301">
        <v>0</v>
      </c>
      <c r="O268" s="301">
        <v>0</v>
      </c>
      <c r="P268" s="298">
        <v>0</v>
      </c>
      <c r="Q268" s="298">
        <v>0</v>
      </c>
      <c r="R268" s="298">
        <v>7.2500000000000004E-3</v>
      </c>
      <c r="S268" s="298">
        <v>0</v>
      </c>
      <c r="T268" s="298">
        <v>0</v>
      </c>
      <c r="U268" s="298">
        <v>0.2525</v>
      </c>
      <c r="V268" s="298">
        <v>0</v>
      </c>
      <c r="W268" s="298">
        <v>0</v>
      </c>
      <c r="X268" s="298">
        <v>0</v>
      </c>
      <c r="Y268" s="298">
        <v>0</v>
      </c>
      <c r="Z268" s="298">
        <v>0</v>
      </c>
      <c r="AA268" s="298"/>
      <c r="AB268" s="298"/>
      <c r="AC268" s="298"/>
      <c r="AD268" s="298"/>
      <c r="AE268" s="298"/>
      <c r="AF268" s="298"/>
      <c r="AG268" s="298"/>
      <c r="AH268" s="298"/>
      <c r="AI268" s="313"/>
      <c r="AJ268" s="313"/>
      <c r="AK268" s="313"/>
      <c r="AL268" s="298"/>
      <c r="AM268" s="298">
        <v>7.2131119090568005E-2</v>
      </c>
      <c r="AN268" s="298"/>
      <c r="AO268" s="298"/>
      <c r="AP268" s="298"/>
      <c r="AQ268" s="298"/>
    </row>
    <row r="269" spans="1:43" x14ac:dyDescent="0.25">
      <c r="B269" s="321"/>
      <c r="C269" s="301">
        <v>3.9845000000000002</v>
      </c>
      <c r="D269" s="301"/>
      <c r="E269" s="301">
        <v>7.1947845816831002E-2</v>
      </c>
      <c r="F269" s="301">
        <v>0</v>
      </c>
      <c r="G269" s="301">
        <v>6.4968124000000002E-2</v>
      </c>
      <c r="H269" s="301">
        <v>0</v>
      </c>
      <c r="I269" s="301">
        <v>0</v>
      </c>
      <c r="J269" s="301">
        <v>0.155</v>
      </c>
      <c r="K269" s="301">
        <v>0</v>
      </c>
      <c r="L269" s="301">
        <v>0</v>
      </c>
      <c r="M269" s="301">
        <v>0</v>
      </c>
      <c r="N269" s="301">
        <v>0</v>
      </c>
      <c r="O269" s="301">
        <v>0</v>
      </c>
      <c r="P269" s="298">
        <v>0</v>
      </c>
      <c r="Q269" s="298">
        <v>0</v>
      </c>
      <c r="R269" s="298">
        <v>7.2500000000000004E-3</v>
      </c>
      <c r="S269" s="298">
        <v>0</v>
      </c>
      <c r="T269" s="298">
        <v>0</v>
      </c>
      <c r="U269" s="298">
        <v>0.2525</v>
      </c>
      <c r="V269" s="298">
        <v>0</v>
      </c>
      <c r="W269" s="298">
        <v>0</v>
      </c>
      <c r="X269" s="298">
        <v>0</v>
      </c>
      <c r="Y269" s="298">
        <v>0</v>
      </c>
      <c r="Z269" s="298">
        <v>0</v>
      </c>
      <c r="AA269" s="298"/>
      <c r="AB269" s="298"/>
      <c r="AC269" s="298"/>
      <c r="AD269" s="298"/>
      <c r="AE269" s="298"/>
      <c r="AF269" s="298"/>
      <c r="AG269" s="298"/>
      <c r="AH269" s="298"/>
      <c r="AI269" s="313"/>
      <c r="AJ269" s="313"/>
      <c r="AK269" s="313"/>
      <c r="AL269" s="298"/>
      <c r="AM269" s="298">
        <v>7.2129561311854995E-2</v>
      </c>
      <c r="AN269" s="298"/>
      <c r="AO269" s="298"/>
      <c r="AP269" s="298"/>
      <c r="AQ269" s="298"/>
    </row>
    <row r="270" spans="1:43" x14ac:dyDescent="0.25">
      <c r="B270" s="321"/>
      <c r="C270" s="301">
        <v>3.9954999999999998</v>
      </c>
      <c r="D270" s="301"/>
      <c r="E270" s="301">
        <v>7.1948339287144003E-2</v>
      </c>
      <c r="F270" s="301">
        <v>0</v>
      </c>
      <c r="G270" s="301">
        <v>6.4968124000000002E-2</v>
      </c>
      <c r="H270" s="301">
        <v>0</v>
      </c>
      <c r="I270" s="301">
        <v>0</v>
      </c>
      <c r="J270" s="301">
        <v>0.155</v>
      </c>
      <c r="K270" s="301">
        <v>0</v>
      </c>
      <c r="L270" s="301">
        <v>0</v>
      </c>
      <c r="M270" s="301">
        <v>0</v>
      </c>
      <c r="N270" s="301">
        <v>0</v>
      </c>
      <c r="O270" s="301">
        <v>0</v>
      </c>
      <c r="P270" s="298">
        <v>0</v>
      </c>
      <c r="Q270" s="298">
        <v>0</v>
      </c>
      <c r="R270" s="298">
        <v>7.2500000000000004E-3</v>
      </c>
      <c r="S270" s="298">
        <v>0</v>
      </c>
      <c r="T270" s="298">
        <v>0</v>
      </c>
      <c r="U270" s="298">
        <v>0.25750000000000001</v>
      </c>
      <c r="V270" s="298">
        <v>0</v>
      </c>
      <c r="W270" s="298">
        <v>0</v>
      </c>
      <c r="X270" s="298">
        <v>0</v>
      </c>
      <c r="Y270" s="298">
        <v>0</v>
      </c>
      <c r="Z270" s="298">
        <v>0</v>
      </c>
      <c r="AA270" s="298"/>
      <c r="AB270" s="298"/>
      <c r="AC270" s="298"/>
      <c r="AD270" s="298"/>
      <c r="AE270" s="298"/>
      <c r="AF270" s="298"/>
      <c r="AG270" s="298"/>
      <c r="AH270" s="298"/>
      <c r="AI270" s="313"/>
      <c r="AJ270" s="313"/>
      <c r="AK270" s="313"/>
      <c r="AL270" s="298"/>
      <c r="AM270" s="298">
        <v>7.2128053784069002E-2</v>
      </c>
      <c r="AN270" s="298"/>
      <c r="AO270" s="298"/>
      <c r="AP270" s="298"/>
      <c r="AQ270" s="298"/>
    </row>
    <row r="271" spans="1:43" x14ac:dyDescent="0.25">
      <c r="B271" s="321"/>
      <c r="C271" s="301">
        <v>4.0045000000000002</v>
      </c>
      <c r="D271" s="301"/>
      <c r="E271" s="301">
        <v>7.1948849206466006E-2</v>
      </c>
      <c r="F271" s="301">
        <v>0</v>
      </c>
      <c r="G271" s="301">
        <v>6.4968124000000002E-2</v>
      </c>
      <c r="H271" s="301">
        <v>0</v>
      </c>
      <c r="I271" s="301">
        <v>0</v>
      </c>
      <c r="J271" s="301">
        <v>0.155</v>
      </c>
      <c r="K271" s="301">
        <v>0</v>
      </c>
      <c r="L271" s="301">
        <v>0</v>
      </c>
      <c r="M271" s="301">
        <v>0</v>
      </c>
      <c r="N271" s="301">
        <v>0</v>
      </c>
      <c r="O271" s="301">
        <v>0</v>
      </c>
      <c r="P271" s="298">
        <v>0</v>
      </c>
      <c r="Q271" s="298">
        <v>0</v>
      </c>
      <c r="R271" s="298">
        <v>9.75E-3</v>
      </c>
      <c r="S271" s="298">
        <v>0</v>
      </c>
      <c r="T271" s="298">
        <v>0</v>
      </c>
      <c r="U271" s="298">
        <v>0.25750000000000001</v>
      </c>
      <c r="V271" s="298">
        <v>0</v>
      </c>
      <c r="W271" s="298">
        <v>0</v>
      </c>
      <c r="X271" s="298">
        <v>0</v>
      </c>
      <c r="Y271" s="298">
        <v>0</v>
      </c>
      <c r="Z271" s="298">
        <v>0</v>
      </c>
      <c r="AA271" s="298"/>
      <c r="AB271" s="298"/>
      <c r="AC271" s="298"/>
      <c r="AD271" s="298"/>
      <c r="AE271" s="298"/>
      <c r="AF271" s="298"/>
      <c r="AG271" s="298"/>
      <c r="AH271" s="298"/>
      <c r="AI271" s="313"/>
      <c r="AJ271" s="313"/>
      <c r="AK271" s="313"/>
      <c r="AL271" s="298"/>
      <c r="AM271" s="298">
        <v>7.2126496005358004E-2</v>
      </c>
      <c r="AN271" s="298"/>
      <c r="AO271" s="298"/>
      <c r="AP271" s="298"/>
      <c r="AQ271" s="298"/>
    </row>
    <row r="272" spans="1:43" x14ac:dyDescent="0.25">
      <c r="B272" s="321"/>
      <c r="C272" s="301">
        <v>3.9935</v>
      </c>
      <c r="D272" s="301"/>
      <c r="E272" s="301">
        <v>7.1949359125788995E-2</v>
      </c>
      <c r="F272" s="301">
        <v>0</v>
      </c>
      <c r="G272" s="301">
        <v>6.4968124000000002E-2</v>
      </c>
      <c r="H272" s="301">
        <v>0</v>
      </c>
      <c r="I272" s="301">
        <v>0</v>
      </c>
      <c r="J272" s="301">
        <v>0.155</v>
      </c>
      <c r="K272" s="301">
        <v>0</v>
      </c>
      <c r="L272" s="301">
        <v>0</v>
      </c>
      <c r="M272" s="301">
        <v>0</v>
      </c>
      <c r="N272" s="301">
        <v>0</v>
      </c>
      <c r="O272" s="301">
        <v>0</v>
      </c>
      <c r="P272" s="298">
        <v>0</v>
      </c>
      <c r="Q272" s="298">
        <v>0</v>
      </c>
      <c r="R272" s="298">
        <v>9.75E-3</v>
      </c>
      <c r="S272" s="298">
        <v>0</v>
      </c>
      <c r="T272" s="298">
        <v>0</v>
      </c>
      <c r="U272" s="298">
        <v>0.2525</v>
      </c>
      <c r="V272" s="298">
        <v>0</v>
      </c>
      <c r="W272" s="298">
        <v>0</v>
      </c>
      <c r="X272" s="298">
        <v>0</v>
      </c>
      <c r="Y272" s="298">
        <v>0</v>
      </c>
      <c r="Z272" s="298">
        <v>0</v>
      </c>
      <c r="AA272" s="298"/>
      <c r="AB272" s="298"/>
      <c r="AC272" s="298"/>
      <c r="AD272" s="298"/>
      <c r="AE272" s="298"/>
      <c r="AF272" s="298"/>
      <c r="AG272" s="298"/>
      <c r="AH272" s="298"/>
      <c r="AI272" s="313"/>
      <c r="AJ272" s="313"/>
      <c r="AK272" s="313"/>
      <c r="AL272" s="298"/>
      <c r="AM272" s="298">
        <v>7.2124938226648005E-2</v>
      </c>
      <c r="AN272" s="298"/>
      <c r="AO272" s="298"/>
      <c r="AP272" s="298"/>
      <c r="AQ272" s="298"/>
    </row>
    <row r="273" spans="1:43" x14ac:dyDescent="0.25">
      <c r="B273" s="321"/>
      <c r="C273" s="301">
        <v>4.0025000000000004</v>
      </c>
      <c r="D273" s="301"/>
      <c r="E273" s="301">
        <v>7.1949852596100997E-2</v>
      </c>
      <c r="F273" s="301">
        <v>0</v>
      </c>
      <c r="G273" s="301">
        <v>6.4968124000000002E-2</v>
      </c>
      <c r="H273" s="301">
        <v>0</v>
      </c>
      <c r="I273" s="301">
        <v>0</v>
      </c>
      <c r="J273" s="301">
        <v>0.1575</v>
      </c>
      <c r="K273" s="301">
        <v>0</v>
      </c>
      <c r="L273" s="301">
        <v>0</v>
      </c>
      <c r="M273" s="301">
        <v>0</v>
      </c>
      <c r="N273" s="301">
        <v>0</v>
      </c>
      <c r="O273" s="301">
        <v>0</v>
      </c>
      <c r="P273" s="298">
        <v>0</v>
      </c>
      <c r="Q273" s="298">
        <v>0</v>
      </c>
      <c r="R273" s="298">
        <v>-1.0999999999999999E-2</v>
      </c>
      <c r="S273" s="298">
        <v>0</v>
      </c>
      <c r="T273" s="298">
        <v>0</v>
      </c>
      <c r="U273" s="298">
        <v>0.255</v>
      </c>
      <c r="V273" s="298">
        <v>0</v>
      </c>
      <c r="W273" s="298">
        <v>0</v>
      </c>
      <c r="X273" s="298">
        <v>0</v>
      </c>
      <c r="Y273" s="298">
        <v>0</v>
      </c>
      <c r="Z273" s="298">
        <v>0</v>
      </c>
      <c r="AA273" s="298"/>
      <c r="AB273" s="298"/>
      <c r="AC273" s="298"/>
      <c r="AD273" s="298"/>
      <c r="AE273" s="298"/>
      <c r="AF273" s="298"/>
      <c r="AG273" s="298"/>
      <c r="AH273" s="298"/>
      <c r="AI273" s="313"/>
      <c r="AJ273" s="313"/>
      <c r="AK273" s="313"/>
      <c r="AL273" s="298"/>
      <c r="AM273" s="298">
        <v>7.2123430698863997E-2</v>
      </c>
      <c r="AN273" s="298"/>
      <c r="AO273" s="298"/>
      <c r="AP273" s="298"/>
      <c r="AQ273" s="298"/>
    </row>
    <row r="274" spans="1:43" x14ac:dyDescent="0.25">
      <c r="B274" s="321"/>
      <c r="C274" s="301">
        <v>4.0484999999999998</v>
      </c>
      <c r="D274" s="301"/>
      <c r="E274" s="301">
        <v>7.1950362515423999E-2</v>
      </c>
      <c r="F274" s="301">
        <v>0</v>
      </c>
      <c r="G274" s="301">
        <v>-1.4988713000000001E-2</v>
      </c>
      <c r="H274" s="301">
        <v>0</v>
      </c>
      <c r="I274" s="301">
        <v>0</v>
      </c>
      <c r="J274" s="301">
        <v>0.24</v>
      </c>
      <c r="K274" s="301">
        <v>0</v>
      </c>
      <c r="L274" s="301">
        <v>0</v>
      </c>
      <c r="M274" s="301">
        <v>0</v>
      </c>
      <c r="N274" s="301">
        <v>0</v>
      </c>
      <c r="O274" s="301">
        <v>0</v>
      </c>
      <c r="P274" s="298">
        <v>0</v>
      </c>
      <c r="Q274" s="298">
        <v>0</v>
      </c>
      <c r="R274" s="298">
        <v>-0.01</v>
      </c>
      <c r="S274" s="298">
        <v>0</v>
      </c>
      <c r="T274" s="298">
        <v>0</v>
      </c>
      <c r="U274" s="298">
        <v>0.72499999999999998</v>
      </c>
      <c r="V274" s="298">
        <v>0</v>
      </c>
      <c r="W274" s="298">
        <v>0</v>
      </c>
      <c r="X274" s="298">
        <v>0</v>
      </c>
      <c r="Y274" s="298">
        <v>0</v>
      </c>
      <c r="Z274" s="298">
        <v>0</v>
      </c>
      <c r="AA274" s="298"/>
      <c r="AB274" s="298"/>
      <c r="AC274" s="298"/>
      <c r="AD274" s="298"/>
      <c r="AE274" s="298"/>
      <c r="AF274" s="298"/>
      <c r="AG274" s="298"/>
      <c r="AH274" s="298"/>
      <c r="AI274" s="313"/>
      <c r="AJ274" s="313"/>
      <c r="AK274" s="313"/>
      <c r="AL274" s="298"/>
      <c r="AM274" s="298">
        <v>7.2121872920155997E-2</v>
      </c>
      <c r="AN274" s="298"/>
      <c r="AO274" s="298"/>
      <c r="AP274" s="298"/>
      <c r="AQ274" s="298"/>
    </row>
    <row r="275" spans="1:43" x14ac:dyDescent="0.25">
      <c r="A275" s="325"/>
      <c r="B275" s="321"/>
      <c r="C275" s="301">
        <v>4.1204999999999998</v>
      </c>
      <c r="D275" s="301"/>
      <c r="E275" s="301">
        <v>7.1950855985736001E-2</v>
      </c>
      <c r="F275" s="301">
        <v>0</v>
      </c>
      <c r="G275" s="301">
        <v>-2.9951938000000001E-2</v>
      </c>
      <c r="H275" s="301">
        <v>0</v>
      </c>
      <c r="I275" s="301">
        <v>0</v>
      </c>
      <c r="J275" s="301">
        <v>0.29499999999999998</v>
      </c>
      <c r="K275" s="301">
        <v>0</v>
      </c>
      <c r="L275" s="301">
        <v>0</v>
      </c>
      <c r="M275" s="301">
        <v>0</v>
      </c>
      <c r="N275" s="301">
        <v>0</v>
      </c>
      <c r="O275" s="301">
        <v>0</v>
      </c>
      <c r="P275" s="298">
        <v>0</v>
      </c>
      <c r="Q275" s="298">
        <v>0</v>
      </c>
      <c r="R275" s="298">
        <v>-0.01</v>
      </c>
      <c r="S275" s="298">
        <v>0</v>
      </c>
      <c r="T275" s="298">
        <v>0</v>
      </c>
      <c r="U275" s="298">
        <v>1.0449999999999999</v>
      </c>
      <c r="V275" s="298">
        <v>0</v>
      </c>
      <c r="W275" s="298">
        <v>0</v>
      </c>
      <c r="X275" s="298">
        <v>0</v>
      </c>
      <c r="Y275" s="298">
        <v>0</v>
      </c>
      <c r="Z275" s="298">
        <v>0</v>
      </c>
      <c r="AA275" s="298"/>
      <c r="AB275" s="298"/>
      <c r="AC275" s="298"/>
      <c r="AD275" s="298"/>
      <c r="AE275" s="298"/>
      <c r="AF275" s="298"/>
      <c r="AG275" s="298"/>
      <c r="AH275" s="298"/>
      <c r="AI275" s="313"/>
      <c r="AJ275" s="313"/>
      <c r="AK275" s="313"/>
      <c r="AL275" s="298"/>
      <c r="AM275" s="298">
        <v>7.2120365392374999E-2</v>
      </c>
      <c r="AN275" s="298"/>
      <c r="AO275" s="298"/>
      <c r="AP275" s="298"/>
      <c r="AQ275" s="298"/>
    </row>
    <row r="276" spans="1:43" x14ac:dyDescent="0.25">
      <c r="A276" s="326"/>
      <c r="B276" s="321"/>
      <c r="C276" s="301">
        <v>4.1595000000000004</v>
      </c>
      <c r="D276" s="301"/>
      <c r="E276" s="301">
        <v>7.1951365905059003E-2</v>
      </c>
      <c r="F276" s="301">
        <v>0</v>
      </c>
      <c r="G276" s="301">
        <v>-2.4955183999999998E-2</v>
      </c>
      <c r="H276" s="301">
        <v>0</v>
      </c>
      <c r="I276" s="301">
        <v>0</v>
      </c>
      <c r="J276" s="301">
        <v>0.34250000000000003</v>
      </c>
      <c r="K276" s="301">
        <v>0</v>
      </c>
      <c r="L276" s="301">
        <v>0</v>
      </c>
      <c r="M276" s="301">
        <v>0</v>
      </c>
      <c r="N276" s="301">
        <v>0</v>
      </c>
      <c r="O276" s="301">
        <v>0</v>
      </c>
      <c r="P276" s="298">
        <v>0</v>
      </c>
      <c r="Q276" s="298">
        <v>0</v>
      </c>
      <c r="R276" s="298">
        <v>0</v>
      </c>
      <c r="S276" s="298">
        <v>0</v>
      </c>
      <c r="T276" s="298">
        <v>0</v>
      </c>
      <c r="U276" s="298">
        <v>1.52</v>
      </c>
      <c r="V276" s="298">
        <v>0</v>
      </c>
      <c r="W276" s="298">
        <v>0</v>
      </c>
      <c r="X276" s="298">
        <v>0</v>
      </c>
      <c r="Y276" s="298">
        <v>0</v>
      </c>
      <c r="Z276" s="298">
        <v>0</v>
      </c>
      <c r="AA276" s="298"/>
      <c r="AB276" s="298"/>
      <c r="AC276" s="298"/>
      <c r="AD276" s="298"/>
      <c r="AE276" s="298"/>
      <c r="AF276" s="298"/>
      <c r="AG276" s="298"/>
      <c r="AH276" s="298"/>
      <c r="AI276" s="313"/>
      <c r="AJ276" s="313"/>
      <c r="AK276" s="313"/>
      <c r="AL276" s="298"/>
      <c r="AM276" s="298">
        <v>7.2118807613666999E-2</v>
      </c>
      <c r="AN276" s="298"/>
      <c r="AO276" s="298"/>
      <c r="AP276" s="298"/>
      <c r="AQ276" s="298"/>
    </row>
    <row r="277" spans="1:43" x14ac:dyDescent="0.25">
      <c r="A277" s="326"/>
      <c r="B277" s="321"/>
      <c r="C277" s="301">
        <v>4.1224999999999996</v>
      </c>
      <c r="D277" s="301"/>
      <c r="E277" s="301">
        <v>7.1951875824382006E-2</v>
      </c>
      <c r="F277" s="301">
        <v>0</v>
      </c>
      <c r="G277" s="301">
        <v>4.2577000000000002E-5</v>
      </c>
      <c r="H277" s="301">
        <v>0</v>
      </c>
      <c r="I277" s="301">
        <v>0</v>
      </c>
      <c r="J277" s="301">
        <v>0.33750000000000002</v>
      </c>
      <c r="K277" s="301">
        <v>0</v>
      </c>
      <c r="L277" s="301">
        <v>0</v>
      </c>
      <c r="M277" s="301">
        <v>0</v>
      </c>
      <c r="N277" s="301">
        <v>0</v>
      </c>
      <c r="O277" s="301">
        <v>0</v>
      </c>
      <c r="P277" s="298">
        <v>0</v>
      </c>
      <c r="Q277" s="298">
        <v>0</v>
      </c>
      <c r="R277" s="298">
        <v>0</v>
      </c>
      <c r="S277" s="298">
        <v>0</v>
      </c>
      <c r="T277" s="298">
        <v>0</v>
      </c>
      <c r="U277" s="298">
        <v>1.4</v>
      </c>
      <c r="V277" s="298">
        <v>0</v>
      </c>
      <c r="W277" s="298">
        <v>0</v>
      </c>
      <c r="X277" s="298">
        <v>0</v>
      </c>
      <c r="Y277" s="298">
        <v>0</v>
      </c>
      <c r="Z277" s="298">
        <v>0</v>
      </c>
      <c r="AA277" s="298"/>
      <c r="AB277" s="298"/>
      <c r="AC277" s="298"/>
      <c r="AD277" s="298"/>
      <c r="AE277" s="298"/>
      <c r="AF277" s="298"/>
      <c r="AG277" s="298"/>
      <c r="AH277" s="298"/>
      <c r="AI277" s="313"/>
      <c r="AJ277" s="313"/>
      <c r="AK277" s="313"/>
      <c r="AL277" s="298"/>
      <c r="AM277" s="298">
        <v>7.2117249834960998E-2</v>
      </c>
      <c r="AN277" s="298"/>
      <c r="AO277" s="298"/>
      <c r="AP277" s="298"/>
      <c r="AQ277" s="298"/>
    </row>
    <row r="278" spans="1:43" x14ac:dyDescent="0.25">
      <c r="A278" s="326"/>
      <c r="B278" s="321"/>
      <c r="C278" s="301">
        <v>4.0644999999999998</v>
      </c>
      <c r="D278" s="301"/>
      <c r="E278" s="301">
        <v>7.1952336396674005E-2</v>
      </c>
      <c r="F278" s="301">
        <v>0</v>
      </c>
      <c r="G278" s="301">
        <v>1.0042577E-2</v>
      </c>
      <c r="H278" s="301">
        <v>0</v>
      </c>
      <c r="I278" s="301">
        <v>0</v>
      </c>
      <c r="J278" s="301">
        <v>0.26</v>
      </c>
      <c r="K278" s="301">
        <v>0</v>
      </c>
      <c r="L278" s="301">
        <v>0</v>
      </c>
      <c r="M278" s="301">
        <v>0</v>
      </c>
      <c r="N278" s="301">
        <v>0</v>
      </c>
      <c r="O278" s="301">
        <v>0</v>
      </c>
      <c r="P278" s="298">
        <v>0</v>
      </c>
      <c r="Q278" s="298">
        <v>0</v>
      </c>
      <c r="R278" s="298">
        <v>0</v>
      </c>
      <c r="S278" s="298">
        <v>0</v>
      </c>
      <c r="T278" s="298">
        <v>0</v>
      </c>
      <c r="U278" s="298">
        <v>0.88</v>
      </c>
      <c r="V278" s="298">
        <v>0</v>
      </c>
      <c r="W278" s="298">
        <v>0</v>
      </c>
      <c r="X278" s="298">
        <v>0</v>
      </c>
      <c r="Y278" s="298">
        <v>0</v>
      </c>
      <c r="Z278" s="298">
        <v>0</v>
      </c>
      <c r="AA278" s="298"/>
      <c r="AB278" s="298"/>
      <c r="AC278" s="298"/>
      <c r="AD278" s="298"/>
      <c r="AE278" s="298"/>
      <c r="AF278" s="298"/>
      <c r="AG278" s="298"/>
      <c r="AH278" s="298"/>
      <c r="AI278" s="313"/>
      <c r="AJ278" s="313"/>
      <c r="AK278" s="313"/>
      <c r="AL278" s="298"/>
      <c r="AM278" s="298">
        <v>7.2115842809034006E-2</v>
      </c>
      <c r="AN278" s="298"/>
      <c r="AO278" s="298"/>
      <c r="AP278" s="298"/>
      <c r="AQ278" s="298"/>
    </row>
    <row r="279" spans="1:43" x14ac:dyDescent="0.25">
      <c r="A279" s="326"/>
      <c r="B279" s="321"/>
      <c r="C279" s="301">
        <v>4.0214999999999996</v>
      </c>
      <c r="D279" s="301"/>
      <c r="E279" s="301">
        <v>7.1952846316000005E-2</v>
      </c>
      <c r="F279" s="301">
        <v>0</v>
      </c>
      <c r="G279" s="301">
        <v>6.9976638999999993E-2</v>
      </c>
      <c r="H279" s="301">
        <v>0</v>
      </c>
      <c r="I279" s="301">
        <v>0</v>
      </c>
      <c r="J279" s="301">
        <v>0.17</v>
      </c>
      <c r="K279" s="301">
        <v>0</v>
      </c>
      <c r="L279" s="301">
        <v>0</v>
      </c>
      <c r="M279" s="301">
        <v>0</v>
      </c>
      <c r="N279" s="301">
        <v>0</v>
      </c>
      <c r="O279" s="301">
        <v>0</v>
      </c>
      <c r="P279" s="298">
        <v>0</v>
      </c>
      <c r="Q279" s="298">
        <v>0</v>
      </c>
      <c r="R279" s="298">
        <v>0</v>
      </c>
      <c r="S279" s="298">
        <v>0</v>
      </c>
      <c r="T279" s="298">
        <v>0</v>
      </c>
      <c r="U279" s="298">
        <v>0.37</v>
      </c>
      <c r="V279" s="298">
        <v>0</v>
      </c>
      <c r="W279" s="298">
        <v>0</v>
      </c>
      <c r="X279" s="298">
        <v>0</v>
      </c>
      <c r="Y279" s="298">
        <v>0</v>
      </c>
      <c r="Z279" s="298">
        <v>0</v>
      </c>
      <c r="AA279" s="298"/>
      <c r="AB279" s="298"/>
      <c r="AC279" s="298"/>
      <c r="AD279" s="298"/>
      <c r="AE279" s="298"/>
      <c r="AF279" s="298"/>
      <c r="AG279" s="298"/>
      <c r="AH279" s="298"/>
      <c r="AI279" s="313"/>
      <c r="AJ279" s="313"/>
      <c r="AK279" s="313"/>
      <c r="AL279" s="298"/>
      <c r="AM279" s="298">
        <v>7.2114285030329003E-2</v>
      </c>
      <c r="AN279" s="298"/>
      <c r="AO279" s="298"/>
      <c r="AP279" s="298"/>
      <c r="AQ279" s="298"/>
    </row>
    <row r="280" spans="1:43" x14ac:dyDescent="0.25">
      <c r="A280" s="326"/>
      <c r="B280" s="321"/>
      <c r="C280" s="301">
        <v>4.0404999999999998</v>
      </c>
      <c r="D280" s="301"/>
      <c r="E280" s="301">
        <v>7.1953339786309994E-2</v>
      </c>
      <c r="F280" s="301">
        <v>0</v>
      </c>
      <c r="G280" s="301">
        <v>6.9968124000000007E-2</v>
      </c>
      <c r="H280" s="301">
        <v>0</v>
      </c>
      <c r="I280" s="301">
        <v>0</v>
      </c>
      <c r="J280" s="301">
        <v>0.155</v>
      </c>
      <c r="K280" s="301">
        <v>0</v>
      </c>
      <c r="L280" s="301">
        <v>0</v>
      </c>
      <c r="M280" s="301">
        <v>0</v>
      </c>
      <c r="N280" s="301">
        <v>0</v>
      </c>
      <c r="O280" s="301">
        <v>0</v>
      </c>
      <c r="P280" s="298">
        <v>0</v>
      </c>
      <c r="Q280" s="298">
        <v>0</v>
      </c>
      <c r="R280" s="298">
        <v>0</v>
      </c>
      <c r="S280" s="298">
        <v>0</v>
      </c>
      <c r="T280" s="298">
        <v>0</v>
      </c>
      <c r="U280" s="298">
        <v>0.2525</v>
      </c>
      <c r="V280" s="298">
        <v>0</v>
      </c>
      <c r="W280" s="298">
        <v>0</v>
      </c>
      <c r="X280" s="298">
        <v>0</v>
      </c>
      <c r="Y280" s="298">
        <v>0</v>
      </c>
      <c r="Z280" s="298">
        <v>0</v>
      </c>
      <c r="AA280" s="298"/>
      <c r="AB280" s="298"/>
      <c r="AC280" s="298"/>
      <c r="AD280" s="298"/>
      <c r="AE280" s="298"/>
      <c r="AF280" s="298"/>
      <c r="AG280" s="298"/>
      <c r="AH280" s="298"/>
      <c r="AI280" s="313"/>
      <c r="AJ280" s="313"/>
      <c r="AK280" s="313"/>
      <c r="AL280" s="298"/>
      <c r="AM280" s="298">
        <v>7.2112777502551004E-2</v>
      </c>
      <c r="AN280" s="298"/>
      <c r="AO280" s="298"/>
      <c r="AP280" s="298"/>
      <c r="AQ280" s="298"/>
    </row>
    <row r="281" spans="1:43" x14ac:dyDescent="0.25">
      <c r="A281" s="326"/>
      <c r="B281" s="321"/>
      <c r="C281" s="301">
        <v>4.0685000000000002</v>
      </c>
      <c r="D281" s="301"/>
      <c r="E281" s="301">
        <v>7.1953849705632997E-2</v>
      </c>
      <c r="F281" s="301">
        <v>0</v>
      </c>
      <c r="G281" s="301">
        <v>6.9968124000000007E-2</v>
      </c>
      <c r="H281" s="301">
        <v>0</v>
      </c>
      <c r="I281" s="301">
        <v>0</v>
      </c>
      <c r="J281" s="301">
        <v>0.155</v>
      </c>
      <c r="K281" s="301">
        <v>0</v>
      </c>
      <c r="L281" s="301">
        <v>0</v>
      </c>
      <c r="M281" s="301">
        <v>0</v>
      </c>
      <c r="N281" s="301">
        <v>0</v>
      </c>
      <c r="O281" s="301">
        <v>0</v>
      </c>
      <c r="P281" s="298">
        <v>0</v>
      </c>
      <c r="Q281" s="298">
        <v>0</v>
      </c>
      <c r="R281" s="298">
        <v>0</v>
      </c>
      <c r="S281" s="298">
        <v>0</v>
      </c>
      <c r="T281" s="298">
        <v>0</v>
      </c>
      <c r="U281" s="298">
        <v>0.2525</v>
      </c>
      <c r="V281" s="298">
        <v>0</v>
      </c>
      <c r="W281" s="298">
        <v>0</v>
      </c>
      <c r="X281" s="298">
        <v>0</v>
      </c>
      <c r="Y281" s="298">
        <v>0</v>
      </c>
      <c r="Z281" s="298">
        <v>0</v>
      </c>
      <c r="AA281" s="298"/>
      <c r="AB281" s="298"/>
      <c r="AC281" s="298"/>
      <c r="AD281" s="298"/>
      <c r="AE281" s="298"/>
      <c r="AF281" s="298"/>
      <c r="AG281" s="298"/>
      <c r="AH281" s="298"/>
      <c r="AI281" s="313"/>
      <c r="AJ281" s="313"/>
      <c r="AK281" s="313"/>
      <c r="AL281" s="298"/>
      <c r="AM281" s="298">
        <v>7.2111219723848E-2</v>
      </c>
      <c r="AN281" s="298"/>
      <c r="AO281" s="298"/>
      <c r="AP281" s="298"/>
      <c r="AQ281" s="298"/>
    </row>
    <row r="282" spans="1:43" x14ac:dyDescent="0.25">
      <c r="A282" s="326"/>
      <c r="B282" s="321"/>
      <c r="C282" s="301">
        <v>4.0795000000000003</v>
      </c>
      <c r="D282" s="301"/>
      <c r="E282" s="301">
        <v>7.1954343175946997E-2</v>
      </c>
      <c r="F282" s="301">
        <v>0</v>
      </c>
      <c r="G282" s="301">
        <v>6.9968124000000007E-2</v>
      </c>
      <c r="H282" s="301">
        <v>0</v>
      </c>
      <c r="I282" s="301">
        <v>0</v>
      </c>
      <c r="J282" s="301">
        <v>0.155</v>
      </c>
      <c r="K282" s="301">
        <v>0</v>
      </c>
      <c r="L282" s="301">
        <v>0</v>
      </c>
      <c r="M282" s="301">
        <v>0</v>
      </c>
      <c r="N282" s="301">
        <v>0</v>
      </c>
      <c r="O282" s="301">
        <v>0</v>
      </c>
      <c r="P282" s="298">
        <v>0</v>
      </c>
      <c r="Q282" s="298">
        <v>0</v>
      </c>
      <c r="R282" s="298">
        <v>0</v>
      </c>
      <c r="S282" s="298">
        <v>0</v>
      </c>
      <c r="T282" s="298">
        <v>0</v>
      </c>
      <c r="U282" s="298">
        <v>0.25750000000000001</v>
      </c>
      <c r="V282" s="298">
        <v>0</v>
      </c>
      <c r="W282" s="298">
        <v>0</v>
      </c>
      <c r="X282" s="298">
        <v>0</v>
      </c>
      <c r="Y282" s="298">
        <v>0</v>
      </c>
      <c r="Z282" s="298">
        <v>0</v>
      </c>
      <c r="AA282" s="298"/>
      <c r="AB282" s="298"/>
      <c r="AC282" s="298"/>
      <c r="AD282" s="298"/>
      <c r="AE282" s="298"/>
      <c r="AF282" s="298"/>
      <c r="AG282" s="298"/>
      <c r="AH282" s="298"/>
      <c r="AI282" s="313"/>
      <c r="AJ282" s="313"/>
      <c r="AK282" s="313"/>
      <c r="AL282" s="298"/>
      <c r="AM282" s="298">
        <v>7.2109712196071998E-2</v>
      </c>
      <c r="AN282" s="298"/>
      <c r="AO282" s="298"/>
      <c r="AP282" s="298"/>
      <c r="AQ282" s="298"/>
    </row>
    <row r="283" spans="1:43" x14ac:dyDescent="0.25">
      <c r="A283" s="326"/>
      <c r="B283" s="321"/>
      <c r="C283" s="301">
        <v>4.0884999999999998</v>
      </c>
      <c r="D283" s="301"/>
      <c r="E283" s="301">
        <v>7.1954853095269999E-2</v>
      </c>
      <c r="F283" s="301">
        <v>0</v>
      </c>
      <c r="G283" s="301">
        <v>6.9968124000000007E-2</v>
      </c>
      <c r="H283" s="301">
        <v>0</v>
      </c>
      <c r="I283" s="301">
        <v>0</v>
      </c>
      <c r="J283" s="301">
        <v>0.155</v>
      </c>
      <c r="K283" s="301">
        <v>0</v>
      </c>
      <c r="L283" s="301">
        <v>0</v>
      </c>
      <c r="M283" s="301">
        <v>0</v>
      </c>
      <c r="N283" s="301">
        <v>0</v>
      </c>
      <c r="O283" s="301">
        <v>0</v>
      </c>
      <c r="P283" s="298">
        <v>0</v>
      </c>
      <c r="Q283" s="298">
        <v>0</v>
      </c>
      <c r="R283" s="298">
        <v>0</v>
      </c>
      <c r="S283" s="298">
        <v>0</v>
      </c>
      <c r="T283" s="298">
        <v>0</v>
      </c>
      <c r="U283" s="298">
        <v>0.25750000000000001</v>
      </c>
      <c r="V283" s="298">
        <v>0</v>
      </c>
      <c r="W283" s="298">
        <v>0</v>
      </c>
      <c r="X283" s="298">
        <v>0</v>
      </c>
      <c r="Y283" s="298">
        <v>0</v>
      </c>
      <c r="Z283" s="298">
        <v>0</v>
      </c>
      <c r="AA283" s="298"/>
      <c r="AB283" s="298"/>
      <c r="AC283" s="298"/>
      <c r="AD283" s="298"/>
      <c r="AE283" s="298"/>
      <c r="AF283" s="298"/>
      <c r="AG283" s="298"/>
      <c r="AH283" s="298"/>
      <c r="AI283" s="313"/>
      <c r="AJ283" s="313"/>
      <c r="AK283" s="313"/>
      <c r="AL283" s="298"/>
      <c r="AM283" s="298">
        <v>7.2108154417369993E-2</v>
      </c>
      <c r="AN283" s="298"/>
      <c r="AO283" s="298"/>
      <c r="AP283" s="298"/>
      <c r="AQ283" s="298"/>
    </row>
    <row r="284" spans="1:43" x14ac:dyDescent="0.25">
      <c r="A284" s="326"/>
      <c r="B284" s="321"/>
      <c r="C284" s="301">
        <v>4.0765000000000002</v>
      </c>
      <c r="D284" s="301"/>
      <c r="E284" s="301">
        <v>7.1955363014594001E-2</v>
      </c>
      <c r="F284" s="301">
        <v>0</v>
      </c>
      <c r="G284" s="301">
        <v>6.9968124000000007E-2</v>
      </c>
      <c r="H284" s="301">
        <v>0</v>
      </c>
      <c r="I284" s="301">
        <v>0</v>
      </c>
      <c r="J284" s="301">
        <v>0.155</v>
      </c>
      <c r="K284" s="301">
        <v>0</v>
      </c>
      <c r="L284" s="301">
        <v>0</v>
      </c>
      <c r="M284" s="301">
        <v>0</v>
      </c>
      <c r="N284" s="301">
        <v>0</v>
      </c>
      <c r="O284" s="301">
        <v>0</v>
      </c>
      <c r="P284" s="298">
        <v>0</v>
      </c>
      <c r="Q284" s="298">
        <v>0</v>
      </c>
      <c r="R284" s="298">
        <v>0</v>
      </c>
      <c r="S284" s="298">
        <v>0</v>
      </c>
      <c r="T284" s="298">
        <v>0</v>
      </c>
      <c r="U284" s="298">
        <v>0.2525</v>
      </c>
      <c r="V284" s="298">
        <v>0</v>
      </c>
      <c r="W284" s="298">
        <v>0</v>
      </c>
      <c r="X284" s="298">
        <v>0</v>
      </c>
      <c r="Y284" s="298">
        <v>0</v>
      </c>
      <c r="Z284" s="298">
        <v>0</v>
      </c>
      <c r="AA284" s="298"/>
      <c r="AB284" s="298"/>
      <c r="AC284" s="298"/>
      <c r="AD284" s="298"/>
      <c r="AE284" s="298"/>
      <c r="AF284" s="298"/>
      <c r="AG284" s="298"/>
      <c r="AH284" s="298"/>
      <c r="AI284" s="313"/>
      <c r="AJ284" s="313"/>
      <c r="AK284" s="313"/>
      <c r="AL284" s="298"/>
      <c r="AM284" s="298">
        <v>7.2106596638669002E-2</v>
      </c>
      <c r="AN284" s="298"/>
      <c r="AO284" s="298"/>
      <c r="AP284" s="298"/>
      <c r="AQ284" s="298"/>
    </row>
    <row r="285" spans="1:43" x14ac:dyDescent="0.25">
      <c r="A285" s="326"/>
      <c r="B285" s="321"/>
      <c r="C285" s="301">
        <v>4.0845000000000002</v>
      </c>
      <c r="D285" s="301"/>
      <c r="E285" s="301">
        <v>7.1955856484907002E-2</v>
      </c>
      <c r="F285" s="301">
        <v>0</v>
      </c>
      <c r="G285" s="301">
        <v>6.9968124000000007E-2</v>
      </c>
      <c r="H285" s="301">
        <v>0</v>
      </c>
      <c r="I285" s="301">
        <v>0</v>
      </c>
      <c r="J285" s="301">
        <v>0.1575</v>
      </c>
      <c r="K285" s="301">
        <v>0</v>
      </c>
      <c r="L285" s="301">
        <v>0</v>
      </c>
      <c r="M285" s="301">
        <v>0</v>
      </c>
      <c r="N285" s="301">
        <v>0</v>
      </c>
      <c r="O285" s="301">
        <v>0</v>
      </c>
      <c r="P285" s="298">
        <v>0</v>
      </c>
      <c r="Q285" s="298">
        <v>0</v>
      </c>
      <c r="R285" s="298">
        <v>0</v>
      </c>
      <c r="S285" s="298">
        <v>0</v>
      </c>
      <c r="T285" s="298">
        <v>0</v>
      </c>
      <c r="U285" s="298">
        <v>0.255</v>
      </c>
      <c r="V285" s="298">
        <v>0</v>
      </c>
      <c r="W285" s="298">
        <v>0</v>
      </c>
      <c r="X285" s="298">
        <v>0</v>
      </c>
      <c r="Y285" s="298">
        <v>0</v>
      </c>
      <c r="Z285" s="298">
        <v>0</v>
      </c>
      <c r="AA285" s="298"/>
      <c r="AB285" s="298"/>
      <c r="AC285" s="298"/>
      <c r="AD285" s="298"/>
      <c r="AE285" s="298"/>
      <c r="AF285" s="298"/>
      <c r="AG285" s="298"/>
      <c r="AH285" s="298"/>
      <c r="AI285" s="313"/>
      <c r="AJ285" s="313"/>
      <c r="AK285" s="313"/>
      <c r="AL285" s="298"/>
      <c r="AM285" s="298">
        <v>7.2105089110894999E-2</v>
      </c>
      <c r="AN285" s="298"/>
      <c r="AO285" s="298"/>
      <c r="AP285" s="298"/>
      <c r="AQ285" s="298"/>
    </row>
    <row r="286" spans="1:43" x14ac:dyDescent="0.25">
      <c r="A286" s="326"/>
      <c r="B286" s="321"/>
      <c r="C286" s="301">
        <v>4.1254999999999997</v>
      </c>
      <c r="D286" s="301"/>
      <c r="E286" s="301">
        <v>7.1956366404231004E-2</v>
      </c>
      <c r="F286" s="301">
        <v>0</v>
      </c>
      <c r="G286" s="301">
        <v>-9.9887129999999998E-3</v>
      </c>
      <c r="H286" s="301">
        <v>0</v>
      </c>
      <c r="I286" s="301">
        <v>0</v>
      </c>
      <c r="J286" s="301">
        <v>0.24</v>
      </c>
      <c r="K286" s="301">
        <v>0</v>
      </c>
      <c r="L286" s="301">
        <v>0</v>
      </c>
      <c r="M286" s="301">
        <v>0</v>
      </c>
      <c r="N286" s="301">
        <v>0</v>
      </c>
      <c r="O286" s="301">
        <v>0</v>
      </c>
      <c r="P286" s="298">
        <v>0</v>
      </c>
      <c r="Q286" s="298">
        <v>0</v>
      </c>
      <c r="R286" s="298">
        <v>0</v>
      </c>
      <c r="S286" s="298">
        <v>0</v>
      </c>
      <c r="T286" s="298">
        <v>0</v>
      </c>
      <c r="U286" s="298">
        <v>0.72499999999999998</v>
      </c>
      <c r="V286" s="298">
        <v>0</v>
      </c>
      <c r="W286" s="298">
        <v>0</v>
      </c>
      <c r="X286" s="298">
        <v>0</v>
      </c>
      <c r="Y286" s="298">
        <v>0</v>
      </c>
      <c r="Z286" s="298">
        <v>0</v>
      </c>
      <c r="AA286" s="298"/>
      <c r="AB286" s="298"/>
      <c r="AC286" s="298"/>
      <c r="AD286" s="298"/>
      <c r="AE286" s="298"/>
      <c r="AF286" s="298"/>
      <c r="AG286" s="298"/>
      <c r="AH286" s="298"/>
      <c r="AI286" s="313"/>
      <c r="AJ286" s="313"/>
      <c r="AK286" s="313"/>
      <c r="AL286" s="298"/>
      <c r="AM286" s="298">
        <v>7.2103531332196005E-2</v>
      </c>
      <c r="AN286" s="298"/>
      <c r="AO286" s="298"/>
      <c r="AP286" s="298"/>
      <c r="AQ286" s="298"/>
    </row>
    <row r="287" spans="1:43" x14ac:dyDescent="0.25">
      <c r="A287" s="326"/>
      <c r="B287" s="321"/>
      <c r="C287" s="301">
        <v>4.1944999999999997</v>
      </c>
      <c r="D287" s="301"/>
      <c r="E287" s="301">
        <v>7.1956859874545004E-2</v>
      </c>
      <c r="F287" s="301">
        <v>0</v>
      </c>
      <c r="G287" s="301">
        <v>-2.4951938E-2</v>
      </c>
      <c r="H287" s="301">
        <v>0</v>
      </c>
      <c r="I287" s="301">
        <v>0</v>
      </c>
      <c r="J287" s="301">
        <v>0.29499999999999998</v>
      </c>
      <c r="K287" s="301">
        <v>0</v>
      </c>
      <c r="L287" s="301">
        <v>0</v>
      </c>
      <c r="M287" s="301">
        <v>0</v>
      </c>
      <c r="N287" s="301">
        <v>0</v>
      </c>
      <c r="O287" s="301">
        <v>0</v>
      </c>
      <c r="P287" s="298">
        <v>0</v>
      </c>
      <c r="Q287" s="298">
        <v>0</v>
      </c>
      <c r="R287" s="298">
        <v>0</v>
      </c>
      <c r="S287" s="298">
        <v>0</v>
      </c>
      <c r="T287" s="298">
        <v>0</v>
      </c>
      <c r="U287" s="298">
        <v>1.0449999999999999</v>
      </c>
      <c r="V287" s="298">
        <v>0</v>
      </c>
      <c r="W287" s="298">
        <v>0</v>
      </c>
      <c r="X287" s="298">
        <v>0</v>
      </c>
      <c r="Y287" s="298">
        <v>0</v>
      </c>
      <c r="Z287" s="298">
        <v>0</v>
      </c>
      <c r="AA287" s="298"/>
      <c r="AB287" s="298"/>
      <c r="AC287" s="298"/>
      <c r="AD287" s="298"/>
      <c r="AE287" s="298"/>
      <c r="AF287" s="298"/>
      <c r="AG287" s="298"/>
      <c r="AH287" s="298"/>
      <c r="AI287" s="313"/>
      <c r="AJ287" s="313"/>
      <c r="AK287" s="313"/>
      <c r="AL287" s="298"/>
      <c r="AM287" s="298">
        <v>7.2102023804423002E-2</v>
      </c>
      <c r="AN287" s="298"/>
      <c r="AO287" s="298"/>
      <c r="AP287" s="298"/>
      <c r="AQ287" s="298"/>
    </row>
    <row r="288" spans="1:43" x14ac:dyDescent="0.25">
      <c r="A288" s="326"/>
      <c r="B288" s="321"/>
      <c r="C288" s="301">
        <v>4.2314999999999996</v>
      </c>
      <c r="D288" s="301"/>
      <c r="E288" s="301">
        <v>7.1957369793869005E-2</v>
      </c>
      <c r="F288" s="301">
        <v>0</v>
      </c>
      <c r="G288" s="301">
        <v>-1.9955184000000001E-2</v>
      </c>
      <c r="H288" s="301">
        <v>0</v>
      </c>
      <c r="I288" s="301">
        <v>0</v>
      </c>
      <c r="J288" s="301">
        <v>0.34250000000000003</v>
      </c>
      <c r="K288" s="301">
        <v>0</v>
      </c>
      <c r="L288" s="301">
        <v>0</v>
      </c>
      <c r="M288" s="301">
        <v>0</v>
      </c>
      <c r="N288" s="301">
        <v>0</v>
      </c>
      <c r="O288" s="301">
        <v>0</v>
      </c>
      <c r="P288" s="298">
        <v>0</v>
      </c>
      <c r="Q288" s="298">
        <v>0</v>
      </c>
      <c r="R288" s="298">
        <v>0</v>
      </c>
      <c r="S288" s="298">
        <v>0</v>
      </c>
      <c r="T288" s="298">
        <v>0</v>
      </c>
      <c r="U288" s="298">
        <v>1.52</v>
      </c>
      <c r="V288" s="298">
        <v>0</v>
      </c>
      <c r="W288" s="298">
        <v>0</v>
      </c>
      <c r="X288" s="298">
        <v>0</v>
      </c>
      <c r="Y288" s="298">
        <v>0</v>
      </c>
      <c r="Z288" s="298">
        <v>0</v>
      </c>
      <c r="AA288" s="298"/>
      <c r="AB288" s="298"/>
      <c r="AC288" s="298"/>
      <c r="AD288" s="298"/>
      <c r="AE288" s="298"/>
      <c r="AF288" s="298"/>
      <c r="AG288" s="298"/>
      <c r="AH288" s="298"/>
      <c r="AI288" s="313"/>
      <c r="AJ288" s="313"/>
      <c r="AK288" s="313"/>
      <c r="AL288" s="298"/>
      <c r="AM288" s="298">
        <v>7.2100466025724994E-2</v>
      </c>
      <c r="AN288" s="298"/>
      <c r="AO288" s="298"/>
      <c r="AP288" s="298"/>
      <c r="AQ288" s="298"/>
    </row>
    <row r="289" spans="1:43" x14ac:dyDescent="0.25">
      <c r="A289" s="326"/>
      <c r="B289" s="321"/>
      <c r="C289" s="301">
        <v>4.1985000000000001</v>
      </c>
      <c r="D289" s="301"/>
      <c r="E289" s="301">
        <v>7.1957879713192993E-2</v>
      </c>
      <c r="F289" s="301">
        <v>0</v>
      </c>
      <c r="G289" s="301">
        <v>5.0425770000000003E-3</v>
      </c>
      <c r="H289" s="301">
        <v>0</v>
      </c>
      <c r="I289" s="301">
        <v>0</v>
      </c>
      <c r="J289" s="301">
        <v>0.33750000000000002</v>
      </c>
      <c r="K289" s="301">
        <v>0</v>
      </c>
      <c r="L289" s="301">
        <v>0</v>
      </c>
      <c r="M289" s="301">
        <v>0</v>
      </c>
      <c r="N289" s="301">
        <v>0</v>
      </c>
      <c r="O289" s="301">
        <v>0</v>
      </c>
      <c r="P289" s="298">
        <v>0</v>
      </c>
      <c r="Q289" s="298">
        <v>0</v>
      </c>
      <c r="R289" s="298">
        <v>0</v>
      </c>
      <c r="S289" s="298">
        <v>0</v>
      </c>
      <c r="T289" s="298">
        <v>0</v>
      </c>
      <c r="U289" s="298">
        <v>1.4</v>
      </c>
      <c r="V289" s="298">
        <v>0</v>
      </c>
      <c r="W289" s="298">
        <v>0</v>
      </c>
      <c r="X289" s="298">
        <v>0</v>
      </c>
      <c r="Y289" s="298">
        <v>0</v>
      </c>
      <c r="Z289" s="298">
        <v>0</v>
      </c>
      <c r="AA289" s="298"/>
      <c r="AB289" s="298"/>
      <c r="AC289" s="298"/>
      <c r="AD289" s="298"/>
      <c r="AE289" s="298"/>
      <c r="AF289" s="298"/>
      <c r="AG289" s="298"/>
      <c r="AH289" s="298"/>
      <c r="AI289" s="313"/>
      <c r="AJ289" s="313"/>
      <c r="AK289" s="313"/>
      <c r="AL289" s="298"/>
      <c r="AM289" s="298">
        <v>7.2098908247028998E-2</v>
      </c>
      <c r="AN289" s="298"/>
      <c r="AO289" s="298"/>
      <c r="AP289" s="298"/>
      <c r="AQ289" s="298"/>
    </row>
    <row r="290" spans="1:43" x14ac:dyDescent="0.25">
      <c r="A290" s="326"/>
      <c r="B290" s="321"/>
      <c r="C290" s="301">
        <v>4.1435000000000004</v>
      </c>
      <c r="D290" s="301"/>
      <c r="E290" s="301">
        <v>7.1958340285486005E-2</v>
      </c>
      <c r="F290" s="301">
        <v>0</v>
      </c>
      <c r="G290" s="301">
        <v>1.5042577E-2</v>
      </c>
      <c r="H290" s="301">
        <v>0</v>
      </c>
      <c r="I290" s="301">
        <v>0</v>
      </c>
      <c r="J290" s="301">
        <v>0.26</v>
      </c>
      <c r="K290" s="301">
        <v>0</v>
      </c>
      <c r="L290" s="301">
        <v>0</v>
      </c>
      <c r="M290" s="301">
        <v>0</v>
      </c>
      <c r="N290" s="301">
        <v>0</v>
      </c>
      <c r="O290" s="301">
        <v>0</v>
      </c>
      <c r="P290" s="298">
        <v>0</v>
      </c>
      <c r="Q290" s="298">
        <v>0</v>
      </c>
      <c r="R290" s="298">
        <v>0</v>
      </c>
      <c r="S290" s="298">
        <v>0</v>
      </c>
      <c r="T290" s="298">
        <v>0</v>
      </c>
      <c r="U290" s="298">
        <v>0.88</v>
      </c>
      <c r="V290" s="298">
        <v>0</v>
      </c>
      <c r="W290" s="298">
        <v>0</v>
      </c>
      <c r="X290" s="298">
        <v>0</v>
      </c>
      <c r="Y290" s="298">
        <v>0</v>
      </c>
      <c r="Z290" s="298">
        <v>0</v>
      </c>
      <c r="AA290" s="298"/>
      <c r="AB290" s="298"/>
      <c r="AC290" s="298"/>
      <c r="AD290" s="298"/>
      <c r="AE290" s="298"/>
      <c r="AF290" s="298"/>
      <c r="AG290" s="298"/>
      <c r="AH290" s="298"/>
      <c r="AI290" s="313"/>
      <c r="AJ290" s="313"/>
      <c r="AK290" s="313"/>
      <c r="AL290" s="298"/>
      <c r="AM290" s="298">
        <v>7.209750122111E-2</v>
      </c>
      <c r="AN290" s="298"/>
      <c r="AO290" s="298"/>
      <c r="AP290" s="298"/>
      <c r="AQ290" s="298"/>
    </row>
    <row r="291" spans="1:43" x14ac:dyDescent="0.25">
      <c r="A291" s="326"/>
      <c r="B291" s="321"/>
      <c r="C291" s="301">
        <v>4.1035000000000004</v>
      </c>
      <c r="D291" s="301"/>
      <c r="E291" s="301">
        <v>7.1958850204809993E-2</v>
      </c>
      <c r="F291" s="301">
        <v>0</v>
      </c>
      <c r="G291" s="301">
        <v>7.4976638999999998E-2</v>
      </c>
      <c r="H291" s="301">
        <v>0</v>
      </c>
      <c r="I291" s="301">
        <v>0</v>
      </c>
      <c r="J291" s="301">
        <v>0.17</v>
      </c>
      <c r="K291" s="301">
        <v>0</v>
      </c>
      <c r="L291" s="301">
        <v>0</v>
      </c>
      <c r="M291" s="301">
        <v>0</v>
      </c>
      <c r="N291" s="301">
        <v>0</v>
      </c>
      <c r="O291" s="301">
        <v>0</v>
      </c>
      <c r="P291" s="298">
        <v>0</v>
      </c>
      <c r="Q291" s="298">
        <v>0</v>
      </c>
      <c r="R291" s="298">
        <v>0</v>
      </c>
      <c r="S291" s="298">
        <v>0</v>
      </c>
      <c r="T291" s="298">
        <v>0</v>
      </c>
      <c r="U291" s="298">
        <v>0.37</v>
      </c>
      <c r="V291" s="298">
        <v>0</v>
      </c>
      <c r="W291" s="298">
        <v>0</v>
      </c>
      <c r="X291" s="298">
        <v>0</v>
      </c>
      <c r="Y291" s="298">
        <v>0</v>
      </c>
      <c r="Z291" s="298">
        <v>0</v>
      </c>
      <c r="AA291" s="298"/>
      <c r="AB291" s="298"/>
      <c r="AC291" s="298"/>
      <c r="AD291" s="298"/>
      <c r="AE291" s="298"/>
      <c r="AF291" s="298"/>
      <c r="AG291" s="298"/>
      <c r="AH291" s="298"/>
      <c r="AI291" s="313"/>
      <c r="AJ291" s="313"/>
      <c r="AK291" s="313"/>
      <c r="AL291" s="298"/>
      <c r="AM291" s="298">
        <v>7.2095943442414004E-2</v>
      </c>
      <c r="AN291" s="298"/>
      <c r="AO291" s="298"/>
      <c r="AP291" s="298"/>
      <c r="AQ291" s="298"/>
    </row>
    <row r="292" spans="1:43" x14ac:dyDescent="0.25">
      <c r="A292" s="326"/>
      <c r="B292" s="321"/>
      <c r="C292" s="301">
        <v>4.1234999999999999</v>
      </c>
      <c r="D292" s="301"/>
      <c r="E292" s="301">
        <v>7.1959343675122994E-2</v>
      </c>
      <c r="F292" s="301">
        <v>0</v>
      </c>
      <c r="G292" s="301">
        <v>7.4968123999999997E-2</v>
      </c>
      <c r="H292" s="301">
        <v>0</v>
      </c>
      <c r="I292" s="301">
        <v>0</v>
      </c>
      <c r="J292" s="301">
        <v>0.155</v>
      </c>
      <c r="K292" s="301">
        <v>0</v>
      </c>
      <c r="L292" s="301">
        <v>0</v>
      </c>
      <c r="M292" s="301">
        <v>0</v>
      </c>
      <c r="N292" s="301">
        <v>0</v>
      </c>
      <c r="O292" s="301">
        <v>0</v>
      </c>
      <c r="P292" s="298">
        <v>0</v>
      </c>
      <c r="Q292" s="298">
        <v>0</v>
      </c>
      <c r="R292" s="298">
        <v>0</v>
      </c>
      <c r="S292" s="298">
        <v>0</v>
      </c>
      <c r="T292" s="298">
        <v>0</v>
      </c>
      <c r="U292" s="298">
        <v>0.2525</v>
      </c>
      <c r="V292" s="298">
        <v>0</v>
      </c>
      <c r="W292" s="298">
        <v>0</v>
      </c>
      <c r="X292" s="298">
        <v>0</v>
      </c>
      <c r="Y292" s="298">
        <v>0</v>
      </c>
      <c r="Z292" s="298">
        <v>0</v>
      </c>
      <c r="AA292" s="298"/>
      <c r="AB292" s="298"/>
      <c r="AC292" s="298"/>
      <c r="AD292" s="298"/>
      <c r="AE292" s="298"/>
      <c r="AF292" s="298"/>
      <c r="AG292" s="298"/>
      <c r="AH292" s="298"/>
      <c r="AI292" s="313"/>
      <c r="AJ292" s="313"/>
      <c r="AK292" s="313"/>
      <c r="AL292" s="298"/>
      <c r="AM292" s="298">
        <v>7.2094435914644997E-2</v>
      </c>
      <c r="AN292" s="298"/>
      <c r="AO292" s="298"/>
      <c r="AP292" s="298"/>
      <c r="AQ292" s="298"/>
    </row>
    <row r="293" spans="1:43" x14ac:dyDescent="0.25">
      <c r="A293" s="326"/>
      <c r="B293" s="321"/>
      <c r="C293" s="301">
        <v>4.1524999999999999</v>
      </c>
      <c r="D293" s="301"/>
      <c r="E293" s="301">
        <v>7.1959853594447995E-2</v>
      </c>
      <c r="F293" s="301">
        <v>0</v>
      </c>
      <c r="G293" s="301">
        <v>7.4968123999999997E-2</v>
      </c>
      <c r="H293" s="301">
        <v>0</v>
      </c>
      <c r="I293" s="301">
        <v>0</v>
      </c>
      <c r="J293" s="301">
        <v>0.155</v>
      </c>
      <c r="K293" s="301">
        <v>0</v>
      </c>
      <c r="L293" s="301">
        <v>0</v>
      </c>
      <c r="M293" s="301">
        <v>0</v>
      </c>
      <c r="N293" s="301">
        <v>0</v>
      </c>
      <c r="O293" s="301">
        <v>0</v>
      </c>
      <c r="P293" s="298">
        <v>0</v>
      </c>
      <c r="Q293" s="298">
        <v>0</v>
      </c>
      <c r="R293" s="298">
        <v>0</v>
      </c>
      <c r="S293" s="298">
        <v>0</v>
      </c>
      <c r="T293" s="298">
        <v>0</v>
      </c>
      <c r="U293" s="298">
        <v>0.2525</v>
      </c>
      <c r="V293" s="298">
        <v>0</v>
      </c>
      <c r="W293" s="298">
        <v>0</v>
      </c>
      <c r="X293" s="298">
        <v>0</v>
      </c>
      <c r="Y293" s="298">
        <v>0</v>
      </c>
      <c r="Z293" s="298">
        <v>0</v>
      </c>
      <c r="AA293" s="298"/>
      <c r="AB293" s="298"/>
      <c r="AC293" s="298"/>
      <c r="AD293" s="298"/>
      <c r="AE293" s="298"/>
      <c r="AF293" s="298"/>
      <c r="AG293" s="298"/>
      <c r="AH293" s="298"/>
      <c r="AI293" s="313"/>
      <c r="AJ293" s="313"/>
      <c r="AK293" s="313"/>
      <c r="AL293" s="298"/>
      <c r="AM293" s="298">
        <v>7.2092878135951999E-2</v>
      </c>
      <c r="AN293" s="298"/>
      <c r="AO293" s="298"/>
      <c r="AP293" s="298"/>
      <c r="AQ293" s="298"/>
    </row>
    <row r="294" spans="1:43" x14ac:dyDescent="0.25">
      <c r="B294" s="321"/>
      <c r="C294" s="301">
        <v>4.1635</v>
      </c>
      <c r="D294" s="301"/>
      <c r="E294" s="301">
        <v>7.1960347064761995E-2</v>
      </c>
      <c r="F294" s="301">
        <v>0</v>
      </c>
      <c r="G294" s="301">
        <v>7.4968123999999997E-2</v>
      </c>
      <c r="H294" s="301">
        <v>0</v>
      </c>
      <c r="I294" s="301">
        <v>0</v>
      </c>
      <c r="J294" s="301">
        <v>0.155</v>
      </c>
      <c r="K294" s="301">
        <v>0</v>
      </c>
      <c r="L294" s="301">
        <v>0</v>
      </c>
      <c r="M294" s="301">
        <v>0</v>
      </c>
      <c r="N294" s="301">
        <v>0</v>
      </c>
      <c r="O294" s="301">
        <v>0</v>
      </c>
      <c r="P294" s="298">
        <v>0</v>
      </c>
      <c r="Q294" s="298">
        <v>0</v>
      </c>
      <c r="R294" s="298">
        <v>0</v>
      </c>
      <c r="S294" s="298">
        <v>0</v>
      </c>
      <c r="T294" s="298">
        <v>0</v>
      </c>
      <c r="U294" s="298">
        <v>0.25750000000000001</v>
      </c>
      <c r="V294" s="298">
        <v>0</v>
      </c>
      <c r="W294" s="298">
        <v>0</v>
      </c>
      <c r="X294" s="298">
        <v>0</v>
      </c>
      <c r="Y294" s="298">
        <v>0</v>
      </c>
      <c r="Z294" s="298">
        <v>0</v>
      </c>
      <c r="AA294" s="298"/>
      <c r="AB294" s="298"/>
      <c r="AC294" s="298"/>
      <c r="AD294" s="298"/>
      <c r="AE294" s="298"/>
      <c r="AF294" s="298"/>
      <c r="AG294" s="298"/>
      <c r="AH294" s="298"/>
      <c r="AI294" s="313"/>
      <c r="AJ294" s="313"/>
      <c r="AK294" s="313"/>
      <c r="AL294" s="298"/>
      <c r="AM294" s="298">
        <v>7.2091370608184005E-2</v>
      </c>
      <c r="AN294" s="298"/>
      <c r="AO294" s="298"/>
      <c r="AP294" s="298"/>
      <c r="AQ294" s="298"/>
    </row>
    <row r="295" spans="1:43" x14ac:dyDescent="0.25">
      <c r="B295" s="321"/>
      <c r="C295" s="301">
        <v>4.1725000000000003</v>
      </c>
      <c r="D295" s="301"/>
      <c r="E295" s="301">
        <v>7.1960856984086996E-2</v>
      </c>
      <c r="F295" s="301">
        <v>0</v>
      </c>
      <c r="G295" s="301">
        <v>7.4968123999999997E-2</v>
      </c>
      <c r="H295" s="301">
        <v>0</v>
      </c>
      <c r="I295" s="301">
        <v>0</v>
      </c>
      <c r="J295" s="301">
        <v>0.155</v>
      </c>
      <c r="K295" s="301">
        <v>0</v>
      </c>
      <c r="L295" s="301">
        <v>0</v>
      </c>
      <c r="M295" s="301">
        <v>0</v>
      </c>
      <c r="N295" s="301">
        <v>0</v>
      </c>
      <c r="O295" s="301">
        <v>0</v>
      </c>
      <c r="P295" s="298">
        <v>0</v>
      </c>
      <c r="Q295" s="298">
        <v>0</v>
      </c>
      <c r="R295" s="298">
        <v>0</v>
      </c>
      <c r="S295" s="298">
        <v>0</v>
      </c>
      <c r="T295" s="298">
        <v>0</v>
      </c>
      <c r="U295" s="298">
        <v>0.25750000000000001</v>
      </c>
      <c r="V295" s="298">
        <v>0</v>
      </c>
      <c r="W295" s="298">
        <v>0</v>
      </c>
      <c r="X295" s="298">
        <v>0</v>
      </c>
      <c r="Y295" s="298">
        <v>0</v>
      </c>
      <c r="Z295" s="298">
        <v>0</v>
      </c>
      <c r="AA295" s="298"/>
      <c r="AB295" s="298"/>
      <c r="AC295" s="298"/>
      <c r="AD295" s="298"/>
      <c r="AE295" s="298"/>
      <c r="AF295" s="298"/>
      <c r="AG295" s="298"/>
      <c r="AH295" s="298"/>
      <c r="AI295" s="313"/>
      <c r="AJ295" s="313"/>
      <c r="AK295" s="313"/>
      <c r="AL295" s="298"/>
      <c r="AM295" s="298">
        <v>7.2089812829493005E-2</v>
      </c>
      <c r="AN295" s="298"/>
      <c r="AO295" s="298"/>
      <c r="AP295" s="298"/>
      <c r="AQ295" s="298"/>
    </row>
    <row r="296" spans="1:43" x14ac:dyDescent="0.25">
      <c r="B296" s="321"/>
      <c r="C296" s="301">
        <v>4.1595000000000004</v>
      </c>
      <c r="D296" s="301"/>
      <c r="E296" s="301">
        <v>7.1961366903410998E-2</v>
      </c>
      <c r="F296" s="301">
        <v>0</v>
      </c>
      <c r="G296" s="301">
        <v>7.4968123999999997E-2</v>
      </c>
      <c r="H296" s="301">
        <v>0</v>
      </c>
      <c r="I296" s="301">
        <v>0</v>
      </c>
      <c r="J296" s="301">
        <v>0.155</v>
      </c>
      <c r="K296" s="301">
        <v>0</v>
      </c>
      <c r="L296" s="301">
        <v>0</v>
      </c>
      <c r="M296" s="301">
        <v>0</v>
      </c>
      <c r="N296" s="301">
        <v>0</v>
      </c>
      <c r="O296" s="301">
        <v>0</v>
      </c>
      <c r="P296" s="298">
        <v>0</v>
      </c>
      <c r="Q296" s="298">
        <v>0</v>
      </c>
      <c r="R296" s="298">
        <v>0</v>
      </c>
      <c r="S296" s="298">
        <v>0</v>
      </c>
      <c r="T296" s="298">
        <v>0</v>
      </c>
      <c r="U296" s="298">
        <v>0.2525</v>
      </c>
      <c r="V296" s="298">
        <v>0</v>
      </c>
      <c r="W296" s="298">
        <v>0</v>
      </c>
      <c r="X296" s="298">
        <v>0</v>
      </c>
      <c r="Y296" s="298">
        <v>0</v>
      </c>
      <c r="Z296" s="298">
        <v>0</v>
      </c>
      <c r="AA296" s="298"/>
      <c r="AB296" s="298"/>
      <c r="AC296" s="298"/>
      <c r="AD296" s="298"/>
      <c r="AE296" s="298"/>
      <c r="AF296" s="298"/>
      <c r="AG296" s="298"/>
      <c r="AH296" s="298"/>
      <c r="AI296" s="313"/>
      <c r="AJ296" s="313"/>
      <c r="AK296" s="313"/>
      <c r="AL296" s="298"/>
      <c r="AM296" s="298">
        <v>7.2088255050801006E-2</v>
      </c>
      <c r="AN296" s="298"/>
      <c r="AO296" s="298"/>
      <c r="AP296" s="298"/>
      <c r="AQ296" s="298"/>
    </row>
    <row r="297" spans="1:43" x14ac:dyDescent="0.25">
      <c r="B297" s="321"/>
      <c r="C297" s="301">
        <v>4.1665000000000001</v>
      </c>
      <c r="D297" s="301"/>
      <c r="E297" s="301">
        <v>7.1961860373725997E-2</v>
      </c>
      <c r="F297" s="301">
        <v>0</v>
      </c>
      <c r="G297" s="301">
        <v>7.4968123999999997E-2</v>
      </c>
      <c r="H297" s="301">
        <v>0</v>
      </c>
      <c r="I297" s="301">
        <v>0</v>
      </c>
      <c r="J297" s="301">
        <v>0.1575</v>
      </c>
      <c r="K297" s="301">
        <v>0</v>
      </c>
      <c r="L297" s="301">
        <v>0</v>
      </c>
      <c r="M297" s="301">
        <v>0</v>
      </c>
      <c r="N297" s="301">
        <v>0</v>
      </c>
      <c r="O297" s="301">
        <v>0</v>
      </c>
      <c r="P297" s="298">
        <v>0</v>
      </c>
      <c r="Q297" s="298">
        <v>0</v>
      </c>
      <c r="R297" s="298">
        <v>0</v>
      </c>
      <c r="S297" s="298">
        <v>0</v>
      </c>
      <c r="T297" s="298">
        <v>0</v>
      </c>
      <c r="U297" s="298">
        <v>0.255</v>
      </c>
      <c r="V297" s="298">
        <v>0</v>
      </c>
      <c r="W297" s="298">
        <v>0</v>
      </c>
      <c r="X297" s="298">
        <v>0</v>
      </c>
      <c r="Y297" s="298">
        <v>0</v>
      </c>
      <c r="Z297" s="298">
        <v>0</v>
      </c>
      <c r="AA297" s="298"/>
      <c r="AB297" s="298"/>
      <c r="AC297" s="298"/>
      <c r="AD297" s="298"/>
      <c r="AE297" s="298"/>
      <c r="AF297" s="298"/>
      <c r="AG297" s="298"/>
      <c r="AH297" s="298"/>
      <c r="AI297" s="313"/>
      <c r="AJ297" s="313"/>
      <c r="AK297" s="313"/>
      <c r="AL297" s="298"/>
      <c r="AM297" s="298">
        <v>7.2086747523035996E-2</v>
      </c>
      <c r="AN297" s="298"/>
      <c r="AO297" s="298"/>
      <c r="AP297" s="298"/>
      <c r="AQ297" s="298"/>
    </row>
    <row r="298" spans="1:43" x14ac:dyDescent="0.25">
      <c r="C298" s="301">
        <v>4.2024999999999997</v>
      </c>
      <c r="D298" s="301"/>
      <c r="E298" s="301">
        <v>7.1962370293050998E-2</v>
      </c>
      <c r="F298" s="301">
        <v>0</v>
      </c>
      <c r="G298" s="301">
        <v>-4.9887129999999997E-3</v>
      </c>
      <c r="H298" s="301">
        <v>0</v>
      </c>
      <c r="I298" s="301">
        <v>0</v>
      </c>
      <c r="J298" s="301">
        <v>0.24</v>
      </c>
      <c r="K298" s="301">
        <v>0</v>
      </c>
      <c r="L298" s="301">
        <v>0</v>
      </c>
      <c r="M298" s="301">
        <v>0</v>
      </c>
      <c r="N298" s="301">
        <v>0</v>
      </c>
      <c r="O298" s="301">
        <v>0</v>
      </c>
      <c r="P298" s="298">
        <v>0</v>
      </c>
      <c r="Q298" s="298">
        <v>0</v>
      </c>
      <c r="R298" s="298">
        <v>0</v>
      </c>
      <c r="S298" s="298">
        <v>0</v>
      </c>
      <c r="T298" s="298">
        <v>0</v>
      </c>
      <c r="U298" s="298">
        <v>0.72499999999999998</v>
      </c>
      <c r="V298" s="298">
        <v>0</v>
      </c>
      <c r="W298" s="298">
        <v>0</v>
      </c>
      <c r="X298" s="298">
        <v>0</v>
      </c>
      <c r="Y298" s="298">
        <v>0</v>
      </c>
      <c r="Z298" s="298">
        <v>0</v>
      </c>
      <c r="AA298" s="298"/>
      <c r="AB298" s="298"/>
      <c r="AC298" s="298"/>
      <c r="AD298" s="298"/>
      <c r="AE298" s="298"/>
      <c r="AF298" s="298"/>
      <c r="AG298" s="298"/>
      <c r="AH298" s="298"/>
      <c r="AI298" s="313"/>
      <c r="AJ298" s="313"/>
      <c r="AK298" s="313"/>
      <c r="AL298" s="298"/>
      <c r="AM298" s="298">
        <v>7.2085189744345995E-2</v>
      </c>
      <c r="AN298" s="298"/>
      <c r="AO298" s="298"/>
      <c r="AP298" s="298"/>
      <c r="AQ298" s="298"/>
    </row>
    <row r="299" spans="1:43" x14ac:dyDescent="0.25">
      <c r="C299" s="301">
        <v>4.2685000000000004</v>
      </c>
      <c r="D299" s="301"/>
      <c r="E299" s="301">
        <v>7.1962863763364998E-2</v>
      </c>
      <c r="F299" s="301">
        <v>0</v>
      </c>
      <c r="G299" s="301">
        <v>-1.9951937999999999E-2</v>
      </c>
      <c r="H299" s="301">
        <v>0</v>
      </c>
      <c r="I299" s="301">
        <v>0</v>
      </c>
      <c r="J299" s="301">
        <v>0.29499999999999998</v>
      </c>
      <c r="K299" s="301">
        <v>0</v>
      </c>
      <c r="L299" s="301">
        <v>0</v>
      </c>
      <c r="M299" s="301">
        <v>0</v>
      </c>
      <c r="N299" s="301">
        <v>0</v>
      </c>
      <c r="O299" s="301">
        <v>0</v>
      </c>
      <c r="P299" s="298">
        <v>0</v>
      </c>
      <c r="Q299" s="298">
        <v>0</v>
      </c>
      <c r="R299" s="298">
        <v>0</v>
      </c>
      <c r="S299" s="298">
        <v>0</v>
      </c>
      <c r="T299" s="298">
        <v>0</v>
      </c>
      <c r="U299" s="298">
        <v>1.0449999999999999</v>
      </c>
      <c r="V299" s="298">
        <v>0</v>
      </c>
      <c r="W299" s="298">
        <v>0</v>
      </c>
      <c r="X299" s="298">
        <v>0</v>
      </c>
      <c r="Y299" s="298">
        <v>0</v>
      </c>
      <c r="Z299" s="298">
        <v>0</v>
      </c>
      <c r="AA299" s="298"/>
      <c r="AB299" s="298"/>
      <c r="AC299" s="298"/>
      <c r="AD299" s="298"/>
      <c r="AE299" s="298"/>
      <c r="AF299" s="298"/>
      <c r="AG299" s="298"/>
      <c r="AH299" s="298"/>
      <c r="AI299" s="313"/>
      <c r="AJ299" s="313"/>
      <c r="AK299" s="313"/>
      <c r="AL299" s="298"/>
      <c r="AM299" s="298">
        <v>7.2083682216582998E-2</v>
      </c>
      <c r="AN299" s="298"/>
      <c r="AO299" s="298"/>
      <c r="AP299" s="298"/>
      <c r="AQ299" s="298"/>
    </row>
    <row r="300" spans="1:43" x14ac:dyDescent="0.25">
      <c r="C300" s="301">
        <v>4.3034999999999997</v>
      </c>
      <c r="D300" s="301"/>
      <c r="E300" s="301">
        <v>7.1963373682689999E-2</v>
      </c>
      <c r="F300" s="301">
        <v>0</v>
      </c>
      <c r="G300" s="301">
        <v>-1.4955184E-2</v>
      </c>
      <c r="H300" s="301">
        <v>0</v>
      </c>
      <c r="I300" s="301">
        <v>0</v>
      </c>
      <c r="J300" s="301">
        <v>0.34250000000000003</v>
      </c>
      <c r="K300" s="301">
        <v>0</v>
      </c>
      <c r="L300" s="301">
        <v>0</v>
      </c>
      <c r="M300" s="301">
        <v>0</v>
      </c>
      <c r="N300" s="301">
        <v>0</v>
      </c>
      <c r="O300" s="301">
        <v>0</v>
      </c>
      <c r="P300" s="298">
        <v>0</v>
      </c>
      <c r="Q300" s="298">
        <v>0</v>
      </c>
      <c r="R300" s="298">
        <v>0</v>
      </c>
      <c r="S300" s="298">
        <v>0</v>
      </c>
      <c r="T300" s="298">
        <v>0</v>
      </c>
      <c r="U300" s="298">
        <v>1.52</v>
      </c>
      <c r="V300" s="298">
        <v>0</v>
      </c>
      <c r="W300" s="298">
        <v>0</v>
      </c>
      <c r="X300" s="298">
        <v>0</v>
      </c>
      <c r="Y300" s="298">
        <v>0</v>
      </c>
      <c r="Z300" s="298">
        <v>0</v>
      </c>
      <c r="AA300" s="298"/>
      <c r="AB300" s="298"/>
      <c r="AC300" s="298"/>
      <c r="AD300" s="298"/>
      <c r="AE300" s="298"/>
      <c r="AF300" s="298"/>
      <c r="AG300" s="298"/>
      <c r="AH300" s="298"/>
      <c r="AI300" s="313"/>
      <c r="AJ300" s="313"/>
      <c r="AK300" s="313"/>
      <c r="AL300" s="298"/>
      <c r="AM300" s="298">
        <v>7.2082124437894995E-2</v>
      </c>
      <c r="AN300" s="298"/>
      <c r="AO300" s="298"/>
      <c r="AP300" s="298"/>
      <c r="AQ300" s="298"/>
    </row>
    <row r="301" spans="1:43" x14ac:dyDescent="0.25">
      <c r="A301" s="325"/>
      <c r="C301" s="301">
        <v>4.2744999999999997</v>
      </c>
      <c r="D301" s="301"/>
      <c r="E301" s="301">
        <v>7.1963883602015E-2</v>
      </c>
      <c r="F301" s="301">
        <v>0</v>
      </c>
      <c r="G301" s="301">
        <v>1.0042577E-2</v>
      </c>
      <c r="H301" s="301">
        <v>0</v>
      </c>
      <c r="I301" s="301">
        <v>0</v>
      </c>
      <c r="J301" s="301">
        <v>0.33750000000000002</v>
      </c>
      <c r="K301" s="301">
        <v>0</v>
      </c>
      <c r="L301" s="301">
        <v>0</v>
      </c>
      <c r="M301" s="301">
        <v>0</v>
      </c>
      <c r="N301" s="301">
        <v>0</v>
      </c>
      <c r="O301" s="301">
        <v>0</v>
      </c>
      <c r="P301" s="298">
        <v>0</v>
      </c>
      <c r="Q301" s="298">
        <v>0</v>
      </c>
      <c r="R301" s="298">
        <v>0</v>
      </c>
      <c r="S301" s="298">
        <v>0</v>
      </c>
      <c r="T301" s="298">
        <v>0</v>
      </c>
      <c r="U301" s="298">
        <v>1.4</v>
      </c>
      <c r="V301" s="298">
        <v>0</v>
      </c>
      <c r="W301" s="298">
        <v>0</v>
      </c>
      <c r="X301" s="298">
        <v>0</v>
      </c>
      <c r="Y301" s="298">
        <v>0</v>
      </c>
      <c r="Z301" s="298">
        <v>0</v>
      </c>
      <c r="AA301" s="298"/>
      <c r="AB301" s="298"/>
      <c r="AC301" s="298"/>
      <c r="AD301" s="298"/>
      <c r="AE301" s="298"/>
      <c r="AF301" s="298"/>
      <c r="AG301" s="298"/>
      <c r="AH301" s="298"/>
      <c r="AI301" s="313"/>
      <c r="AJ301" s="313"/>
      <c r="AK301" s="313"/>
      <c r="AL301" s="298"/>
      <c r="AM301" s="298">
        <v>7.2080566659206993E-2</v>
      </c>
      <c r="AN301" s="298"/>
      <c r="AO301" s="298"/>
      <c r="AP301" s="298"/>
      <c r="AQ301" s="298"/>
    </row>
    <row r="302" spans="1:43" x14ac:dyDescent="0.25">
      <c r="A302" s="326"/>
      <c r="C302" s="301">
        <v>4.2225000000000001</v>
      </c>
      <c r="D302" s="301"/>
      <c r="E302" s="301">
        <v>7.1964360623318999E-2</v>
      </c>
      <c r="F302" s="301">
        <v>0</v>
      </c>
      <c r="G302" s="301">
        <v>2.0042576999999999E-2</v>
      </c>
      <c r="H302" s="301">
        <v>0</v>
      </c>
      <c r="I302" s="301">
        <v>0</v>
      </c>
      <c r="J302" s="301">
        <v>0.26</v>
      </c>
      <c r="K302" s="301">
        <v>0</v>
      </c>
      <c r="L302" s="301">
        <v>0</v>
      </c>
      <c r="M302" s="301">
        <v>0</v>
      </c>
      <c r="N302" s="301">
        <v>0</v>
      </c>
      <c r="O302" s="301">
        <v>0</v>
      </c>
      <c r="P302" s="298">
        <v>0</v>
      </c>
      <c r="Q302" s="298">
        <v>0</v>
      </c>
      <c r="R302" s="298">
        <v>0</v>
      </c>
      <c r="S302" s="298">
        <v>0</v>
      </c>
      <c r="T302" s="298">
        <v>0</v>
      </c>
      <c r="U302" s="298">
        <v>0.88</v>
      </c>
      <c r="V302" s="298">
        <v>0</v>
      </c>
      <c r="W302" s="298">
        <v>0</v>
      </c>
      <c r="X302" s="298">
        <v>0</v>
      </c>
      <c r="Y302" s="298">
        <v>0</v>
      </c>
      <c r="Z302" s="298">
        <v>0</v>
      </c>
      <c r="AA302" s="298"/>
      <c r="AB302" s="298"/>
      <c r="AC302" s="298"/>
      <c r="AD302" s="298"/>
      <c r="AE302" s="298"/>
      <c r="AF302" s="298"/>
      <c r="AG302" s="298"/>
      <c r="AH302" s="298"/>
      <c r="AI302" s="313"/>
      <c r="AJ302" s="313"/>
      <c r="AK302" s="313"/>
      <c r="AL302" s="298"/>
      <c r="AM302" s="298">
        <v>7.2079109382370998E-2</v>
      </c>
      <c r="AN302" s="298"/>
      <c r="AO302" s="298"/>
      <c r="AP302" s="298"/>
      <c r="AQ302" s="298"/>
    </row>
    <row r="303" spans="1:43" x14ac:dyDescent="0.25">
      <c r="A303" s="326"/>
      <c r="C303" s="301">
        <v>4.1864999999999997</v>
      </c>
      <c r="D303" s="301"/>
      <c r="E303" s="301">
        <v>7.1964870542643999E-2</v>
      </c>
      <c r="F303" s="301">
        <v>0</v>
      </c>
      <c r="G303" s="301">
        <v>7.9976639000000002E-2</v>
      </c>
      <c r="H303" s="301">
        <v>0</v>
      </c>
      <c r="I303" s="301">
        <v>0</v>
      </c>
      <c r="J303" s="301">
        <v>0.17</v>
      </c>
      <c r="K303" s="301">
        <v>0</v>
      </c>
      <c r="L303" s="301">
        <v>0</v>
      </c>
      <c r="M303" s="301">
        <v>0</v>
      </c>
      <c r="N303" s="301">
        <v>0</v>
      </c>
      <c r="O303" s="301">
        <v>0</v>
      </c>
      <c r="P303" s="298">
        <v>0</v>
      </c>
      <c r="Q303" s="298">
        <v>0</v>
      </c>
      <c r="R303" s="298">
        <v>0</v>
      </c>
      <c r="S303" s="298">
        <v>0</v>
      </c>
      <c r="T303" s="298">
        <v>0</v>
      </c>
      <c r="U303" s="298">
        <v>0.37</v>
      </c>
      <c r="V303" s="298">
        <v>0</v>
      </c>
      <c r="W303" s="298">
        <v>0</v>
      </c>
      <c r="X303" s="298">
        <v>0</v>
      </c>
      <c r="Y303" s="298">
        <v>0</v>
      </c>
      <c r="Z303" s="298">
        <v>0</v>
      </c>
      <c r="AA303" s="298"/>
      <c r="AB303" s="298"/>
      <c r="AC303" s="298"/>
      <c r="AD303" s="298"/>
      <c r="AE303" s="298"/>
      <c r="AF303" s="298"/>
      <c r="AG303" s="298"/>
      <c r="AH303" s="298"/>
      <c r="AI303" s="313"/>
      <c r="AJ303" s="313"/>
      <c r="AK303" s="313"/>
      <c r="AL303" s="298"/>
      <c r="AM303" s="298">
        <v>7.2077551603684994E-2</v>
      </c>
      <c r="AN303" s="298"/>
      <c r="AO303" s="298"/>
      <c r="AP303" s="298"/>
      <c r="AQ303" s="298"/>
    </row>
    <row r="304" spans="1:43" x14ac:dyDescent="0.25">
      <c r="A304" s="326"/>
      <c r="C304" s="301">
        <v>4.2074999999999996</v>
      </c>
      <c r="D304" s="301"/>
      <c r="E304" s="301">
        <v>7.1965364012958999E-2</v>
      </c>
      <c r="F304" s="301">
        <v>0</v>
      </c>
      <c r="G304" s="301">
        <v>7.9968124000000002E-2</v>
      </c>
      <c r="H304" s="301">
        <v>0</v>
      </c>
      <c r="I304" s="301">
        <v>0</v>
      </c>
      <c r="J304" s="301">
        <v>0.155</v>
      </c>
      <c r="K304" s="301">
        <v>0</v>
      </c>
      <c r="L304" s="301">
        <v>0</v>
      </c>
      <c r="M304" s="301">
        <v>0</v>
      </c>
      <c r="N304" s="301">
        <v>0</v>
      </c>
      <c r="O304" s="301">
        <v>0</v>
      </c>
      <c r="P304" s="298">
        <v>0</v>
      </c>
      <c r="Q304" s="298">
        <v>0</v>
      </c>
      <c r="R304" s="298">
        <v>0</v>
      </c>
      <c r="S304" s="298">
        <v>0</v>
      </c>
      <c r="T304" s="298">
        <v>0</v>
      </c>
      <c r="U304" s="298">
        <v>0.2525</v>
      </c>
      <c r="V304" s="298">
        <v>0</v>
      </c>
      <c r="W304" s="298">
        <v>0</v>
      </c>
      <c r="X304" s="298">
        <v>0</v>
      </c>
      <c r="Y304" s="298">
        <v>0</v>
      </c>
      <c r="Z304" s="298">
        <v>0</v>
      </c>
      <c r="AA304" s="298"/>
      <c r="AB304" s="298"/>
      <c r="AC304" s="298"/>
      <c r="AD304" s="298"/>
      <c r="AE304" s="298"/>
      <c r="AF304" s="298"/>
      <c r="AG304" s="298"/>
      <c r="AH304" s="298"/>
      <c r="AI304" s="313"/>
      <c r="AJ304" s="313"/>
      <c r="AK304" s="313"/>
      <c r="AL304" s="298"/>
      <c r="AM304" s="298">
        <v>7.2076044075925993E-2</v>
      </c>
      <c r="AN304" s="298"/>
      <c r="AO304" s="298"/>
      <c r="AP304" s="298"/>
      <c r="AQ304" s="298"/>
    </row>
    <row r="305" spans="1:43" x14ac:dyDescent="0.25">
      <c r="A305" s="326"/>
      <c r="C305" s="301"/>
      <c r="D305" s="301"/>
      <c r="E305" s="301"/>
      <c r="F305" s="301"/>
      <c r="G305" s="301"/>
      <c r="H305" s="301"/>
      <c r="I305" s="301"/>
      <c r="J305" s="301"/>
      <c r="K305" s="301"/>
      <c r="L305" s="301"/>
      <c r="M305" s="301"/>
      <c r="N305" s="301"/>
      <c r="O305" s="301"/>
      <c r="P305" s="298"/>
      <c r="Q305" s="298"/>
      <c r="R305" s="298"/>
      <c r="S305" s="298"/>
      <c r="T305" s="298"/>
      <c r="U305" s="298"/>
      <c r="V305" s="298"/>
      <c r="W305" s="298"/>
      <c r="X305" s="298"/>
      <c r="Y305" s="298"/>
      <c r="Z305" s="298"/>
      <c r="AA305" s="298"/>
      <c r="AB305" s="298"/>
      <c r="AC305" s="298"/>
      <c r="AD305" s="298"/>
      <c r="AE305" s="298"/>
      <c r="AF305" s="298"/>
      <c r="AG305" s="298"/>
      <c r="AH305" s="298"/>
      <c r="AI305" s="313"/>
      <c r="AJ305" s="313"/>
      <c r="AK305" s="313"/>
      <c r="AL305" s="298"/>
      <c r="AM305" s="298"/>
      <c r="AN305" s="298"/>
      <c r="AO305" s="298"/>
      <c r="AP305" s="298"/>
      <c r="AQ305" s="298"/>
    </row>
    <row r="306" spans="1:43" x14ac:dyDescent="0.25">
      <c r="A306" s="326"/>
      <c r="C306" s="301"/>
      <c r="D306" s="301"/>
      <c r="E306" s="301"/>
      <c r="F306" s="301"/>
      <c r="G306" s="301"/>
      <c r="H306" s="301"/>
      <c r="I306" s="301"/>
      <c r="J306" s="301"/>
      <c r="K306" s="301"/>
      <c r="L306" s="301"/>
      <c r="M306" s="301"/>
      <c r="N306" s="301"/>
      <c r="O306" s="301"/>
      <c r="P306" s="298"/>
      <c r="Q306" s="298"/>
      <c r="R306" s="298"/>
      <c r="S306" s="298"/>
      <c r="T306" s="298"/>
      <c r="U306" s="298"/>
      <c r="V306" s="298"/>
      <c r="W306" s="298"/>
      <c r="X306" s="298"/>
      <c r="Y306" s="298"/>
      <c r="Z306" s="298"/>
      <c r="AA306" s="298"/>
      <c r="AB306" s="298"/>
      <c r="AC306" s="298"/>
      <c r="AD306" s="298"/>
      <c r="AE306" s="298"/>
      <c r="AF306" s="298"/>
      <c r="AG306" s="298"/>
      <c r="AH306" s="298"/>
      <c r="AI306" s="313"/>
      <c r="AJ306" s="313"/>
      <c r="AK306" s="313"/>
      <c r="AL306" s="298"/>
      <c r="AM306" s="298"/>
      <c r="AN306" s="298"/>
      <c r="AO306" s="298"/>
      <c r="AP306" s="298"/>
      <c r="AQ306" s="298"/>
    </row>
    <row r="307" spans="1:43" x14ac:dyDescent="0.25">
      <c r="A307" s="326"/>
      <c r="C307" s="301"/>
      <c r="D307" s="301"/>
      <c r="E307" s="301"/>
      <c r="F307" s="301"/>
      <c r="G307" s="301"/>
      <c r="H307" s="301"/>
      <c r="I307" s="301"/>
      <c r="J307" s="301"/>
      <c r="K307" s="301"/>
      <c r="L307" s="301"/>
      <c r="M307" s="301"/>
      <c r="N307" s="301"/>
      <c r="O307" s="301"/>
      <c r="P307" s="298"/>
      <c r="Q307" s="298"/>
      <c r="R307" s="298"/>
      <c r="S307" s="298"/>
      <c r="T307" s="298"/>
      <c r="U307" s="298"/>
      <c r="V307" s="298"/>
      <c r="W307" s="298"/>
      <c r="X307" s="298"/>
      <c r="Y307" s="298"/>
      <c r="Z307" s="298"/>
      <c r="AA307" s="298"/>
      <c r="AB307" s="298"/>
      <c r="AC307" s="298"/>
      <c r="AD307" s="298"/>
      <c r="AE307" s="298"/>
      <c r="AF307" s="298"/>
      <c r="AG307" s="298"/>
      <c r="AH307" s="298"/>
      <c r="AI307" s="313"/>
      <c r="AJ307" s="313"/>
      <c r="AK307" s="313"/>
      <c r="AL307" s="298"/>
      <c r="AM307" s="298"/>
      <c r="AN307" s="298"/>
      <c r="AO307" s="298"/>
      <c r="AP307" s="298"/>
      <c r="AQ307" s="298"/>
    </row>
    <row r="308" spans="1:43" x14ac:dyDescent="0.25">
      <c r="A308" s="326"/>
      <c r="C308" s="301"/>
      <c r="D308" s="301"/>
      <c r="E308" s="301"/>
      <c r="F308" s="301"/>
      <c r="G308" s="301"/>
      <c r="H308" s="301"/>
      <c r="I308" s="301"/>
      <c r="J308" s="301"/>
      <c r="K308" s="301"/>
      <c r="L308" s="301"/>
      <c r="M308" s="301"/>
      <c r="N308" s="301"/>
      <c r="O308" s="301"/>
      <c r="P308" s="298"/>
      <c r="Q308" s="298"/>
      <c r="R308" s="298"/>
      <c r="S308" s="298"/>
      <c r="T308" s="298"/>
      <c r="U308" s="298"/>
      <c r="V308" s="298"/>
      <c r="W308" s="298"/>
      <c r="X308" s="298"/>
      <c r="Y308" s="298"/>
      <c r="Z308" s="298"/>
      <c r="AA308" s="298"/>
      <c r="AB308" s="298"/>
      <c r="AC308" s="298"/>
      <c r="AD308" s="298"/>
      <c r="AE308" s="298"/>
      <c r="AF308" s="298"/>
      <c r="AG308" s="298"/>
      <c r="AH308" s="298"/>
      <c r="AI308" s="313"/>
      <c r="AJ308" s="313"/>
      <c r="AK308" s="313"/>
      <c r="AL308" s="298"/>
      <c r="AM308" s="298"/>
      <c r="AN308" s="298"/>
      <c r="AO308" s="298"/>
      <c r="AP308" s="298"/>
      <c r="AQ308" s="298"/>
    </row>
    <row r="309" spans="1:43" x14ac:dyDescent="0.25">
      <c r="A309" s="326"/>
      <c r="C309" s="301"/>
      <c r="D309" s="301"/>
      <c r="E309" s="301"/>
      <c r="F309" s="301"/>
      <c r="G309" s="301"/>
      <c r="H309" s="301"/>
      <c r="I309" s="301"/>
      <c r="J309" s="301"/>
      <c r="K309" s="301"/>
      <c r="L309" s="301"/>
      <c r="M309" s="301"/>
      <c r="N309" s="301"/>
      <c r="O309" s="298"/>
      <c r="P309" s="298"/>
      <c r="Q309" s="298"/>
      <c r="R309" s="298"/>
      <c r="S309" s="298"/>
      <c r="T309" s="298"/>
      <c r="U309" s="298"/>
      <c r="V309" s="298"/>
      <c r="W309" s="298"/>
      <c r="X309" s="298"/>
      <c r="Y309" s="298"/>
      <c r="Z309" s="298"/>
      <c r="AA309" s="298"/>
      <c r="AB309" s="298"/>
      <c r="AC309" s="298"/>
      <c r="AD309" s="298"/>
      <c r="AE309" s="298"/>
      <c r="AF309" s="298"/>
      <c r="AG309" s="313"/>
      <c r="AH309" s="313"/>
      <c r="AI309" s="298"/>
      <c r="AJ309" s="298"/>
      <c r="AK309" s="298"/>
      <c r="AL309" s="298"/>
      <c r="AM309" s="298"/>
      <c r="AN309" s="298"/>
      <c r="AO309" s="298"/>
      <c r="AP309" s="298"/>
      <c r="AQ309" s="298"/>
    </row>
    <row r="310" spans="1:43" x14ac:dyDescent="0.25">
      <c r="A310" s="326"/>
      <c r="D310" s="322"/>
      <c r="E310" s="327"/>
      <c r="F310" s="327"/>
      <c r="G310" s="327"/>
      <c r="H310" s="327"/>
      <c r="I310" s="327"/>
      <c r="J310" s="327"/>
      <c r="K310" s="327"/>
      <c r="L310" s="327"/>
      <c r="M310" s="327"/>
      <c r="N310" s="327"/>
      <c r="O310" s="327"/>
      <c r="P310" s="327"/>
      <c r="Q310" s="327"/>
      <c r="R310" s="327"/>
      <c r="S310" s="327"/>
      <c r="T310" s="327"/>
      <c r="U310" s="327"/>
      <c r="V310" s="327"/>
      <c r="W310" s="327"/>
      <c r="X310" s="327"/>
      <c r="Y310" s="327"/>
      <c r="Z310" s="327"/>
      <c r="AA310" s="327"/>
      <c r="AB310" s="327"/>
      <c r="AC310" s="327"/>
      <c r="AD310" s="327"/>
      <c r="AE310" s="327"/>
      <c r="AF310" s="327"/>
      <c r="AG310" s="327"/>
      <c r="AH310" s="327"/>
      <c r="AI310" s="327"/>
      <c r="AJ310" s="327"/>
      <c r="AN310" s="298"/>
      <c r="AO310" s="298"/>
    </row>
    <row r="311" spans="1:43" x14ac:dyDescent="0.25">
      <c r="A311" s="326"/>
      <c r="D311" s="322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27"/>
      <c r="Y311" s="327"/>
      <c r="Z311" s="327"/>
      <c r="AA311" s="327"/>
      <c r="AB311" s="327"/>
      <c r="AC311" s="327"/>
      <c r="AD311" s="327"/>
      <c r="AE311" s="327"/>
      <c r="AF311" s="327"/>
      <c r="AG311" s="327"/>
      <c r="AH311" s="327"/>
      <c r="AI311" s="327"/>
      <c r="AJ311" s="327"/>
    </row>
    <row r="312" spans="1:43" x14ac:dyDescent="0.25">
      <c r="A312" s="326"/>
      <c r="D312" s="322"/>
      <c r="E312" s="327"/>
      <c r="F312" s="327"/>
      <c r="G312" s="327"/>
      <c r="H312" s="327"/>
      <c r="I312" s="327"/>
      <c r="J312" s="327"/>
      <c r="K312" s="327"/>
      <c r="L312" s="327"/>
      <c r="M312" s="327"/>
      <c r="N312" s="327"/>
      <c r="O312" s="327"/>
      <c r="P312" s="327"/>
      <c r="Q312" s="327"/>
      <c r="R312" s="327"/>
      <c r="S312" s="327"/>
      <c r="T312" s="327"/>
      <c r="U312" s="327"/>
      <c r="V312" s="327"/>
      <c r="W312" s="327"/>
      <c r="X312" s="327"/>
      <c r="Y312" s="327"/>
      <c r="Z312" s="327"/>
      <c r="AA312" s="327"/>
      <c r="AB312" s="327"/>
      <c r="AC312" s="327"/>
      <c r="AD312" s="327"/>
      <c r="AE312" s="327"/>
      <c r="AF312" s="327"/>
      <c r="AG312" s="327"/>
      <c r="AH312" s="327"/>
      <c r="AI312" s="327"/>
      <c r="AJ312" s="327"/>
    </row>
    <row r="313" spans="1:43" x14ac:dyDescent="0.25">
      <c r="A313" s="326"/>
      <c r="D313" s="322"/>
      <c r="E313" s="327"/>
      <c r="F313" s="327"/>
      <c r="G313" s="327"/>
      <c r="H313" s="327"/>
      <c r="I313" s="327"/>
      <c r="J313" s="327"/>
      <c r="K313" s="327"/>
      <c r="L313" s="327"/>
      <c r="M313" s="327"/>
      <c r="N313" s="327"/>
      <c r="O313" s="327"/>
      <c r="P313" s="327"/>
      <c r="Q313" s="327"/>
      <c r="R313" s="327"/>
      <c r="S313" s="327"/>
      <c r="T313" s="327"/>
      <c r="U313" s="327"/>
      <c r="V313" s="327"/>
      <c r="W313" s="327"/>
      <c r="X313" s="327"/>
      <c r="Y313" s="327"/>
      <c r="Z313" s="327"/>
      <c r="AA313" s="327"/>
      <c r="AB313" s="327"/>
      <c r="AC313" s="327"/>
      <c r="AD313" s="327"/>
      <c r="AE313" s="327"/>
      <c r="AF313" s="327"/>
      <c r="AG313" s="327"/>
      <c r="AH313" s="327"/>
      <c r="AI313" s="327"/>
      <c r="AJ313" s="327"/>
    </row>
    <row r="314" spans="1:43" x14ac:dyDescent="0.25">
      <c r="A314" s="326"/>
      <c r="D314" s="322"/>
      <c r="E314" s="327"/>
      <c r="F314" s="327"/>
      <c r="G314" s="327"/>
      <c r="H314" s="327"/>
      <c r="I314" s="327"/>
      <c r="J314" s="327"/>
      <c r="K314" s="327"/>
      <c r="L314" s="327"/>
      <c r="M314" s="327"/>
      <c r="N314" s="327"/>
      <c r="O314" s="327"/>
      <c r="P314" s="327"/>
      <c r="Q314" s="327"/>
      <c r="R314" s="327"/>
      <c r="S314" s="327"/>
      <c r="T314" s="327"/>
      <c r="U314" s="327"/>
      <c r="V314" s="327"/>
      <c r="W314" s="327"/>
      <c r="X314" s="327"/>
      <c r="Y314" s="327"/>
      <c r="Z314" s="327"/>
      <c r="AA314" s="327"/>
      <c r="AB314" s="327"/>
      <c r="AC314" s="327"/>
      <c r="AD314" s="327"/>
      <c r="AE314" s="327"/>
      <c r="AF314" s="327"/>
      <c r="AG314" s="327"/>
      <c r="AH314" s="327"/>
      <c r="AI314" s="327"/>
      <c r="AJ314" s="327"/>
    </row>
    <row r="315" spans="1:43" x14ac:dyDescent="0.25">
      <c r="A315" s="326"/>
      <c r="D315" s="322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27"/>
      <c r="Y315" s="327"/>
      <c r="Z315" s="327"/>
      <c r="AA315" s="327"/>
      <c r="AB315" s="327"/>
      <c r="AC315" s="327"/>
      <c r="AD315" s="327"/>
      <c r="AE315" s="327"/>
      <c r="AF315" s="327"/>
      <c r="AG315" s="327"/>
      <c r="AH315" s="327"/>
      <c r="AI315" s="327"/>
      <c r="AJ315" s="327"/>
    </row>
    <row r="316" spans="1:43" x14ac:dyDescent="0.25">
      <c r="A316" s="326"/>
      <c r="D316" s="322"/>
      <c r="E316" s="327"/>
      <c r="F316" s="327"/>
      <c r="G316" s="327"/>
      <c r="H316" s="327"/>
      <c r="I316" s="327"/>
      <c r="J316" s="327"/>
      <c r="K316" s="327"/>
      <c r="L316" s="327"/>
      <c r="M316" s="327"/>
      <c r="N316" s="327"/>
      <c r="O316" s="327"/>
      <c r="P316" s="327"/>
      <c r="Q316" s="327"/>
      <c r="R316" s="327"/>
      <c r="S316" s="327"/>
      <c r="T316" s="327"/>
      <c r="U316" s="327"/>
      <c r="V316" s="327"/>
      <c r="W316" s="327"/>
      <c r="X316" s="327"/>
      <c r="Y316" s="327"/>
      <c r="Z316" s="327"/>
      <c r="AA316" s="327"/>
      <c r="AB316" s="327"/>
      <c r="AC316" s="327"/>
      <c r="AD316" s="327"/>
      <c r="AE316" s="327"/>
      <c r="AF316" s="327"/>
      <c r="AG316" s="327"/>
      <c r="AH316" s="327"/>
      <c r="AI316" s="327"/>
      <c r="AJ316" s="327"/>
    </row>
    <row r="317" spans="1:43" x14ac:dyDescent="0.25">
      <c r="A317" s="326"/>
      <c r="D317" s="322"/>
      <c r="E317" s="327"/>
      <c r="F317" s="327"/>
      <c r="G317" s="327"/>
      <c r="H317" s="327"/>
      <c r="I317" s="327"/>
      <c r="J317" s="327"/>
      <c r="K317" s="327"/>
      <c r="L317" s="327"/>
      <c r="M317" s="327"/>
      <c r="N317" s="327"/>
      <c r="O317" s="327"/>
      <c r="P317" s="327"/>
      <c r="Q317" s="327"/>
      <c r="R317" s="327"/>
      <c r="S317" s="327"/>
      <c r="T317" s="327"/>
      <c r="U317" s="327"/>
      <c r="V317" s="327"/>
      <c r="W317" s="327"/>
      <c r="X317" s="327"/>
      <c r="Y317" s="327"/>
      <c r="Z317" s="327"/>
      <c r="AA317" s="327"/>
      <c r="AB317" s="327"/>
      <c r="AC317" s="327"/>
      <c r="AD317" s="327"/>
      <c r="AE317" s="327"/>
      <c r="AF317" s="327"/>
      <c r="AG317" s="327"/>
      <c r="AH317" s="327"/>
      <c r="AI317" s="327"/>
      <c r="AJ317" s="327"/>
    </row>
    <row r="318" spans="1:43" x14ac:dyDescent="0.25">
      <c r="A318" s="326"/>
      <c r="D318" s="322"/>
      <c r="E318" s="327"/>
      <c r="F318" s="327"/>
      <c r="G318" s="327"/>
      <c r="H318" s="327"/>
      <c r="I318" s="327"/>
      <c r="J318" s="327"/>
      <c r="K318" s="327"/>
      <c r="L318" s="327"/>
      <c r="M318" s="327"/>
      <c r="N318" s="327"/>
      <c r="O318" s="327"/>
      <c r="P318" s="327"/>
      <c r="Q318" s="327"/>
      <c r="R318" s="327"/>
      <c r="S318" s="327"/>
      <c r="T318" s="327"/>
      <c r="U318" s="327"/>
      <c r="V318" s="327"/>
      <c r="W318" s="327"/>
      <c r="X318" s="327"/>
      <c r="Y318" s="327"/>
      <c r="Z318" s="327"/>
      <c r="AA318" s="327"/>
      <c r="AB318" s="327"/>
      <c r="AC318" s="327"/>
      <c r="AD318" s="327"/>
      <c r="AE318" s="327"/>
      <c r="AF318" s="327"/>
      <c r="AG318" s="327"/>
      <c r="AH318" s="327"/>
      <c r="AI318" s="327"/>
      <c r="AJ318" s="327"/>
    </row>
    <row r="319" spans="1:43" x14ac:dyDescent="0.25">
      <c r="A319" s="326"/>
      <c r="D319" s="322"/>
      <c r="E319" s="327"/>
      <c r="F319" s="327"/>
      <c r="G319" s="327"/>
      <c r="H319" s="327"/>
      <c r="I319" s="327"/>
      <c r="J319" s="327"/>
      <c r="K319" s="327"/>
      <c r="L319" s="327"/>
      <c r="M319" s="327"/>
      <c r="N319" s="327"/>
      <c r="O319" s="327"/>
      <c r="P319" s="327"/>
      <c r="Q319" s="327"/>
      <c r="R319" s="327"/>
      <c r="S319" s="327"/>
      <c r="T319" s="327"/>
      <c r="U319" s="327"/>
      <c r="V319" s="327"/>
      <c r="W319" s="327"/>
      <c r="X319" s="327"/>
      <c r="Y319" s="327"/>
      <c r="Z319" s="327"/>
      <c r="AA319" s="327"/>
      <c r="AB319" s="327"/>
      <c r="AC319" s="327"/>
      <c r="AD319" s="327"/>
      <c r="AE319" s="327"/>
      <c r="AF319" s="327"/>
      <c r="AG319" s="327"/>
      <c r="AH319" s="327"/>
      <c r="AI319" s="327"/>
      <c r="AJ319" s="327"/>
    </row>
    <row r="320" spans="1:43" x14ac:dyDescent="0.25">
      <c r="D320" s="322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327"/>
      <c r="Z320" s="327"/>
      <c r="AA320" s="327"/>
      <c r="AB320" s="327"/>
      <c r="AC320" s="327"/>
      <c r="AD320" s="327"/>
      <c r="AE320" s="327"/>
      <c r="AF320" s="327"/>
      <c r="AG320" s="327"/>
      <c r="AH320" s="327"/>
      <c r="AI320" s="327"/>
      <c r="AJ320" s="327"/>
    </row>
    <row r="321" spans="1:36" x14ac:dyDescent="0.25">
      <c r="D321" s="322"/>
      <c r="E321" s="327"/>
      <c r="F321" s="327"/>
      <c r="G321" s="327"/>
      <c r="H321" s="327"/>
      <c r="I321" s="327"/>
      <c r="J321" s="327"/>
      <c r="K321" s="327"/>
      <c r="L321" s="327"/>
      <c r="M321" s="327"/>
      <c r="N321" s="327"/>
      <c r="O321" s="327"/>
      <c r="P321" s="327"/>
      <c r="Q321" s="327"/>
      <c r="R321" s="327"/>
      <c r="S321" s="327"/>
      <c r="T321" s="327"/>
      <c r="U321" s="327"/>
      <c r="V321" s="327"/>
      <c r="W321" s="327"/>
      <c r="X321" s="327"/>
      <c r="Y321" s="327"/>
      <c r="Z321" s="327"/>
      <c r="AA321" s="327"/>
      <c r="AB321" s="327"/>
      <c r="AC321" s="327"/>
      <c r="AD321" s="327"/>
      <c r="AE321" s="327"/>
      <c r="AF321" s="327"/>
      <c r="AG321" s="327"/>
      <c r="AH321" s="327"/>
      <c r="AI321" s="327"/>
      <c r="AJ321" s="327"/>
    </row>
    <row r="322" spans="1:36" x14ac:dyDescent="0.25">
      <c r="D322" s="322"/>
      <c r="E322" s="327"/>
      <c r="F322" s="327"/>
      <c r="G322" s="327"/>
      <c r="H322" s="327"/>
      <c r="I322" s="327"/>
      <c r="J322" s="327"/>
      <c r="K322" s="327"/>
      <c r="L322" s="327"/>
      <c r="M322" s="327"/>
      <c r="N322" s="327"/>
      <c r="O322" s="327"/>
      <c r="P322" s="327"/>
      <c r="Q322" s="327"/>
      <c r="R322" s="327"/>
      <c r="S322" s="327"/>
      <c r="T322" s="327"/>
      <c r="U322" s="327"/>
      <c r="V322" s="327"/>
      <c r="W322" s="327"/>
      <c r="X322" s="327"/>
      <c r="Y322" s="327"/>
      <c r="Z322" s="327"/>
      <c r="AA322" s="327"/>
      <c r="AB322" s="327"/>
      <c r="AC322" s="327"/>
      <c r="AD322" s="327"/>
      <c r="AE322" s="327"/>
      <c r="AF322" s="327"/>
      <c r="AG322" s="327"/>
      <c r="AH322" s="327"/>
      <c r="AI322" s="327"/>
      <c r="AJ322" s="327"/>
    </row>
    <row r="323" spans="1:36" x14ac:dyDescent="0.25">
      <c r="D323" s="322"/>
      <c r="E323" s="327"/>
      <c r="F323" s="327"/>
      <c r="G323" s="327"/>
      <c r="H323" s="327"/>
      <c r="I323" s="327"/>
      <c r="J323" s="327"/>
      <c r="K323" s="327"/>
      <c r="L323" s="327"/>
      <c r="M323" s="327"/>
      <c r="N323" s="327"/>
      <c r="O323" s="327"/>
      <c r="P323" s="327"/>
      <c r="Q323" s="327"/>
      <c r="R323" s="327"/>
      <c r="S323" s="327"/>
      <c r="T323" s="327"/>
      <c r="U323" s="327"/>
      <c r="V323" s="327"/>
      <c r="W323" s="327"/>
      <c r="X323" s="327"/>
      <c r="Y323" s="327"/>
      <c r="Z323" s="327"/>
      <c r="AA323" s="327"/>
      <c r="AB323" s="327"/>
      <c r="AC323" s="327"/>
      <c r="AD323" s="327"/>
      <c r="AE323" s="327"/>
      <c r="AF323" s="327"/>
      <c r="AG323" s="327"/>
      <c r="AH323" s="327"/>
      <c r="AI323" s="327"/>
      <c r="AJ323" s="327"/>
    </row>
    <row r="324" spans="1:36" x14ac:dyDescent="0.25">
      <c r="D324" s="322"/>
      <c r="E324" s="327"/>
      <c r="F324" s="327"/>
      <c r="G324" s="327"/>
      <c r="H324" s="327"/>
      <c r="I324" s="327"/>
      <c r="J324" s="327"/>
      <c r="K324" s="327"/>
      <c r="L324" s="327"/>
      <c r="M324" s="327"/>
      <c r="N324" s="327"/>
      <c r="O324" s="327"/>
      <c r="P324" s="327"/>
      <c r="Q324" s="327"/>
      <c r="R324" s="327"/>
      <c r="S324" s="327"/>
      <c r="T324" s="327"/>
      <c r="U324" s="327"/>
      <c r="V324" s="327"/>
      <c r="W324" s="327"/>
      <c r="X324" s="327"/>
      <c r="Y324" s="327"/>
      <c r="Z324" s="327"/>
      <c r="AA324" s="327"/>
      <c r="AB324" s="327"/>
      <c r="AC324" s="327"/>
      <c r="AD324" s="327"/>
      <c r="AE324" s="327"/>
      <c r="AF324" s="327"/>
      <c r="AG324" s="327"/>
      <c r="AH324" s="327"/>
      <c r="AI324" s="327"/>
      <c r="AJ324" s="327"/>
    </row>
    <row r="325" spans="1:36" x14ac:dyDescent="0.25">
      <c r="D325" s="322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327"/>
      <c r="Z325" s="327"/>
      <c r="AA325" s="327"/>
      <c r="AB325" s="327"/>
      <c r="AC325" s="327"/>
      <c r="AD325" s="327"/>
      <c r="AE325" s="327"/>
      <c r="AF325" s="327"/>
      <c r="AG325" s="327"/>
      <c r="AH325" s="327"/>
      <c r="AI325" s="327"/>
      <c r="AJ325" s="327"/>
    </row>
    <row r="326" spans="1:36" x14ac:dyDescent="0.25">
      <c r="D326" s="322"/>
      <c r="E326" s="327"/>
      <c r="F326" s="327"/>
      <c r="G326" s="327"/>
      <c r="H326" s="327"/>
      <c r="I326" s="327"/>
      <c r="J326" s="327"/>
      <c r="K326" s="327"/>
      <c r="L326" s="327"/>
      <c r="M326" s="327"/>
      <c r="N326" s="327"/>
      <c r="O326" s="327"/>
      <c r="P326" s="327"/>
      <c r="Q326" s="327"/>
      <c r="R326" s="327"/>
      <c r="S326" s="327"/>
      <c r="T326" s="327"/>
      <c r="U326" s="327"/>
      <c r="V326" s="327"/>
      <c r="W326" s="327"/>
      <c r="X326" s="327"/>
      <c r="Y326" s="327"/>
      <c r="Z326" s="327"/>
      <c r="AA326" s="327"/>
      <c r="AB326" s="327"/>
      <c r="AC326" s="327"/>
      <c r="AD326" s="327"/>
      <c r="AE326" s="327"/>
      <c r="AF326" s="327"/>
      <c r="AG326" s="327"/>
      <c r="AH326" s="327"/>
      <c r="AI326" s="327"/>
      <c r="AJ326" s="327"/>
    </row>
    <row r="327" spans="1:36" x14ac:dyDescent="0.25">
      <c r="A327" s="325"/>
      <c r="D327" s="322"/>
      <c r="E327" s="327"/>
      <c r="F327" s="327"/>
      <c r="G327" s="327"/>
      <c r="H327" s="327"/>
      <c r="I327" s="327"/>
      <c r="J327" s="327"/>
      <c r="K327" s="327"/>
      <c r="L327" s="327"/>
      <c r="M327" s="327"/>
      <c r="N327" s="327"/>
      <c r="O327" s="327"/>
      <c r="P327" s="327"/>
      <c r="Q327" s="327"/>
      <c r="R327" s="327"/>
      <c r="S327" s="327"/>
      <c r="T327" s="327"/>
      <c r="U327" s="327"/>
      <c r="V327" s="327"/>
      <c r="W327" s="327"/>
      <c r="X327" s="327"/>
      <c r="Y327" s="327"/>
      <c r="Z327" s="327"/>
      <c r="AA327" s="327"/>
      <c r="AB327" s="327"/>
      <c r="AC327" s="327"/>
      <c r="AD327" s="327"/>
      <c r="AE327" s="327"/>
      <c r="AF327" s="327"/>
      <c r="AG327" s="327"/>
      <c r="AH327" s="327"/>
      <c r="AI327" s="327"/>
      <c r="AJ327" s="327"/>
    </row>
    <row r="328" spans="1:36" x14ac:dyDescent="0.25">
      <c r="A328" s="326"/>
      <c r="D328" s="322"/>
      <c r="E328" s="327"/>
      <c r="F328" s="327"/>
      <c r="G328" s="327"/>
      <c r="H328" s="327"/>
      <c r="I328" s="327"/>
      <c r="J328" s="327"/>
      <c r="K328" s="327"/>
      <c r="L328" s="327"/>
      <c r="M328" s="327"/>
      <c r="N328" s="327"/>
      <c r="O328" s="327"/>
      <c r="P328" s="327"/>
      <c r="Q328" s="327"/>
      <c r="R328" s="327"/>
      <c r="S328" s="327"/>
      <c r="T328" s="327"/>
      <c r="U328" s="327"/>
      <c r="V328" s="327"/>
      <c r="W328" s="327"/>
      <c r="X328" s="327"/>
      <c r="Y328" s="327"/>
      <c r="Z328" s="327"/>
      <c r="AA328" s="327"/>
      <c r="AB328" s="327"/>
      <c r="AC328" s="327"/>
      <c r="AD328" s="327"/>
      <c r="AE328" s="327"/>
      <c r="AF328" s="327"/>
      <c r="AG328" s="327"/>
      <c r="AH328" s="327"/>
      <c r="AI328" s="327"/>
      <c r="AJ328" s="327"/>
    </row>
    <row r="329" spans="1:36" x14ac:dyDescent="0.25">
      <c r="A329" s="326"/>
      <c r="D329" s="322"/>
      <c r="E329" s="327"/>
      <c r="F329" s="327"/>
      <c r="G329" s="327"/>
      <c r="H329" s="327"/>
      <c r="I329" s="327"/>
      <c r="J329" s="327"/>
      <c r="K329" s="327"/>
      <c r="L329" s="327"/>
      <c r="M329" s="327"/>
      <c r="N329" s="327"/>
      <c r="O329" s="327"/>
      <c r="P329" s="327"/>
      <c r="Q329" s="327"/>
      <c r="R329" s="327"/>
      <c r="S329" s="327"/>
      <c r="T329" s="327"/>
      <c r="U329" s="327"/>
      <c r="V329" s="327"/>
      <c r="W329" s="327"/>
      <c r="X329" s="327"/>
      <c r="Y329" s="327"/>
      <c r="Z329" s="327"/>
      <c r="AA329" s="327"/>
      <c r="AB329" s="327"/>
      <c r="AC329" s="327"/>
      <c r="AD329" s="327"/>
      <c r="AE329" s="327"/>
      <c r="AF329" s="327"/>
      <c r="AG329" s="327"/>
      <c r="AH329" s="327"/>
      <c r="AI329" s="327"/>
      <c r="AJ329" s="327"/>
    </row>
    <row r="330" spans="1:36" x14ac:dyDescent="0.25">
      <c r="A330" s="326"/>
      <c r="D330" s="322"/>
      <c r="E330" s="327"/>
      <c r="F330" s="327"/>
      <c r="G330" s="327"/>
      <c r="H330" s="327"/>
      <c r="I330" s="327"/>
      <c r="J330" s="327"/>
      <c r="K330" s="327"/>
      <c r="L330" s="327"/>
      <c r="M330" s="327"/>
      <c r="N330" s="327"/>
      <c r="O330" s="327"/>
      <c r="P330" s="327"/>
      <c r="Q330" s="327"/>
      <c r="R330" s="327"/>
      <c r="S330" s="327"/>
      <c r="T330" s="327"/>
      <c r="U330" s="327"/>
      <c r="V330" s="327"/>
      <c r="W330" s="327"/>
      <c r="X330" s="327"/>
      <c r="Y330" s="327"/>
      <c r="Z330" s="327"/>
      <c r="AA330" s="327"/>
      <c r="AB330" s="327"/>
      <c r="AC330" s="327"/>
      <c r="AD330" s="327"/>
      <c r="AE330" s="327"/>
      <c r="AF330" s="327"/>
      <c r="AG330" s="327"/>
      <c r="AH330" s="327"/>
      <c r="AI330" s="327"/>
      <c r="AJ330" s="327"/>
    </row>
    <row r="331" spans="1:36" x14ac:dyDescent="0.25">
      <c r="A331" s="326"/>
      <c r="D331" s="322"/>
      <c r="E331" s="327"/>
      <c r="F331" s="327"/>
      <c r="G331" s="327"/>
      <c r="H331" s="327"/>
      <c r="I331" s="327"/>
      <c r="J331" s="327"/>
      <c r="K331" s="327"/>
      <c r="L331" s="327"/>
      <c r="M331" s="327"/>
      <c r="N331" s="327"/>
      <c r="O331" s="327"/>
      <c r="P331" s="327"/>
      <c r="Q331" s="327"/>
      <c r="R331" s="327"/>
      <c r="S331" s="327"/>
      <c r="T331" s="327"/>
      <c r="U331" s="327"/>
      <c r="V331" s="327"/>
      <c r="W331" s="327"/>
      <c r="X331" s="327"/>
      <c r="Y331" s="327"/>
      <c r="Z331" s="327"/>
      <c r="AA331" s="327"/>
      <c r="AB331" s="327"/>
      <c r="AC331" s="327"/>
      <c r="AD331" s="327"/>
      <c r="AE331" s="327"/>
      <c r="AF331" s="327"/>
      <c r="AG331" s="327"/>
      <c r="AH331" s="327"/>
      <c r="AI331" s="327"/>
      <c r="AJ331" s="327"/>
    </row>
    <row r="332" spans="1:36" x14ac:dyDescent="0.25">
      <c r="A332" s="326"/>
      <c r="D332" s="322"/>
      <c r="E332" s="327"/>
      <c r="F332" s="327"/>
      <c r="G332" s="327"/>
      <c r="H332" s="327"/>
      <c r="I332" s="327"/>
      <c r="J332" s="327"/>
      <c r="K332" s="327"/>
      <c r="L332" s="327"/>
      <c r="M332" s="327"/>
      <c r="N332" s="327"/>
      <c r="O332" s="327"/>
      <c r="P332" s="327"/>
      <c r="Q332" s="327"/>
      <c r="R332" s="327"/>
      <c r="S332" s="327"/>
      <c r="T332" s="327"/>
      <c r="U332" s="327"/>
      <c r="V332" s="327"/>
      <c r="W332" s="327"/>
      <c r="X332" s="327"/>
      <c r="Y332" s="327"/>
      <c r="Z332" s="327"/>
      <c r="AA332" s="327"/>
      <c r="AB332" s="327"/>
      <c r="AC332" s="327"/>
      <c r="AD332" s="327"/>
      <c r="AE332" s="327"/>
      <c r="AF332" s="327"/>
      <c r="AG332" s="327"/>
      <c r="AH332" s="327"/>
      <c r="AI332" s="327"/>
      <c r="AJ332" s="327"/>
    </row>
    <row r="333" spans="1:36" x14ac:dyDescent="0.25">
      <c r="A333" s="326"/>
      <c r="D333" s="322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27"/>
      <c r="Z333" s="327"/>
      <c r="AA333" s="327"/>
      <c r="AB333" s="327"/>
      <c r="AC333" s="327"/>
      <c r="AD333" s="327"/>
      <c r="AE333" s="327"/>
      <c r="AF333" s="327"/>
      <c r="AG333" s="327"/>
      <c r="AH333" s="327"/>
      <c r="AI333" s="327"/>
      <c r="AJ333" s="327"/>
    </row>
    <row r="334" spans="1:36" x14ac:dyDescent="0.25">
      <c r="A334" s="326"/>
      <c r="D334" s="322"/>
      <c r="E334" s="327"/>
      <c r="F334" s="327"/>
      <c r="G334" s="327"/>
      <c r="H334" s="327"/>
      <c r="I334" s="327"/>
      <c r="J334" s="327"/>
      <c r="K334" s="327"/>
      <c r="L334" s="327"/>
      <c r="M334" s="327"/>
      <c r="N334" s="327"/>
      <c r="O334" s="327"/>
      <c r="P334" s="327"/>
      <c r="Q334" s="327"/>
      <c r="R334" s="327"/>
      <c r="S334" s="327"/>
      <c r="T334" s="327"/>
      <c r="U334" s="327"/>
      <c r="V334" s="327"/>
      <c r="W334" s="327"/>
      <c r="X334" s="327"/>
      <c r="Y334" s="327"/>
      <c r="Z334" s="327"/>
      <c r="AA334" s="327"/>
      <c r="AB334" s="327"/>
      <c r="AC334" s="327"/>
      <c r="AD334" s="327"/>
      <c r="AE334" s="327"/>
      <c r="AF334" s="327"/>
      <c r="AG334" s="327"/>
      <c r="AH334" s="327"/>
      <c r="AI334" s="327"/>
      <c r="AJ334" s="327"/>
    </row>
    <row r="335" spans="1:36" x14ac:dyDescent="0.25">
      <c r="A335" s="326"/>
      <c r="D335" s="322"/>
      <c r="E335" s="327"/>
      <c r="F335" s="327"/>
      <c r="G335" s="327"/>
      <c r="H335" s="327"/>
      <c r="I335" s="327"/>
      <c r="J335" s="327"/>
      <c r="K335" s="327"/>
      <c r="L335" s="327"/>
      <c r="M335" s="327"/>
      <c r="N335" s="327"/>
      <c r="O335" s="327"/>
      <c r="P335" s="327"/>
      <c r="Q335" s="327"/>
      <c r="R335" s="327"/>
      <c r="S335" s="327"/>
      <c r="T335" s="327"/>
      <c r="U335" s="327"/>
      <c r="V335" s="327"/>
      <c r="W335" s="327"/>
      <c r="X335" s="327"/>
      <c r="Y335" s="327"/>
      <c r="Z335" s="327"/>
      <c r="AA335" s="327"/>
      <c r="AB335" s="327"/>
      <c r="AC335" s="327"/>
      <c r="AD335" s="327"/>
      <c r="AE335" s="327"/>
      <c r="AF335" s="327"/>
      <c r="AG335" s="327"/>
      <c r="AH335" s="327"/>
      <c r="AI335" s="327"/>
      <c r="AJ335" s="327"/>
    </row>
    <row r="336" spans="1:36" x14ac:dyDescent="0.25">
      <c r="A336" s="326"/>
      <c r="D336" s="322"/>
      <c r="E336" s="327"/>
      <c r="F336" s="327"/>
      <c r="G336" s="327"/>
      <c r="H336" s="327"/>
      <c r="I336" s="327"/>
      <c r="J336" s="327"/>
      <c r="K336" s="327"/>
      <c r="L336" s="327"/>
      <c r="M336" s="327"/>
      <c r="N336" s="327"/>
      <c r="O336" s="327"/>
      <c r="P336" s="327"/>
      <c r="Q336" s="327"/>
      <c r="R336" s="327"/>
      <c r="S336" s="327"/>
      <c r="T336" s="327"/>
      <c r="U336" s="327"/>
      <c r="V336" s="327"/>
      <c r="W336" s="327"/>
      <c r="X336" s="327"/>
      <c r="Y336" s="327"/>
      <c r="Z336" s="327"/>
      <c r="AA336" s="327"/>
      <c r="AB336" s="327"/>
      <c r="AC336" s="327"/>
      <c r="AD336" s="327"/>
      <c r="AE336" s="327"/>
      <c r="AF336" s="327"/>
      <c r="AG336" s="327"/>
      <c r="AH336" s="327"/>
      <c r="AI336" s="327"/>
      <c r="AJ336" s="327"/>
    </row>
    <row r="337" spans="1:36" x14ac:dyDescent="0.25">
      <c r="A337" s="326"/>
      <c r="D337" s="322"/>
      <c r="E337" s="327"/>
      <c r="F337" s="327"/>
      <c r="G337" s="327"/>
      <c r="H337" s="327"/>
      <c r="I337" s="327"/>
      <c r="J337" s="327"/>
      <c r="K337" s="327"/>
      <c r="L337" s="327"/>
      <c r="M337" s="327"/>
      <c r="N337" s="327"/>
      <c r="O337" s="327"/>
      <c r="P337" s="327"/>
      <c r="Q337" s="327"/>
      <c r="R337" s="327"/>
      <c r="S337" s="327"/>
      <c r="T337" s="327"/>
      <c r="U337" s="327"/>
      <c r="V337" s="327"/>
      <c r="W337" s="327"/>
      <c r="X337" s="327"/>
      <c r="Y337" s="327"/>
      <c r="Z337" s="327"/>
      <c r="AA337" s="327"/>
      <c r="AB337" s="327"/>
      <c r="AC337" s="327"/>
      <c r="AD337" s="327"/>
      <c r="AE337" s="327"/>
      <c r="AF337" s="327"/>
      <c r="AG337" s="327"/>
      <c r="AH337" s="327"/>
      <c r="AI337" s="327"/>
      <c r="AJ337" s="327"/>
    </row>
    <row r="338" spans="1:36" x14ac:dyDescent="0.25">
      <c r="A338" s="326"/>
      <c r="D338" s="322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327"/>
      <c r="Z338" s="327"/>
      <c r="AA338" s="327"/>
      <c r="AB338" s="327"/>
      <c r="AC338" s="327"/>
      <c r="AD338" s="327"/>
      <c r="AE338" s="327"/>
      <c r="AF338" s="327"/>
      <c r="AG338" s="327"/>
      <c r="AH338" s="327"/>
      <c r="AI338" s="327"/>
      <c r="AJ338" s="327"/>
    </row>
    <row r="339" spans="1:36" x14ac:dyDescent="0.25">
      <c r="A339" s="326"/>
      <c r="D339" s="322"/>
      <c r="E339" s="327"/>
      <c r="F339" s="327"/>
      <c r="G339" s="327"/>
      <c r="H339" s="327"/>
      <c r="I339" s="327"/>
      <c r="J339" s="327"/>
      <c r="K339" s="327"/>
      <c r="L339" s="327"/>
      <c r="M339" s="327"/>
      <c r="N339" s="327"/>
      <c r="O339" s="327"/>
      <c r="P339" s="327"/>
      <c r="Q339" s="327"/>
      <c r="R339" s="327"/>
      <c r="S339" s="327"/>
      <c r="T339" s="327"/>
      <c r="U339" s="327"/>
      <c r="V339" s="327"/>
      <c r="W339" s="327"/>
      <c r="X339" s="327"/>
      <c r="Y339" s="327"/>
      <c r="Z339" s="327"/>
      <c r="AA339" s="327"/>
      <c r="AB339" s="327"/>
      <c r="AC339" s="327"/>
      <c r="AD339" s="327"/>
      <c r="AE339" s="327"/>
      <c r="AF339" s="327"/>
      <c r="AG339" s="327"/>
      <c r="AH339" s="327"/>
      <c r="AI339" s="327"/>
      <c r="AJ339" s="327"/>
    </row>
    <row r="340" spans="1:36" x14ac:dyDescent="0.25">
      <c r="A340" s="326"/>
      <c r="D340" s="322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27"/>
      <c r="Y340" s="327"/>
      <c r="Z340" s="327"/>
      <c r="AA340" s="327"/>
      <c r="AB340" s="327"/>
      <c r="AC340" s="327"/>
      <c r="AD340" s="327"/>
      <c r="AE340" s="327"/>
      <c r="AF340" s="327"/>
      <c r="AG340" s="327"/>
      <c r="AH340" s="327"/>
      <c r="AI340" s="327"/>
      <c r="AJ340" s="327"/>
    </row>
    <row r="341" spans="1:36" x14ac:dyDescent="0.25">
      <c r="A341" s="326"/>
      <c r="D341" s="322"/>
      <c r="E341" s="327"/>
      <c r="F341" s="327"/>
      <c r="G341" s="327"/>
      <c r="H341" s="327"/>
      <c r="I341" s="327"/>
      <c r="J341" s="327"/>
      <c r="K341" s="327"/>
      <c r="L341" s="327"/>
      <c r="M341" s="327"/>
      <c r="N341" s="327"/>
      <c r="O341" s="327"/>
      <c r="P341" s="327"/>
      <c r="Q341" s="327"/>
      <c r="R341" s="327"/>
      <c r="S341" s="327"/>
      <c r="T341" s="327"/>
      <c r="U341" s="327"/>
      <c r="V341" s="327"/>
      <c r="W341" s="327"/>
      <c r="X341" s="327"/>
      <c r="Y341" s="327"/>
      <c r="Z341" s="327"/>
      <c r="AA341" s="327"/>
      <c r="AB341" s="327"/>
      <c r="AC341" s="327"/>
      <c r="AD341" s="327"/>
      <c r="AE341" s="327"/>
      <c r="AF341" s="327"/>
      <c r="AG341" s="327"/>
      <c r="AH341" s="327"/>
      <c r="AI341" s="327"/>
      <c r="AJ341" s="327"/>
    </row>
    <row r="342" spans="1:36" x14ac:dyDescent="0.25">
      <c r="A342" s="326"/>
      <c r="D342" s="322"/>
      <c r="E342" s="327"/>
      <c r="F342" s="327"/>
      <c r="G342" s="327"/>
      <c r="H342" s="327"/>
      <c r="I342" s="327"/>
      <c r="J342" s="327"/>
      <c r="K342" s="327"/>
      <c r="L342" s="327"/>
      <c r="M342" s="327"/>
      <c r="N342" s="327"/>
      <c r="O342" s="327"/>
      <c r="P342" s="327"/>
      <c r="Q342" s="327"/>
      <c r="R342" s="327"/>
      <c r="S342" s="327"/>
      <c r="T342" s="327"/>
      <c r="U342" s="327"/>
      <c r="V342" s="327"/>
      <c r="W342" s="327"/>
      <c r="X342" s="327"/>
      <c r="Y342" s="327"/>
      <c r="Z342" s="327"/>
      <c r="AA342" s="327"/>
      <c r="AB342" s="327"/>
      <c r="AC342" s="327"/>
      <c r="AD342" s="327"/>
      <c r="AE342" s="327"/>
      <c r="AF342" s="327"/>
      <c r="AG342" s="327"/>
      <c r="AH342" s="327"/>
      <c r="AI342" s="327"/>
      <c r="AJ342" s="327"/>
    </row>
    <row r="343" spans="1:36" x14ac:dyDescent="0.25">
      <c r="A343" s="326"/>
      <c r="D343" s="322"/>
      <c r="E343" s="327"/>
      <c r="F343" s="327"/>
      <c r="G343" s="327"/>
      <c r="H343" s="327"/>
      <c r="I343" s="327"/>
      <c r="J343" s="327"/>
      <c r="K343" s="327"/>
      <c r="L343" s="327"/>
      <c r="M343" s="327"/>
      <c r="N343" s="327"/>
      <c r="O343" s="327"/>
      <c r="P343" s="327"/>
      <c r="Q343" s="327"/>
      <c r="R343" s="327"/>
      <c r="S343" s="327"/>
      <c r="T343" s="327"/>
      <c r="U343" s="327"/>
      <c r="V343" s="327"/>
      <c r="W343" s="327"/>
      <c r="X343" s="327"/>
      <c r="Y343" s="327"/>
      <c r="Z343" s="327"/>
      <c r="AA343" s="327"/>
      <c r="AB343" s="327"/>
      <c r="AC343" s="327"/>
      <c r="AD343" s="327"/>
      <c r="AE343" s="327"/>
      <c r="AF343" s="327"/>
      <c r="AG343" s="327"/>
      <c r="AH343" s="327"/>
      <c r="AI343" s="327"/>
      <c r="AJ343" s="327"/>
    </row>
    <row r="344" spans="1:36" x14ac:dyDescent="0.25">
      <c r="A344" s="326"/>
      <c r="D344" s="322"/>
      <c r="E344" s="327"/>
      <c r="F344" s="327"/>
      <c r="G344" s="327"/>
      <c r="H344" s="327"/>
      <c r="I344" s="327"/>
      <c r="J344" s="327"/>
      <c r="K344" s="327"/>
      <c r="L344" s="327"/>
      <c r="M344" s="327"/>
      <c r="N344" s="327"/>
      <c r="O344" s="327"/>
      <c r="P344" s="327"/>
      <c r="Q344" s="327"/>
      <c r="R344" s="327"/>
      <c r="S344" s="327"/>
      <c r="T344" s="327"/>
      <c r="U344" s="327"/>
      <c r="V344" s="327"/>
      <c r="W344" s="327"/>
      <c r="X344" s="327"/>
      <c r="Y344" s="327"/>
      <c r="Z344" s="327"/>
      <c r="AA344" s="327"/>
      <c r="AB344" s="327"/>
      <c r="AC344" s="327"/>
      <c r="AD344" s="327"/>
      <c r="AE344" s="327"/>
      <c r="AF344" s="327"/>
      <c r="AG344" s="327"/>
      <c r="AH344" s="327"/>
      <c r="AI344" s="327"/>
      <c r="AJ344" s="327"/>
    </row>
    <row r="345" spans="1:36" x14ac:dyDescent="0.25">
      <c r="A345" s="326"/>
      <c r="D345" s="322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27"/>
      <c r="Z345" s="327"/>
      <c r="AA345" s="327"/>
      <c r="AB345" s="327"/>
      <c r="AC345" s="327"/>
      <c r="AD345" s="327"/>
      <c r="AE345" s="327"/>
      <c r="AF345" s="327"/>
      <c r="AG345" s="327"/>
      <c r="AH345" s="327"/>
      <c r="AI345" s="327"/>
      <c r="AJ345" s="327"/>
    </row>
    <row r="346" spans="1:36" x14ac:dyDescent="0.25">
      <c r="D346" s="322"/>
      <c r="E346" s="327"/>
      <c r="F346" s="327"/>
      <c r="G346" s="327"/>
      <c r="H346" s="327"/>
      <c r="I346" s="327"/>
      <c r="J346" s="327"/>
      <c r="K346" s="327"/>
      <c r="L346" s="327"/>
      <c r="M346" s="327"/>
      <c r="N346" s="327"/>
      <c r="O346" s="327"/>
      <c r="P346" s="327"/>
      <c r="Q346" s="327"/>
      <c r="R346" s="327"/>
      <c r="S346" s="327"/>
      <c r="T346" s="327"/>
      <c r="U346" s="327"/>
      <c r="V346" s="327"/>
      <c r="W346" s="327"/>
      <c r="X346" s="327"/>
      <c r="Y346" s="327"/>
      <c r="Z346" s="327"/>
      <c r="AA346" s="327"/>
      <c r="AB346" s="327"/>
      <c r="AC346" s="327"/>
      <c r="AD346" s="327"/>
      <c r="AE346" s="327"/>
      <c r="AF346" s="327"/>
      <c r="AG346" s="327"/>
      <c r="AH346" s="327"/>
      <c r="AI346" s="327"/>
      <c r="AJ346" s="327"/>
    </row>
    <row r="347" spans="1:36" x14ac:dyDescent="0.25">
      <c r="D347" s="322"/>
      <c r="E347" s="327"/>
      <c r="F347" s="327"/>
      <c r="G347" s="327"/>
      <c r="H347" s="327"/>
      <c r="I347" s="327"/>
      <c r="J347" s="327"/>
      <c r="K347" s="327"/>
      <c r="L347" s="327"/>
      <c r="M347" s="327"/>
      <c r="N347" s="327"/>
      <c r="O347" s="327"/>
      <c r="P347" s="327"/>
      <c r="Q347" s="327"/>
      <c r="R347" s="327"/>
      <c r="S347" s="327"/>
      <c r="T347" s="327"/>
      <c r="U347" s="327"/>
      <c r="V347" s="327"/>
      <c r="W347" s="327"/>
      <c r="X347" s="327"/>
      <c r="Y347" s="327"/>
      <c r="Z347" s="327"/>
      <c r="AA347" s="327"/>
      <c r="AB347" s="327"/>
      <c r="AC347" s="327"/>
      <c r="AD347" s="327"/>
      <c r="AE347" s="327"/>
      <c r="AF347" s="327"/>
      <c r="AG347" s="327"/>
      <c r="AH347" s="327"/>
      <c r="AI347" s="327"/>
      <c r="AJ347" s="327"/>
    </row>
    <row r="348" spans="1:36" x14ac:dyDescent="0.25">
      <c r="D348" s="322"/>
      <c r="E348" s="327"/>
      <c r="F348" s="327"/>
      <c r="G348" s="327"/>
      <c r="H348" s="327"/>
      <c r="I348" s="327"/>
      <c r="J348" s="327"/>
      <c r="K348" s="327"/>
      <c r="L348" s="327"/>
      <c r="M348" s="327"/>
      <c r="N348" s="327"/>
      <c r="O348" s="327"/>
      <c r="P348" s="327"/>
      <c r="Q348" s="327"/>
      <c r="R348" s="327"/>
      <c r="S348" s="327"/>
      <c r="T348" s="327"/>
      <c r="U348" s="327"/>
      <c r="V348" s="327"/>
      <c r="W348" s="327"/>
      <c r="X348" s="327"/>
      <c r="Y348" s="327"/>
      <c r="Z348" s="327"/>
      <c r="AA348" s="327"/>
      <c r="AB348" s="327"/>
      <c r="AC348" s="327"/>
      <c r="AD348" s="327"/>
      <c r="AE348" s="327"/>
      <c r="AF348" s="327"/>
      <c r="AG348" s="327"/>
      <c r="AH348" s="327"/>
      <c r="AI348" s="327"/>
      <c r="AJ348" s="327"/>
    </row>
    <row r="349" spans="1:36" x14ac:dyDescent="0.25">
      <c r="D349" s="322"/>
      <c r="E349" s="327"/>
      <c r="F349" s="327"/>
      <c r="G349" s="327"/>
      <c r="H349" s="327"/>
      <c r="I349" s="327"/>
      <c r="J349" s="327"/>
      <c r="K349" s="327"/>
      <c r="L349" s="327"/>
      <c r="M349" s="327"/>
      <c r="N349" s="327"/>
      <c r="O349" s="327"/>
      <c r="P349" s="327"/>
      <c r="Q349" s="327"/>
      <c r="R349" s="327"/>
      <c r="S349" s="327"/>
      <c r="T349" s="327"/>
      <c r="U349" s="327"/>
      <c r="V349" s="327"/>
      <c r="W349" s="327"/>
      <c r="X349" s="327"/>
      <c r="Y349" s="327"/>
      <c r="Z349" s="327"/>
      <c r="AA349" s="327"/>
      <c r="AB349" s="327"/>
      <c r="AC349" s="327"/>
      <c r="AD349" s="327"/>
      <c r="AE349" s="327"/>
      <c r="AF349" s="327"/>
      <c r="AG349" s="327"/>
      <c r="AH349" s="327"/>
      <c r="AI349" s="327"/>
      <c r="AJ349" s="327"/>
    </row>
    <row r="350" spans="1:36" x14ac:dyDescent="0.25">
      <c r="D350" s="322"/>
      <c r="E350" s="327"/>
      <c r="F350" s="327"/>
      <c r="G350" s="327"/>
      <c r="H350" s="327"/>
      <c r="I350" s="327"/>
      <c r="J350" s="327"/>
      <c r="K350" s="327"/>
      <c r="L350" s="327"/>
      <c r="M350" s="327"/>
      <c r="N350" s="327"/>
      <c r="O350" s="327"/>
      <c r="P350" s="327"/>
      <c r="Q350" s="327"/>
      <c r="R350" s="327"/>
      <c r="S350" s="327"/>
      <c r="T350" s="327"/>
      <c r="U350" s="327"/>
      <c r="V350" s="327"/>
      <c r="W350" s="327"/>
      <c r="X350" s="327"/>
      <c r="Y350" s="327"/>
      <c r="Z350" s="327"/>
      <c r="AA350" s="327"/>
      <c r="AB350" s="327"/>
      <c r="AC350" s="327"/>
      <c r="AD350" s="327"/>
      <c r="AE350" s="327"/>
      <c r="AF350" s="327"/>
      <c r="AG350" s="327"/>
      <c r="AH350" s="327"/>
      <c r="AI350" s="327"/>
      <c r="AJ350" s="327"/>
    </row>
    <row r="351" spans="1:36" x14ac:dyDescent="0.25">
      <c r="D351" s="322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27"/>
      <c r="Z351" s="327"/>
      <c r="AA351" s="327"/>
      <c r="AB351" s="327"/>
      <c r="AC351" s="327"/>
      <c r="AD351" s="327"/>
      <c r="AE351" s="327"/>
      <c r="AF351" s="327"/>
      <c r="AG351" s="327"/>
      <c r="AH351" s="327"/>
      <c r="AI351" s="327"/>
      <c r="AJ351" s="327"/>
    </row>
    <row r="352" spans="1:36" x14ac:dyDescent="0.25">
      <c r="D352" s="322"/>
      <c r="E352" s="327"/>
      <c r="F352" s="327"/>
      <c r="G352" s="327"/>
      <c r="H352" s="327"/>
      <c r="I352" s="327"/>
      <c r="J352" s="327"/>
      <c r="K352" s="327"/>
      <c r="L352" s="327"/>
      <c r="M352" s="327"/>
      <c r="N352" s="327"/>
      <c r="O352" s="327"/>
      <c r="P352" s="327"/>
      <c r="Q352" s="327"/>
      <c r="R352" s="327"/>
      <c r="S352" s="327"/>
      <c r="T352" s="327"/>
      <c r="U352" s="327"/>
      <c r="V352" s="327"/>
      <c r="W352" s="327"/>
      <c r="X352" s="327"/>
      <c r="Y352" s="327"/>
      <c r="Z352" s="327"/>
      <c r="AA352" s="327"/>
      <c r="AB352" s="327"/>
      <c r="AC352" s="327"/>
      <c r="AD352" s="327"/>
      <c r="AE352" s="327"/>
      <c r="AF352" s="327"/>
      <c r="AG352" s="327"/>
      <c r="AH352" s="327"/>
      <c r="AI352" s="327"/>
      <c r="AJ352" s="327"/>
    </row>
    <row r="353" spans="1:36" x14ac:dyDescent="0.25">
      <c r="A353" s="325"/>
      <c r="D353" s="322"/>
      <c r="E353" s="327"/>
      <c r="F353" s="327"/>
      <c r="G353" s="327"/>
      <c r="H353" s="327"/>
      <c r="I353" s="327"/>
      <c r="J353" s="327"/>
      <c r="K353" s="327"/>
      <c r="L353" s="327"/>
      <c r="M353" s="327"/>
      <c r="N353" s="327"/>
      <c r="O353" s="327"/>
      <c r="P353" s="327"/>
      <c r="Q353" s="327"/>
      <c r="R353" s="327"/>
      <c r="S353" s="327"/>
      <c r="T353" s="327"/>
      <c r="U353" s="327"/>
      <c r="V353" s="327"/>
      <c r="W353" s="327"/>
      <c r="X353" s="327"/>
      <c r="Y353" s="327"/>
      <c r="Z353" s="327"/>
      <c r="AA353" s="327"/>
      <c r="AB353" s="327"/>
      <c r="AC353" s="327"/>
      <c r="AD353" s="327"/>
      <c r="AE353" s="327"/>
      <c r="AF353" s="327"/>
      <c r="AG353" s="327"/>
      <c r="AH353" s="327"/>
      <c r="AI353" s="327"/>
      <c r="AJ353" s="327"/>
    </row>
    <row r="354" spans="1:36" x14ac:dyDescent="0.25">
      <c r="A354" s="326"/>
      <c r="D354" s="322"/>
      <c r="E354" s="327"/>
      <c r="F354" s="327"/>
      <c r="G354" s="327"/>
      <c r="H354" s="327"/>
      <c r="I354" s="327"/>
      <c r="J354" s="327"/>
      <c r="K354" s="327"/>
      <c r="L354" s="327"/>
      <c r="M354" s="327"/>
      <c r="N354" s="327"/>
      <c r="O354" s="327"/>
      <c r="P354" s="327"/>
      <c r="Q354" s="327"/>
      <c r="R354" s="327"/>
      <c r="S354" s="327"/>
      <c r="T354" s="327"/>
      <c r="U354" s="327"/>
      <c r="V354" s="327"/>
      <c r="W354" s="327"/>
      <c r="X354" s="327"/>
      <c r="Y354" s="327"/>
      <c r="Z354" s="327"/>
      <c r="AA354" s="327"/>
      <c r="AB354" s="327"/>
      <c r="AC354" s="327"/>
      <c r="AD354" s="327"/>
      <c r="AE354" s="327"/>
      <c r="AF354" s="327"/>
      <c r="AG354" s="327"/>
      <c r="AH354" s="327"/>
      <c r="AI354" s="327"/>
      <c r="AJ354" s="327"/>
    </row>
    <row r="355" spans="1:36" x14ac:dyDescent="0.25">
      <c r="A355" s="326"/>
      <c r="D355" s="322"/>
      <c r="E355" s="327"/>
      <c r="F355" s="327"/>
      <c r="G355" s="327"/>
      <c r="H355" s="327"/>
      <c r="I355" s="327"/>
      <c r="J355" s="327"/>
      <c r="K355" s="327"/>
      <c r="L355" s="327"/>
      <c r="M355" s="327"/>
      <c r="N355" s="327"/>
      <c r="O355" s="327"/>
      <c r="P355" s="327"/>
      <c r="Q355" s="327"/>
      <c r="R355" s="327"/>
      <c r="S355" s="327"/>
      <c r="T355" s="327"/>
      <c r="U355" s="327"/>
      <c r="V355" s="327"/>
      <c r="W355" s="327"/>
      <c r="X355" s="327"/>
      <c r="Y355" s="327"/>
      <c r="Z355" s="327"/>
      <c r="AA355" s="327"/>
      <c r="AB355" s="327"/>
      <c r="AC355" s="327"/>
      <c r="AD355" s="327"/>
      <c r="AE355" s="327"/>
      <c r="AF355" s="327"/>
      <c r="AG355" s="327"/>
      <c r="AH355" s="327"/>
      <c r="AI355" s="327"/>
      <c r="AJ355" s="327"/>
    </row>
    <row r="356" spans="1:36" x14ac:dyDescent="0.25">
      <c r="A356" s="326"/>
      <c r="D356" s="322"/>
      <c r="E356" s="327"/>
      <c r="F356" s="327"/>
      <c r="G356" s="327"/>
      <c r="H356" s="327"/>
      <c r="I356" s="327"/>
      <c r="J356" s="327"/>
      <c r="K356" s="327"/>
      <c r="L356" s="327"/>
      <c r="M356" s="327"/>
      <c r="N356" s="327"/>
      <c r="O356" s="327"/>
      <c r="P356" s="327"/>
      <c r="Q356" s="327"/>
      <c r="R356" s="327"/>
      <c r="S356" s="327"/>
      <c r="T356" s="327"/>
      <c r="U356" s="327"/>
      <c r="V356" s="327"/>
      <c r="W356" s="327"/>
      <c r="X356" s="327"/>
      <c r="Y356" s="327"/>
      <c r="Z356" s="327"/>
      <c r="AA356" s="327"/>
      <c r="AB356" s="327"/>
      <c r="AC356" s="327"/>
      <c r="AD356" s="327"/>
      <c r="AE356" s="327"/>
      <c r="AF356" s="327"/>
      <c r="AG356" s="327"/>
      <c r="AH356" s="327"/>
      <c r="AI356" s="327"/>
      <c r="AJ356" s="327"/>
    </row>
    <row r="357" spans="1:36" x14ac:dyDescent="0.25">
      <c r="A357" s="326"/>
      <c r="D357" s="322"/>
      <c r="E357" s="327"/>
      <c r="F357" s="327"/>
      <c r="G357" s="327"/>
      <c r="H357" s="327"/>
      <c r="I357" s="327"/>
      <c r="J357" s="327"/>
      <c r="K357" s="327"/>
      <c r="L357" s="327"/>
      <c r="M357" s="327"/>
      <c r="N357" s="327"/>
      <c r="O357" s="327"/>
      <c r="P357" s="327"/>
      <c r="Q357" s="327"/>
      <c r="R357" s="327"/>
      <c r="S357" s="327"/>
      <c r="T357" s="327"/>
      <c r="U357" s="327"/>
      <c r="V357" s="327"/>
      <c r="W357" s="327"/>
      <c r="X357" s="327"/>
      <c r="Y357" s="327"/>
      <c r="Z357" s="327"/>
      <c r="AA357" s="327"/>
      <c r="AB357" s="327"/>
      <c r="AC357" s="327"/>
      <c r="AD357" s="327"/>
      <c r="AE357" s="327"/>
      <c r="AF357" s="327"/>
      <c r="AG357" s="327"/>
      <c r="AH357" s="327"/>
      <c r="AI357" s="327"/>
      <c r="AJ357" s="327"/>
    </row>
    <row r="358" spans="1:36" x14ac:dyDescent="0.25">
      <c r="A358" s="326"/>
      <c r="D358" s="322"/>
      <c r="E358" s="327"/>
      <c r="F358" s="327"/>
      <c r="G358" s="327"/>
      <c r="H358" s="327"/>
      <c r="I358" s="327"/>
      <c r="J358" s="327"/>
      <c r="K358" s="327"/>
      <c r="L358" s="327"/>
      <c r="M358" s="327"/>
      <c r="N358" s="327"/>
      <c r="O358" s="327"/>
      <c r="P358" s="327"/>
      <c r="Q358" s="327"/>
      <c r="R358" s="327"/>
      <c r="S358" s="327"/>
      <c r="T358" s="327"/>
      <c r="U358" s="327"/>
      <c r="V358" s="327"/>
      <c r="W358" s="327"/>
      <c r="X358" s="327"/>
      <c r="Y358" s="327"/>
      <c r="Z358" s="327"/>
      <c r="AA358" s="327"/>
      <c r="AB358" s="327"/>
      <c r="AC358" s="327"/>
      <c r="AD358" s="327"/>
      <c r="AE358" s="327"/>
      <c r="AF358" s="327"/>
      <c r="AG358" s="327"/>
      <c r="AH358" s="327"/>
      <c r="AI358" s="327"/>
      <c r="AJ358" s="327"/>
    </row>
    <row r="359" spans="1:36" x14ac:dyDescent="0.25">
      <c r="A359" s="326"/>
      <c r="D359" s="322"/>
      <c r="E359" s="327"/>
      <c r="F359" s="327"/>
      <c r="G359" s="327"/>
      <c r="H359" s="327"/>
      <c r="I359" s="327"/>
      <c r="J359" s="327"/>
      <c r="K359" s="327"/>
      <c r="L359" s="327"/>
      <c r="M359" s="327"/>
      <c r="N359" s="327"/>
      <c r="O359" s="327"/>
      <c r="P359" s="327"/>
      <c r="Q359" s="327"/>
      <c r="R359" s="327"/>
      <c r="S359" s="327"/>
      <c r="T359" s="327"/>
      <c r="U359" s="327"/>
      <c r="V359" s="327"/>
      <c r="W359" s="327"/>
      <c r="X359" s="327"/>
      <c r="Y359" s="327"/>
      <c r="Z359" s="327"/>
      <c r="AA359" s="327"/>
      <c r="AB359" s="327"/>
      <c r="AC359" s="327"/>
      <c r="AD359" s="327"/>
      <c r="AE359" s="327"/>
      <c r="AF359" s="327"/>
      <c r="AG359" s="327"/>
      <c r="AH359" s="327"/>
      <c r="AI359" s="327"/>
      <c r="AJ359" s="327"/>
    </row>
    <row r="360" spans="1:36" x14ac:dyDescent="0.25">
      <c r="A360" s="326"/>
      <c r="D360" s="322"/>
      <c r="E360" s="327"/>
      <c r="F360" s="327"/>
      <c r="G360" s="327"/>
      <c r="H360" s="327"/>
      <c r="I360" s="327"/>
      <c r="J360" s="327"/>
      <c r="K360" s="327"/>
      <c r="L360" s="327"/>
      <c r="M360" s="327"/>
      <c r="N360" s="327"/>
      <c r="O360" s="327"/>
      <c r="P360" s="327"/>
      <c r="Q360" s="327"/>
      <c r="R360" s="327"/>
      <c r="S360" s="327"/>
      <c r="T360" s="327"/>
      <c r="U360" s="327"/>
      <c r="V360" s="327"/>
      <c r="W360" s="327"/>
      <c r="X360" s="327"/>
      <c r="Y360" s="327"/>
      <c r="Z360" s="327"/>
      <c r="AA360" s="327"/>
      <c r="AB360" s="327"/>
      <c r="AC360" s="327"/>
      <c r="AD360" s="327"/>
      <c r="AE360" s="327"/>
      <c r="AF360" s="327"/>
      <c r="AG360" s="327"/>
      <c r="AH360" s="327"/>
      <c r="AI360" s="327"/>
      <c r="AJ360" s="327"/>
    </row>
    <row r="361" spans="1:36" x14ac:dyDescent="0.25">
      <c r="A361" s="326"/>
      <c r="D361" s="322"/>
      <c r="E361" s="327"/>
      <c r="F361" s="327"/>
      <c r="G361" s="327"/>
      <c r="H361" s="327"/>
      <c r="I361" s="327"/>
      <c r="J361" s="327"/>
      <c r="K361" s="327"/>
      <c r="L361" s="327"/>
      <c r="M361" s="327"/>
      <c r="N361" s="327"/>
      <c r="O361" s="327"/>
      <c r="P361" s="327"/>
      <c r="Q361" s="327"/>
      <c r="R361" s="327"/>
      <c r="S361" s="327"/>
      <c r="T361" s="327"/>
      <c r="U361" s="327"/>
      <c r="V361" s="327"/>
      <c r="W361" s="327"/>
      <c r="X361" s="327"/>
      <c r="Y361" s="327"/>
      <c r="Z361" s="327"/>
      <c r="AA361" s="327"/>
      <c r="AB361" s="327"/>
      <c r="AC361" s="327"/>
      <c r="AD361" s="327"/>
      <c r="AE361" s="327"/>
      <c r="AF361" s="327"/>
      <c r="AG361" s="327"/>
      <c r="AH361" s="327"/>
      <c r="AI361" s="327"/>
      <c r="AJ361" s="327"/>
    </row>
    <row r="362" spans="1:36" x14ac:dyDescent="0.25">
      <c r="A362" s="326"/>
      <c r="D362" s="322"/>
      <c r="E362" s="327"/>
      <c r="F362" s="327"/>
      <c r="G362" s="327"/>
      <c r="H362" s="327"/>
      <c r="I362" s="327"/>
      <c r="J362" s="327"/>
      <c r="K362" s="327"/>
      <c r="L362" s="327"/>
      <c r="M362" s="327"/>
      <c r="N362" s="327"/>
      <c r="O362" s="327"/>
      <c r="P362" s="327"/>
      <c r="Q362" s="327"/>
      <c r="R362" s="327"/>
      <c r="S362" s="327"/>
      <c r="T362" s="327"/>
      <c r="U362" s="327"/>
      <c r="V362" s="327"/>
      <c r="W362" s="327"/>
      <c r="X362" s="327"/>
      <c r="Y362" s="327"/>
      <c r="Z362" s="327"/>
      <c r="AA362" s="327"/>
      <c r="AB362" s="327"/>
      <c r="AC362" s="327"/>
      <c r="AD362" s="327"/>
      <c r="AE362" s="327"/>
      <c r="AF362" s="327"/>
      <c r="AG362" s="327"/>
      <c r="AH362" s="327"/>
      <c r="AI362" s="327"/>
      <c r="AJ362" s="327"/>
    </row>
    <row r="363" spans="1:36" x14ac:dyDescent="0.25">
      <c r="A363" s="326"/>
      <c r="D363" s="322"/>
      <c r="E363" s="327"/>
      <c r="F363" s="327"/>
      <c r="G363" s="327"/>
      <c r="H363" s="327"/>
      <c r="I363" s="327"/>
      <c r="J363" s="327"/>
      <c r="K363" s="327"/>
      <c r="L363" s="327"/>
      <c r="M363" s="327"/>
      <c r="N363" s="327"/>
      <c r="O363" s="327"/>
      <c r="P363" s="327"/>
      <c r="Q363" s="327"/>
      <c r="R363" s="327"/>
      <c r="S363" s="327"/>
      <c r="T363" s="327"/>
      <c r="U363" s="327"/>
      <c r="V363" s="327"/>
      <c r="W363" s="327"/>
      <c r="X363" s="327"/>
      <c r="Y363" s="327"/>
      <c r="Z363" s="327"/>
      <c r="AA363" s="327"/>
      <c r="AB363" s="327"/>
      <c r="AC363" s="327"/>
      <c r="AD363" s="327"/>
      <c r="AE363" s="327"/>
      <c r="AF363" s="327"/>
      <c r="AG363" s="327"/>
      <c r="AH363" s="327"/>
      <c r="AI363" s="327"/>
      <c r="AJ363" s="327"/>
    </row>
    <row r="364" spans="1:36" x14ac:dyDescent="0.25">
      <c r="A364" s="326"/>
      <c r="D364" s="322"/>
      <c r="E364" s="327"/>
      <c r="F364" s="327"/>
      <c r="G364" s="327"/>
      <c r="H364" s="327"/>
      <c r="I364" s="327"/>
      <c r="J364" s="327"/>
      <c r="K364" s="327"/>
      <c r="L364" s="327"/>
      <c r="M364" s="327"/>
      <c r="N364" s="327"/>
      <c r="O364" s="327"/>
      <c r="P364" s="327"/>
      <c r="Q364" s="327"/>
      <c r="R364" s="327"/>
      <c r="S364" s="327"/>
      <c r="T364" s="327"/>
      <c r="U364" s="327"/>
      <c r="V364" s="327"/>
      <c r="W364" s="327"/>
      <c r="X364" s="327"/>
      <c r="Y364" s="327"/>
      <c r="Z364" s="327"/>
      <c r="AA364" s="327"/>
      <c r="AB364" s="327"/>
      <c r="AC364" s="327"/>
      <c r="AD364" s="327"/>
      <c r="AE364" s="327"/>
      <c r="AF364" s="327"/>
      <c r="AG364" s="327"/>
      <c r="AH364" s="327"/>
      <c r="AI364" s="327"/>
      <c r="AJ364" s="327"/>
    </row>
    <row r="365" spans="1:36" x14ac:dyDescent="0.25">
      <c r="A365" s="326"/>
      <c r="D365" s="322"/>
      <c r="E365" s="327"/>
      <c r="F365" s="327"/>
      <c r="G365" s="327"/>
      <c r="H365" s="327"/>
      <c r="I365" s="327"/>
      <c r="J365" s="327"/>
      <c r="K365" s="327"/>
      <c r="L365" s="327"/>
      <c r="M365" s="327"/>
      <c r="N365" s="327"/>
      <c r="O365" s="327"/>
      <c r="P365" s="327"/>
      <c r="Q365" s="327"/>
      <c r="R365" s="327"/>
      <c r="S365" s="327"/>
      <c r="T365" s="327"/>
      <c r="U365" s="327"/>
      <c r="V365" s="327"/>
      <c r="W365" s="327"/>
      <c r="X365" s="327"/>
      <c r="Y365" s="327"/>
      <c r="Z365" s="327"/>
      <c r="AA365" s="327"/>
      <c r="AB365" s="327"/>
      <c r="AC365" s="327"/>
      <c r="AD365" s="327"/>
      <c r="AE365" s="327"/>
      <c r="AF365" s="327"/>
      <c r="AG365" s="327"/>
      <c r="AH365" s="327"/>
      <c r="AI365" s="327"/>
      <c r="AJ365" s="327"/>
    </row>
    <row r="366" spans="1:36" x14ac:dyDescent="0.25">
      <c r="A366" s="326"/>
      <c r="D366" s="322"/>
      <c r="E366" s="327"/>
      <c r="F366" s="327"/>
      <c r="G366" s="327"/>
      <c r="H366" s="327"/>
      <c r="I366" s="327"/>
      <c r="J366" s="327"/>
      <c r="K366" s="327"/>
      <c r="L366" s="327"/>
      <c r="M366" s="327"/>
      <c r="N366" s="327"/>
      <c r="O366" s="327"/>
      <c r="P366" s="327"/>
      <c r="Q366" s="327"/>
      <c r="R366" s="327"/>
      <c r="S366" s="327"/>
      <c r="T366" s="327"/>
      <c r="U366" s="327"/>
      <c r="V366" s="327"/>
      <c r="W366" s="327"/>
      <c r="X366" s="327"/>
      <c r="Y366" s="327"/>
      <c r="Z366" s="327"/>
      <c r="AA366" s="327"/>
      <c r="AB366" s="327"/>
      <c r="AC366" s="327"/>
      <c r="AD366" s="327"/>
      <c r="AE366" s="327"/>
      <c r="AF366" s="327"/>
      <c r="AG366" s="327"/>
      <c r="AH366" s="327"/>
      <c r="AI366" s="327"/>
      <c r="AJ366" s="327"/>
    </row>
    <row r="367" spans="1:36" x14ac:dyDescent="0.25">
      <c r="A367" s="326"/>
      <c r="D367" s="322"/>
      <c r="E367" s="327"/>
      <c r="F367" s="327"/>
      <c r="G367" s="327"/>
      <c r="H367" s="327"/>
      <c r="I367" s="327"/>
      <c r="J367" s="327"/>
      <c r="K367" s="327"/>
      <c r="L367" s="327"/>
      <c r="M367" s="327"/>
      <c r="N367" s="327"/>
      <c r="O367" s="327"/>
      <c r="P367" s="327"/>
      <c r="Q367" s="327"/>
      <c r="R367" s="327"/>
      <c r="S367" s="327"/>
      <c r="T367" s="327"/>
      <c r="U367" s="327"/>
      <c r="V367" s="327"/>
      <c r="W367" s="327"/>
      <c r="X367" s="327"/>
      <c r="Y367" s="327"/>
      <c r="Z367" s="327"/>
      <c r="AA367" s="327"/>
      <c r="AB367" s="327"/>
      <c r="AC367" s="327"/>
      <c r="AD367" s="327"/>
      <c r="AE367" s="327"/>
      <c r="AF367" s="327"/>
      <c r="AG367" s="327"/>
      <c r="AH367" s="327"/>
      <c r="AI367" s="327"/>
      <c r="AJ367" s="327"/>
    </row>
    <row r="368" spans="1:36" x14ac:dyDescent="0.25">
      <c r="A368" s="326"/>
      <c r="D368" s="322"/>
      <c r="E368" s="327"/>
      <c r="F368" s="327"/>
      <c r="G368" s="327"/>
      <c r="H368" s="327"/>
      <c r="I368" s="327"/>
      <c r="J368" s="327"/>
      <c r="K368" s="327"/>
      <c r="L368" s="327"/>
      <c r="M368" s="327"/>
      <c r="N368" s="327"/>
      <c r="O368" s="327"/>
      <c r="P368" s="327"/>
      <c r="Q368" s="327"/>
      <c r="R368" s="327"/>
      <c r="S368" s="327"/>
      <c r="T368" s="327"/>
      <c r="U368" s="327"/>
      <c r="V368" s="327"/>
      <c r="W368" s="327"/>
      <c r="X368" s="327"/>
      <c r="Y368" s="327"/>
      <c r="Z368" s="327"/>
      <c r="AA368" s="327"/>
      <c r="AB368" s="327"/>
      <c r="AC368" s="327"/>
      <c r="AD368" s="327"/>
      <c r="AE368" s="327"/>
      <c r="AF368" s="327"/>
      <c r="AG368" s="327"/>
      <c r="AH368" s="327"/>
      <c r="AI368" s="327"/>
      <c r="AJ368" s="327"/>
    </row>
    <row r="369" spans="1:36" x14ac:dyDescent="0.25">
      <c r="A369" s="326"/>
      <c r="D369" s="322"/>
      <c r="E369" s="327"/>
      <c r="F369" s="327"/>
      <c r="G369" s="327"/>
      <c r="H369" s="327"/>
      <c r="I369" s="327"/>
      <c r="J369" s="327"/>
      <c r="K369" s="327"/>
      <c r="L369" s="327"/>
      <c r="M369" s="327"/>
      <c r="N369" s="327"/>
      <c r="O369" s="327"/>
      <c r="P369" s="327"/>
      <c r="Q369" s="327"/>
      <c r="R369" s="327"/>
      <c r="S369" s="327"/>
      <c r="T369" s="327"/>
      <c r="U369" s="327"/>
      <c r="V369" s="327"/>
      <c r="W369" s="327"/>
      <c r="X369" s="327"/>
      <c r="Y369" s="327"/>
      <c r="Z369" s="327"/>
      <c r="AA369" s="327"/>
      <c r="AB369" s="327"/>
      <c r="AC369" s="327"/>
      <c r="AD369" s="327"/>
      <c r="AE369" s="327"/>
      <c r="AF369" s="327"/>
      <c r="AG369" s="327"/>
      <c r="AH369" s="327"/>
      <c r="AI369" s="327"/>
      <c r="AJ369" s="327"/>
    </row>
    <row r="370" spans="1:36" x14ac:dyDescent="0.25">
      <c r="A370" s="326"/>
      <c r="D370" s="322"/>
      <c r="E370" s="327"/>
      <c r="F370" s="327"/>
      <c r="G370" s="327"/>
      <c r="H370" s="327"/>
      <c r="I370" s="327"/>
      <c r="J370" s="327"/>
      <c r="K370" s="327"/>
      <c r="L370" s="327"/>
      <c r="M370" s="327"/>
      <c r="N370" s="327"/>
      <c r="O370" s="327"/>
      <c r="P370" s="327"/>
      <c r="Q370" s="327"/>
      <c r="R370" s="327"/>
      <c r="S370" s="327"/>
      <c r="T370" s="327"/>
      <c r="U370" s="327"/>
      <c r="V370" s="327"/>
      <c r="W370" s="327"/>
      <c r="X370" s="327"/>
      <c r="Y370" s="327"/>
      <c r="Z370" s="327"/>
      <c r="AA370" s="327"/>
      <c r="AB370" s="327"/>
      <c r="AC370" s="327"/>
      <c r="AD370" s="327"/>
      <c r="AE370" s="327"/>
      <c r="AF370" s="327"/>
      <c r="AG370" s="327"/>
      <c r="AH370" s="327"/>
      <c r="AI370" s="327"/>
      <c r="AJ370" s="327"/>
    </row>
    <row r="371" spans="1:36" x14ac:dyDescent="0.25">
      <c r="A371" s="326"/>
      <c r="D371" s="322"/>
      <c r="E371" s="327"/>
      <c r="F371" s="327"/>
      <c r="G371" s="327"/>
      <c r="H371" s="327"/>
      <c r="I371" s="327"/>
      <c r="J371" s="327"/>
      <c r="K371" s="327"/>
      <c r="L371" s="327"/>
      <c r="M371" s="327"/>
      <c r="N371" s="327"/>
      <c r="O371" s="327"/>
      <c r="P371" s="327"/>
      <c r="Q371" s="327"/>
      <c r="R371" s="327"/>
      <c r="S371" s="327"/>
      <c r="T371" s="327"/>
      <c r="U371" s="327"/>
      <c r="V371" s="327"/>
      <c r="W371" s="327"/>
      <c r="X371" s="327"/>
      <c r="Y371" s="327"/>
      <c r="Z371" s="327"/>
      <c r="AA371" s="327"/>
      <c r="AB371" s="327"/>
      <c r="AC371" s="327"/>
      <c r="AD371" s="327"/>
      <c r="AE371" s="327"/>
      <c r="AF371" s="327"/>
      <c r="AG371" s="327"/>
      <c r="AH371" s="327"/>
      <c r="AI371" s="327"/>
      <c r="AJ371" s="327"/>
    </row>
    <row r="372" spans="1:36" x14ac:dyDescent="0.25">
      <c r="D372" s="322"/>
      <c r="E372" s="327"/>
      <c r="F372" s="327"/>
      <c r="G372" s="327"/>
      <c r="H372" s="327"/>
      <c r="I372" s="327"/>
      <c r="J372" s="327"/>
      <c r="K372" s="327"/>
      <c r="L372" s="327"/>
      <c r="M372" s="327"/>
      <c r="N372" s="327"/>
      <c r="O372" s="327"/>
      <c r="P372" s="327"/>
      <c r="Q372" s="327"/>
      <c r="R372" s="327"/>
      <c r="S372" s="327"/>
      <c r="T372" s="327"/>
      <c r="U372" s="327"/>
      <c r="V372" s="327"/>
      <c r="W372" s="327"/>
      <c r="X372" s="327"/>
      <c r="Y372" s="327"/>
      <c r="Z372" s="327"/>
      <c r="AA372" s="327"/>
      <c r="AB372" s="327"/>
      <c r="AC372" s="327"/>
      <c r="AD372" s="327"/>
      <c r="AE372" s="327"/>
      <c r="AF372" s="327"/>
      <c r="AG372" s="327"/>
      <c r="AH372" s="327"/>
      <c r="AI372" s="327"/>
      <c r="AJ372" s="327"/>
    </row>
    <row r="373" spans="1:36" x14ac:dyDescent="0.25">
      <c r="D373" s="322"/>
      <c r="E373" s="327"/>
      <c r="F373" s="327"/>
      <c r="G373" s="327"/>
      <c r="H373" s="327"/>
      <c r="I373" s="327"/>
      <c r="J373" s="327"/>
      <c r="K373" s="327"/>
      <c r="L373" s="327"/>
      <c r="M373" s="327"/>
      <c r="N373" s="327"/>
      <c r="O373" s="327"/>
      <c r="P373" s="327"/>
      <c r="Q373" s="327"/>
      <c r="R373" s="327"/>
      <c r="S373" s="327"/>
      <c r="T373" s="327"/>
      <c r="U373" s="327"/>
      <c r="V373" s="327"/>
      <c r="W373" s="327"/>
      <c r="X373" s="327"/>
      <c r="Y373" s="327"/>
      <c r="Z373" s="327"/>
      <c r="AA373" s="327"/>
      <c r="AB373" s="327"/>
      <c r="AC373" s="327"/>
      <c r="AD373" s="327"/>
      <c r="AE373" s="327"/>
      <c r="AF373" s="327"/>
      <c r="AG373" s="327"/>
      <c r="AH373" s="327"/>
      <c r="AI373" s="327"/>
      <c r="AJ373" s="327"/>
    </row>
    <row r="374" spans="1:36" x14ac:dyDescent="0.25">
      <c r="D374" s="322"/>
      <c r="E374" s="327"/>
      <c r="F374" s="327"/>
      <c r="G374" s="327"/>
      <c r="H374" s="327"/>
      <c r="I374" s="327"/>
      <c r="J374" s="327"/>
      <c r="K374" s="327"/>
      <c r="L374" s="327"/>
      <c r="M374" s="327"/>
      <c r="N374" s="327"/>
      <c r="O374" s="327"/>
      <c r="P374" s="327"/>
      <c r="Q374" s="327"/>
      <c r="R374" s="327"/>
      <c r="S374" s="327"/>
      <c r="T374" s="327"/>
      <c r="U374" s="327"/>
      <c r="V374" s="327"/>
      <c r="W374" s="327"/>
      <c r="X374" s="327"/>
      <c r="Y374" s="327"/>
      <c r="Z374" s="327"/>
      <c r="AA374" s="327"/>
      <c r="AB374" s="327"/>
      <c r="AC374" s="327"/>
      <c r="AD374" s="327"/>
      <c r="AE374" s="327"/>
      <c r="AF374" s="327"/>
      <c r="AG374" s="327"/>
      <c r="AH374" s="327"/>
      <c r="AI374" s="327"/>
      <c r="AJ374" s="327"/>
    </row>
    <row r="375" spans="1:36" x14ac:dyDescent="0.25">
      <c r="D375" s="322"/>
      <c r="E375" s="327"/>
      <c r="F375" s="327"/>
      <c r="G375" s="327"/>
      <c r="H375" s="327"/>
      <c r="I375" s="327"/>
      <c r="J375" s="327"/>
      <c r="K375" s="327"/>
      <c r="L375" s="327"/>
      <c r="M375" s="327"/>
      <c r="N375" s="327"/>
      <c r="O375" s="327"/>
      <c r="P375" s="327"/>
      <c r="Q375" s="327"/>
      <c r="R375" s="327"/>
      <c r="S375" s="327"/>
      <c r="T375" s="327"/>
      <c r="U375" s="327"/>
      <c r="V375" s="327"/>
      <c r="W375" s="327"/>
      <c r="X375" s="327"/>
      <c r="Y375" s="327"/>
      <c r="Z375" s="327"/>
      <c r="AA375" s="327"/>
      <c r="AB375" s="327"/>
      <c r="AC375" s="327"/>
      <c r="AD375" s="327"/>
      <c r="AE375" s="327"/>
      <c r="AF375" s="327"/>
      <c r="AG375" s="327"/>
      <c r="AH375" s="327"/>
      <c r="AI375" s="327"/>
      <c r="AJ375" s="327"/>
    </row>
    <row r="376" spans="1:36" x14ac:dyDescent="0.25">
      <c r="D376" s="322"/>
      <c r="E376" s="327"/>
      <c r="F376" s="327"/>
      <c r="G376" s="327"/>
      <c r="H376" s="327"/>
      <c r="I376" s="327"/>
      <c r="J376" s="327"/>
      <c r="K376" s="327"/>
      <c r="L376" s="327"/>
      <c r="M376" s="327"/>
      <c r="N376" s="327"/>
      <c r="O376" s="327"/>
      <c r="P376" s="327"/>
      <c r="Q376" s="327"/>
      <c r="R376" s="327"/>
      <c r="S376" s="327"/>
      <c r="T376" s="327"/>
      <c r="U376" s="327"/>
      <c r="V376" s="327"/>
      <c r="W376" s="327"/>
      <c r="X376" s="327"/>
      <c r="Y376" s="327"/>
      <c r="Z376" s="327"/>
      <c r="AA376" s="327"/>
      <c r="AB376" s="327"/>
      <c r="AC376" s="327"/>
      <c r="AD376" s="327"/>
      <c r="AE376" s="327"/>
      <c r="AF376" s="327"/>
      <c r="AG376" s="327"/>
      <c r="AH376" s="327"/>
      <c r="AI376" s="327"/>
      <c r="AJ376" s="327"/>
    </row>
    <row r="377" spans="1:36" x14ac:dyDescent="0.25">
      <c r="D377" s="322"/>
      <c r="E377" s="327"/>
      <c r="F377" s="327"/>
      <c r="G377" s="327"/>
      <c r="H377" s="327"/>
      <c r="I377" s="327"/>
      <c r="J377" s="327"/>
      <c r="K377" s="327"/>
      <c r="L377" s="327"/>
      <c r="M377" s="327"/>
      <c r="N377" s="327"/>
      <c r="O377" s="327"/>
      <c r="P377" s="327"/>
      <c r="Q377" s="327"/>
      <c r="R377" s="327"/>
      <c r="S377" s="327"/>
      <c r="T377" s="327"/>
      <c r="U377" s="327"/>
      <c r="V377" s="327"/>
      <c r="W377" s="327"/>
      <c r="X377" s="327"/>
      <c r="Y377" s="327"/>
      <c r="Z377" s="327"/>
      <c r="AA377" s="327"/>
      <c r="AB377" s="327"/>
      <c r="AC377" s="327"/>
      <c r="AD377" s="327"/>
      <c r="AE377" s="327"/>
      <c r="AF377" s="327"/>
      <c r="AG377" s="327"/>
      <c r="AH377" s="327"/>
      <c r="AI377" s="327"/>
      <c r="AJ377" s="327"/>
    </row>
    <row r="378" spans="1:36" x14ac:dyDescent="0.25">
      <c r="D378" s="322"/>
      <c r="E378" s="327"/>
      <c r="F378" s="327"/>
      <c r="G378" s="327"/>
      <c r="H378" s="327"/>
      <c r="I378" s="327"/>
      <c r="J378" s="327"/>
      <c r="K378" s="327"/>
      <c r="L378" s="327"/>
      <c r="M378" s="327"/>
      <c r="N378" s="327"/>
      <c r="O378" s="327"/>
      <c r="P378" s="327"/>
      <c r="Q378" s="327"/>
      <c r="R378" s="327"/>
      <c r="S378" s="327"/>
      <c r="T378" s="327"/>
      <c r="U378" s="327"/>
      <c r="V378" s="327"/>
      <c r="W378" s="327"/>
      <c r="X378" s="327"/>
      <c r="Y378" s="327"/>
      <c r="Z378" s="327"/>
      <c r="AA378" s="327"/>
      <c r="AB378" s="327"/>
      <c r="AC378" s="327"/>
      <c r="AD378" s="327"/>
      <c r="AE378" s="327"/>
      <c r="AF378" s="327"/>
      <c r="AG378" s="327"/>
      <c r="AH378" s="327"/>
      <c r="AI378" s="327"/>
      <c r="AJ378" s="327"/>
    </row>
    <row r="379" spans="1:36" x14ac:dyDescent="0.25">
      <c r="A379" s="325"/>
      <c r="D379" s="322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27"/>
      <c r="Y379" s="327"/>
      <c r="Z379" s="327"/>
      <c r="AA379" s="327"/>
      <c r="AB379" s="327"/>
      <c r="AC379" s="327"/>
      <c r="AD379" s="327"/>
      <c r="AE379" s="327"/>
      <c r="AF379" s="327"/>
      <c r="AG379" s="327"/>
      <c r="AH379" s="327"/>
      <c r="AI379" s="327"/>
      <c r="AJ379" s="327"/>
    </row>
    <row r="380" spans="1:36" x14ac:dyDescent="0.25">
      <c r="A380" s="326"/>
      <c r="D380" s="322"/>
      <c r="E380" s="327"/>
      <c r="F380" s="327"/>
      <c r="G380" s="327"/>
      <c r="H380" s="327"/>
      <c r="I380" s="327"/>
      <c r="J380" s="327"/>
      <c r="K380" s="327"/>
      <c r="L380" s="327"/>
      <c r="M380" s="327"/>
      <c r="N380" s="327"/>
      <c r="O380" s="327"/>
      <c r="P380" s="327"/>
      <c r="Q380" s="327"/>
      <c r="R380" s="327"/>
      <c r="S380" s="327"/>
      <c r="T380" s="327"/>
      <c r="U380" s="327"/>
      <c r="V380" s="327"/>
      <c r="W380" s="327"/>
      <c r="X380" s="327"/>
      <c r="Y380" s="327"/>
      <c r="Z380" s="327"/>
      <c r="AA380" s="327"/>
      <c r="AB380" s="327"/>
      <c r="AC380" s="327"/>
      <c r="AD380" s="327"/>
      <c r="AE380" s="327"/>
      <c r="AF380" s="327"/>
      <c r="AG380" s="327"/>
      <c r="AH380" s="327"/>
      <c r="AI380" s="327"/>
      <c r="AJ380" s="327"/>
    </row>
    <row r="381" spans="1:36" x14ac:dyDescent="0.25">
      <c r="A381" s="326"/>
      <c r="D381" s="322"/>
      <c r="E381" s="327"/>
      <c r="F381" s="327"/>
      <c r="G381" s="327"/>
      <c r="H381" s="327"/>
      <c r="I381" s="327"/>
      <c r="J381" s="327"/>
      <c r="K381" s="327"/>
      <c r="L381" s="327"/>
      <c r="M381" s="327"/>
      <c r="N381" s="327"/>
      <c r="O381" s="327"/>
      <c r="P381" s="327"/>
      <c r="Q381" s="327"/>
      <c r="R381" s="327"/>
      <c r="S381" s="327"/>
      <c r="T381" s="327"/>
      <c r="U381" s="327"/>
      <c r="V381" s="327"/>
      <c r="W381" s="327"/>
      <c r="X381" s="327"/>
      <c r="Y381" s="327"/>
      <c r="Z381" s="327"/>
      <c r="AA381" s="327"/>
      <c r="AB381" s="327"/>
      <c r="AC381" s="327"/>
      <c r="AD381" s="327"/>
      <c r="AE381" s="327"/>
      <c r="AF381" s="327"/>
      <c r="AG381" s="327"/>
      <c r="AH381" s="327"/>
      <c r="AI381" s="327"/>
      <c r="AJ381" s="327"/>
    </row>
    <row r="382" spans="1:36" x14ac:dyDescent="0.25">
      <c r="A382" s="326"/>
      <c r="D382" s="322"/>
      <c r="E382" s="327"/>
      <c r="F382" s="327"/>
      <c r="G382" s="327"/>
      <c r="H382" s="327"/>
      <c r="I382" s="327"/>
      <c r="J382" s="327"/>
      <c r="K382" s="327"/>
      <c r="L382" s="327"/>
      <c r="M382" s="327"/>
      <c r="N382" s="327"/>
      <c r="O382" s="327"/>
      <c r="P382" s="327"/>
      <c r="Q382" s="327"/>
      <c r="R382" s="327"/>
      <c r="S382" s="327"/>
      <c r="T382" s="327"/>
      <c r="U382" s="327"/>
      <c r="V382" s="327"/>
      <c r="W382" s="327"/>
      <c r="X382" s="327"/>
      <c r="Y382" s="327"/>
      <c r="Z382" s="327"/>
      <c r="AA382" s="327"/>
      <c r="AB382" s="327"/>
      <c r="AC382" s="327"/>
      <c r="AD382" s="327"/>
      <c r="AE382" s="327"/>
      <c r="AF382" s="327"/>
      <c r="AG382" s="327"/>
      <c r="AH382" s="327"/>
      <c r="AI382" s="327"/>
      <c r="AJ382" s="327"/>
    </row>
    <row r="383" spans="1:36" x14ac:dyDescent="0.25">
      <c r="A383" s="326"/>
      <c r="D383" s="322"/>
      <c r="E383" s="327"/>
      <c r="F383" s="327"/>
      <c r="G383" s="327"/>
      <c r="H383" s="327"/>
      <c r="I383" s="327"/>
      <c r="J383" s="327"/>
      <c r="K383" s="327"/>
      <c r="L383" s="327"/>
      <c r="M383" s="327"/>
      <c r="N383" s="327"/>
      <c r="O383" s="327"/>
      <c r="P383" s="327"/>
      <c r="Q383" s="327"/>
      <c r="R383" s="327"/>
      <c r="S383" s="327"/>
      <c r="T383" s="327"/>
      <c r="U383" s="327"/>
      <c r="V383" s="327"/>
      <c r="W383" s="327"/>
      <c r="X383" s="327"/>
      <c r="Y383" s="327"/>
      <c r="Z383" s="327"/>
      <c r="AA383" s="327"/>
      <c r="AB383" s="327"/>
      <c r="AC383" s="327"/>
      <c r="AD383" s="327"/>
      <c r="AE383" s="327"/>
      <c r="AF383" s="327"/>
      <c r="AG383" s="327"/>
      <c r="AH383" s="327"/>
      <c r="AI383" s="327"/>
      <c r="AJ383" s="327"/>
    </row>
    <row r="384" spans="1:36" x14ac:dyDescent="0.25">
      <c r="A384" s="326"/>
      <c r="D384" s="322"/>
      <c r="E384" s="327"/>
      <c r="F384" s="327"/>
      <c r="G384" s="327"/>
      <c r="H384" s="327"/>
      <c r="I384" s="327"/>
      <c r="J384" s="327"/>
      <c r="K384" s="327"/>
      <c r="L384" s="327"/>
      <c r="M384" s="327"/>
      <c r="N384" s="327"/>
      <c r="O384" s="327"/>
      <c r="P384" s="327"/>
      <c r="Q384" s="327"/>
      <c r="R384" s="327"/>
      <c r="S384" s="327"/>
      <c r="T384" s="327"/>
      <c r="U384" s="327"/>
      <c r="V384" s="327"/>
      <c r="W384" s="327"/>
      <c r="X384" s="327"/>
      <c r="Y384" s="327"/>
      <c r="Z384" s="327"/>
      <c r="AA384" s="327"/>
      <c r="AB384" s="327"/>
      <c r="AC384" s="327"/>
      <c r="AD384" s="327"/>
      <c r="AE384" s="327"/>
      <c r="AF384" s="327"/>
      <c r="AG384" s="327"/>
      <c r="AH384" s="327"/>
      <c r="AI384" s="327"/>
      <c r="AJ384" s="327"/>
    </row>
    <row r="385" spans="1:36" x14ac:dyDescent="0.25">
      <c r="A385" s="326"/>
      <c r="D385" s="322"/>
      <c r="E385" s="327"/>
      <c r="F385" s="327"/>
      <c r="G385" s="327"/>
      <c r="H385" s="327"/>
      <c r="I385" s="327"/>
      <c r="J385" s="327"/>
      <c r="K385" s="327"/>
      <c r="L385" s="327"/>
      <c r="M385" s="327"/>
      <c r="N385" s="327"/>
      <c r="O385" s="327"/>
      <c r="P385" s="327"/>
      <c r="Q385" s="327"/>
      <c r="R385" s="327"/>
      <c r="S385" s="327"/>
      <c r="T385" s="327"/>
      <c r="U385" s="327"/>
      <c r="V385" s="327"/>
      <c r="W385" s="327"/>
      <c r="X385" s="327"/>
      <c r="Y385" s="327"/>
      <c r="Z385" s="327"/>
      <c r="AA385" s="327"/>
      <c r="AB385" s="327"/>
      <c r="AC385" s="327"/>
      <c r="AD385" s="327"/>
      <c r="AE385" s="327"/>
      <c r="AF385" s="327"/>
      <c r="AG385" s="327"/>
      <c r="AH385" s="327"/>
      <c r="AI385" s="327"/>
      <c r="AJ385" s="327"/>
    </row>
    <row r="386" spans="1:36" x14ac:dyDescent="0.25">
      <c r="A386" s="326"/>
      <c r="D386" s="322"/>
      <c r="E386" s="327"/>
      <c r="F386" s="327"/>
      <c r="G386" s="327"/>
      <c r="H386" s="327"/>
      <c r="I386" s="327"/>
      <c r="J386" s="327"/>
      <c r="K386" s="327"/>
      <c r="L386" s="327"/>
      <c r="M386" s="327"/>
      <c r="N386" s="327"/>
      <c r="O386" s="327"/>
      <c r="P386" s="327"/>
      <c r="Q386" s="327"/>
      <c r="R386" s="327"/>
      <c r="S386" s="327"/>
      <c r="T386" s="327"/>
      <c r="U386" s="327"/>
      <c r="V386" s="327"/>
      <c r="W386" s="327"/>
      <c r="X386" s="327"/>
      <c r="Y386" s="327"/>
      <c r="Z386" s="327"/>
      <c r="AA386" s="327"/>
      <c r="AB386" s="327"/>
      <c r="AC386" s="327"/>
      <c r="AD386" s="327"/>
      <c r="AE386" s="327"/>
      <c r="AF386" s="327"/>
      <c r="AG386" s="327"/>
      <c r="AH386" s="327"/>
      <c r="AI386" s="327"/>
      <c r="AJ386" s="327"/>
    </row>
    <row r="387" spans="1:36" x14ac:dyDescent="0.25">
      <c r="A387" s="326"/>
      <c r="D387" s="322"/>
      <c r="E387" s="327"/>
      <c r="F387" s="327"/>
      <c r="G387" s="327"/>
      <c r="H387" s="327"/>
      <c r="I387" s="327"/>
      <c r="J387" s="327"/>
      <c r="K387" s="327"/>
      <c r="L387" s="327"/>
      <c r="M387" s="327"/>
      <c r="N387" s="327"/>
      <c r="O387" s="327"/>
      <c r="P387" s="327"/>
      <c r="Q387" s="327"/>
      <c r="R387" s="327"/>
      <c r="S387" s="327"/>
      <c r="T387" s="327"/>
      <c r="U387" s="327"/>
      <c r="V387" s="327"/>
      <c r="W387" s="327"/>
      <c r="X387" s="327"/>
      <c r="Y387" s="327"/>
      <c r="Z387" s="327"/>
      <c r="AA387" s="327"/>
      <c r="AB387" s="327"/>
      <c r="AC387" s="327"/>
      <c r="AD387" s="327"/>
      <c r="AE387" s="327"/>
      <c r="AF387" s="327"/>
      <c r="AG387" s="327"/>
      <c r="AH387" s="327"/>
      <c r="AI387" s="327"/>
      <c r="AJ387" s="327"/>
    </row>
    <row r="388" spans="1:36" x14ac:dyDescent="0.25">
      <c r="A388" s="326"/>
      <c r="D388" s="322"/>
      <c r="E388" s="327"/>
      <c r="F388" s="327"/>
      <c r="G388" s="327"/>
      <c r="H388" s="327"/>
      <c r="I388" s="327"/>
      <c r="J388" s="327"/>
      <c r="K388" s="327"/>
      <c r="L388" s="327"/>
      <c r="M388" s="327"/>
      <c r="N388" s="327"/>
      <c r="O388" s="327"/>
      <c r="P388" s="327"/>
      <c r="Q388" s="327"/>
      <c r="R388" s="327"/>
      <c r="S388" s="327"/>
      <c r="T388" s="327"/>
      <c r="U388" s="327"/>
      <c r="V388" s="327"/>
      <c r="W388" s="327"/>
      <c r="X388" s="327"/>
      <c r="Y388" s="327"/>
      <c r="Z388" s="327"/>
      <c r="AA388" s="327"/>
      <c r="AB388" s="327"/>
      <c r="AC388" s="327"/>
      <c r="AD388" s="327"/>
      <c r="AE388" s="327"/>
      <c r="AF388" s="327"/>
      <c r="AG388" s="327"/>
      <c r="AH388" s="327"/>
      <c r="AI388" s="327"/>
      <c r="AJ388" s="327"/>
    </row>
    <row r="389" spans="1:36" x14ac:dyDescent="0.25">
      <c r="A389" s="326"/>
      <c r="D389" s="322"/>
      <c r="E389" s="327"/>
      <c r="F389" s="327"/>
      <c r="G389" s="327"/>
      <c r="H389" s="327"/>
      <c r="I389" s="327"/>
      <c r="J389" s="327"/>
      <c r="K389" s="327"/>
      <c r="L389" s="327"/>
      <c r="M389" s="327"/>
      <c r="N389" s="327"/>
      <c r="O389" s="327"/>
      <c r="P389" s="327"/>
      <c r="Q389" s="327"/>
      <c r="R389" s="327"/>
      <c r="S389" s="327"/>
      <c r="T389" s="327"/>
      <c r="U389" s="327"/>
      <c r="V389" s="327"/>
      <c r="W389" s="327"/>
      <c r="X389" s="327"/>
      <c r="Y389" s="327"/>
      <c r="Z389" s="327"/>
      <c r="AA389" s="327"/>
      <c r="AB389" s="327"/>
      <c r="AC389" s="327"/>
      <c r="AD389" s="327"/>
      <c r="AE389" s="327"/>
      <c r="AF389" s="327"/>
      <c r="AG389" s="327"/>
      <c r="AH389" s="327"/>
      <c r="AI389" s="327"/>
      <c r="AJ389" s="327"/>
    </row>
    <row r="390" spans="1:36" x14ac:dyDescent="0.25">
      <c r="A390" s="326"/>
      <c r="D390" s="322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327"/>
      <c r="Z390" s="327"/>
      <c r="AA390" s="327"/>
      <c r="AB390" s="327"/>
      <c r="AC390" s="327"/>
      <c r="AD390" s="327"/>
      <c r="AE390" s="327"/>
      <c r="AF390" s="327"/>
      <c r="AG390" s="327"/>
      <c r="AH390" s="327"/>
      <c r="AI390" s="327"/>
      <c r="AJ390" s="327"/>
    </row>
    <row r="391" spans="1:36" x14ac:dyDescent="0.25">
      <c r="A391" s="326"/>
      <c r="D391" s="322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27"/>
      <c r="Z391" s="327"/>
      <c r="AA391" s="327"/>
      <c r="AB391" s="327"/>
      <c r="AC391" s="327"/>
      <c r="AD391" s="327"/>
      <c r="AE391" s="327"/>
      <c r="AF391" s="327"/>
      <c r="AG391" s="327"/>
      <c r="AH391" s="327"/>
      <c r="AI391" s="327"/>
      <c r="AJ391" s="327"/>
    </row>
    <row r="392" spans="1:36" x14ac:dyDescent="0.25">
      <c r="A392" s="326"/>
      <c r="D392" s="322"/>
      <c r="E392" s="327"/>
      <c r="F392" s="327"/>
      <c r="G392" s="327"/>
      <c r="H392" s="327"/>
      <c r="I392" s="327"/>
      <c r="J392" s="327"/>
      <c r="K392" s="327"/>
      <c r="L392" s="327"/>
      <c r="M392" s="327"/>
      <c r="N392" s="327"/>
      <c r="O392" s="327"/>
      <c r="P392" s="327"/>
      <c r="Q392" s="327"/>
      <c r="R392" s="327"/>
      <c r="S392" s="327"/>
      <c r="T392" s="327"/>
      <c r="U392" s="327"/>
      <c r="V392" s="327"/>
      <c r="W392" s="327"/>
      <c r="X392" s="327"/>
      <c r="Y392" s="327"/>
      <c r="Z392" s="327"/>
      <c r="AA392" s="327"/>
      <c r="AB392" s="327"/>
      <c r="AC392" s="327"/>
      <c r="AD392" s="327"/>
      <c r="AE392" s="327"/>
      <c r="AF392" s="327"/>
      <c r="AG392" s="327"/>
      <c r="AH392" s="327"/>
      <c r="AI392" s="327"/>
      <c r="AJ392" s="327"/>
    </row>
    <row r="393" spans="1:36" x14ac:dyDescent="0.25">
      <c r="A393" s="326"/>
      <c r="D393" s="322"/>
      <c r="E393" s="327"/>
      <c r="F393" s="327"/>
      <c r="G393" s="327"/>
      <c r="H393" s="327"/>
      <c r="I393" s="327"/>
      <c r="J393" s="327"/>
      <c r="K393" s="327"/>
      <c r="L393" s="327"/>
      <c r="M393" s="327"/>
      <c r="N393" s="327"/>
      <c r="O393" s="327"/>
      <c r="P393" s="327"/>
      <c r="Q393" s="327"/>
      <c r="R393" s="327"/>
      <c r="S393" s="327"/>
      <c r="T393" s="327"/>
      <c r="U393" s="327"/>
      <c r="V393" s="327"/>
      <c r="W393" s="327"/>
      <c r="X393" s="327"/>
      <c r="Y393" s="327"/>
      <c r="Z393" s="327"/>
      <c r="AA393" s="327"/>
      <c r="AB393" s="327"/>
      <c r="AC393" s="327"/>
      <c r="AD393" s="327"/>
      <c r="AE393" s="327"/>
      <c r="AF393" s="327"/>
      <c r="AG393" s="327"/>
      <c r="AH393" s="327"/>
      <c r="AI393" s="327"/>
      <c r="AJ393" s="327"/>
    </row>
    <row r="394" spans="1:36" x14ac:dyDescent="0.25">
      <c r="A394" s="326"/>
      <c r="D394" s="322"/>
      <c r="E394" s="327"/>
      <c r="F394" s="327"/>
      <c r="G394" s="327"/>
      <c r="H394" s="327"/>
      <c r="I394" s="327"/>
      <c r="J394" s="327"/>
      <c r="K394" s="327"/>
      <c r="L394" s="327"/>
      <c r="M394" s="327"/>
      <c r="N394" s="327"/>
      <c r="O394" s="327"/>
      <c r="P394" s="327"/>
      <c r="Q394" s="327"/>
      <c r="R394" s="327"/>
      <c r="S394" s="327"/>
      <c r="T394" s="327"/>
      <c r="U394" s="327"/>
      <c r="V394" s="327"/>
      <c r="W394" s="327"/>
      <c r="X394" s="327"/>
      <c r="Y394" s="327"/>
      <c r="Z394" s="327"/>
      <c r="AA394" s="327"/>
      <c r="AB394" s="327"/>
      <c r="AC394" s="327"/>
      <c r="AD394" s="327"/>
      <c r="AE394" s="327"/>
      <c r="AF394" s="327"/>
      <c r="AG394" s="327"/>
      <c r="AH394" s="327"/>
      <c r="AI394" s="327"/>
      <c r="AJ394" s="327"/>
    </row>
    <row r="395" spans="1:36" x14ac:dyDescent="0.25">
      <c r="A395" s="326"/>
      <c r="D395" s="322"/>
      <c r="E395" s="327"/>
      <c r="F395" s="327"/>
      <c r="G395" s="327"/>
      <c r="H395" s="327"/>
      <c r="I395" s="327"/>
      <c r="J395" s="327"/>
      <c r="K395" s="327"/>
      <c r="L395" s="327"/>
      <c r="M395" s="327"/>
      <c r="N395" s="327"/>
      <c r="O395" s="327"/>
      <c r="P395" s="327"/>
      <c r="Q395" s="327"/>
      <c r="R395" s="327"/>
      <c r="S395" s="327"/>
      <c r="T395" s="327"/>
      <c r="U395" s="327"/>
      <c r="V395" s="327"/>
      <c r="W395" s="327"/>
      <c r="X395" s="327"/>
      <c r="Y395" s="327"/>
      <c r="Z395" s="327"/>
      <c r="AA395" s="327"/>
      <c r="AB395" s="327"/>
      <c r="AC395" s="327"/>
      <c r="AD395" s="327"/>
      <c r="AE395" s="327"/>
      <c r="AF395" s="327"/>
      <c r="AG395" s="327"/>
      <c r="AH395" s="327"/>
      <c r="AI395" s="327"/>
      <c r="AJ395" s="327"/>
    </row>
    <row r="396" spans="1:36" x14ac:dyDescent="0.25">
      <c r="A396" s="326"/>
      <c r="D396" s="322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327"/>
      <c r="Z396" s="327"/>
      <c r="AA396" s="327"/>
      <c r="AB396" s="327"/>
      <c r="AC396" s="327"/>
      <c r="AD396" s="327"/>
      <c r="AE396" s="327"/>
      <c r="AF396" s="327"/>
      <c r="AG396" s="327"/>
      <c r="AH396" s="327"/>
      <c r="AI396" s="327"/>
      <c r="AJ396" s="327"/>
    </row>
    <row r="397" spans="1:36" x14ac:dyDescent="0.25">
      <c r="A397" s="326"/>
      <c r="D397" s="322"/>
      <c r="E397" s="327"/>
      <c r="F397" s="327"/>
      <c r="G397" s="327"/>
      <c r="H397" s="327"/>
      <c r="I397" s="327"/>
      <c r="J397" s="327"/>
      <c r="K397" s="327"/>
      <c r="L397" s="327"/>
      <c r="M397" s="327"/>
      <c r="N397" s="327"/>
      <c r="O397" s="327"/>
      <c r="P397" s="327"/>
      <c r="Q397" s="327"/>
      <c r="R397" s="327"/>
      <c r="S397" s="327"/>
      <c r="T397" s="327"/>
      <c r="U397" s="327"/>
      <c r="V397" s="327"/>
      <c r="W397" s="327"/>
      <c r="X397" s="327"/>
      <c r="Y397" s="327"/>
      <c r="Z397" s="327"/>
      <c r="AA397" s="327"/>
      <c r="AB397" s="327"/>
      <c r="AC397" s="327"/>
      <c r="AD397" s="327"/>
      <c r="AE397" s="327"/>
      <c r="AF397" s="327"/>
      <c r="AG397" s="327"/>
      <c r="AH397" s="327"/>
      <c r="AI397" s="327"/>
      <c r="AJ397" s="327"/>
    </row>
    <row r="398" spans="1:36" x14ac:dyDescent="0.25">
      <c r="D398" s="322"/>
      <c r="E398" s="327"/>
      <c r="F398" s="327"/>
      <c r="G398" s="327"/>
      <c r="H398" s="327"/>
      <c r="I398" s="327"/>
      <c r="J398" s="327"/>
      <c r="K398" s="327"/>
      <c r="L398" s="327"/>
      <c r="M398" s="327"/>
      <c r="N398" s="327"/>
      <c r="O398" s="327"/>
      <c r="P398" s="327"/>
      <c r="Q398" s="327"/>
      <c r="R398" s="327"/>
      <c r="S398" s="327"/>
      <c r="T398" s="327"/>
      <c r="U398" s="327"/>
      <c r="V398" s="327"/>
      <c r="W398" s="327"/>
      <c r="X398" s="327"/>
      <c r="Y398" s="327"/>
      <c r="Z398" s="327"/>
      <c r="AA398" s="327"/>
      <c r="AB398" s="327"/>
      <c r="AC398" s="327"/>
      <c r="AD398" s="327"/>
      <c r="AE398" s="327"/>
      <c r="AF398" s="327"/>
      <c r="AG398" s="327"/>
      <c r="AH398" s="327"/>
      <c r="AI398" s="327"/>
      <c r="AJ398" s="327"/>
    </row>
    <row r="399" spans="1:36" x14ac:dyDescent="0.25">
      <c r="D399" s="322"/>
      <c r="E399" s="327"/>
      <c r="F399" s="327"/>
      <c r="G399" s="327"/>
      <c r="H399" s="327"/>
      <c r="I399" s="327"/>
      <c r="J399" s="327"/>
      <c r="K399" s="327"/>
      <c r="L399" s="327"/>
      <c r="M399" s="327"/>
      <c r="N399" s="327"/>
      <c r="O399" s="327"/>
      <c r="P399" s="327"/>
      <c r="Q399" s="327"/>
      <c r="R399" s="327"/>
      <c r="S399" s="327"/>
      <c r="T399" s="327"/>
      <c r="U399" s="327"/>
      <c r="V399" s="327"/>
      <c r="W399" s="327"/>
      <c r="X399" s="327"/>
      <c r="Y399" s="327"/>
      <c r="Z399" s="327"/>
      <c r="AA399" s="327"/>
      <c r="AB399" s="327"/>
      <c r="AC399" s="327"/>
      <c r="AD399" s="327"/>
      <c r="AE399" s="327"/>
      <c r="AF399" s="327"/>
      <c r="AG399" s="327"/>
      <c r="AH399" s="327"/>
      <c r="AI399" s="327"/>
      <c r="AJ399" s="327"/>
    </row>
    <row r="400" spans="1:36" x14ac:dyDescent="0.25">
      <c r="D400" s="322"/>
      <c r="E400" s="327"/>
      <c r="F400" s="327"/>
      <c r="G400" s="327"/>
      <c r="H400" s="327"/>
      <c r="I400" s="327"/>
      <c r="J400" s="327"/>
      <c r="K400" s="327"/>
      <c r="L400" s="327"/>
      <c r="M400" s="327"/>
      <c r="N400" s="327"/>
      <c r="O400" s="327"/>
      <c r="P400" s="327"/>
      <c r="Q400" s="327"/>
      <c r="R400" s="327"/>
      <c r="S400" s="327"/>
      <c r="T400" s="327"/>
      <c r="U400" s="327"/>
      <c r="V400" s="327"/>
      <c r="W400" s="327"/>
      <c r="X400" s="327"/>
      <c r="Y400" s="327"/>
      <c r="Z400" s="327"/>
      <c r="AA400" s="327"/>
      <c r="AB400" s="327"/>
      <c r="AC400" s="327"/>
      <c r="AD400" s="327"/>
      <c r="AE400" s="327"/>
      <c r="AF400" s="327"/>
      <c r="AG400" s="327"/>
      <c r="AH400" s="327"/>
      <c r="AI400" s="327"/>
      <c r="AJ400" s="327"/>
    </row>
    <row r="401" spans="1:36" x14ac:dyDescent="0.25">
      <c r="D401" s="322"/>
      <c r="E401" s="327"/>
      <c r="F401" s="327"/>
      <c r="G401" s="327"/>
      <c r="H401" s="327"/>
      <c r="I401" s="327"/>
      <c r="J401" s="327"/>
      <c r="K401" s="327"/>
      <c r="L401" s="327"/>
      <c r="M401" s="327"/>
      <c r="N401" s="327"/>
      <c r="O401" s="327"/>
      <c r="P401" s="327"/>
      <c r="Q401" s="327"/>
      <c r="R401" s="327"/>
      <c r="S401" s="327"/>
      <c r="T401" s="327"/>
      <c r="U401" s="327"/>
      <c r="V401" s="327"/>
      <c r="W401" s="327"/>
      <c r="X401" s="327"/>
      <c r="Y401" s="327"/>
      <c r="Z401" s="327"/>
      <c r="AA401" s="327"/>
      <c r="AB401" s="327"/>
      <c r="AC401" s="327"/>
      <c r="AD401" s="327"/>
      <c r="AE401" s="327"/>
      <c r="AF401" s="327"/>
      <c r="AG401" s="327"/>
      <c r="AH401" s="327"/>
      <c r="AI401" s="327"/>
      <c r="AJ401" s="327"/>
    </row>
    <row r="402" spans="1:36" x14ac:dyDescent="0.25">
      <c r="D402" s="322"/>
      <c r="E402" s="327"/>
      <c r="F402" s="327"/>
      <c r="G402" s="327"/>
      <c r="H402" s="327"/>
      <c r="I402" s="327"/>
      <c r="J402" s="327"/>
      <c r="K402" s="327"/>
      <c r="L402" s="327"/>
      <c r="M402" s="327"/>
      <c r="N402" s="327"/>
      <c r="O402" s="327"/>
      <c r="P402" s="327"/>
      <c r="Q402" s="327"/>
      <c r="R402" s="327"/>
      <c r="S402" s="327"/>
      <c r="T402" s="327"/>
      <c r="U402" s="327"/>
      <c r="V402" s="327"/>
      <c r="W402" s="327"/>
      <c r="X402" s="327"/>
      <c r="Y402" s="327"/>
      <c r="Z402" s="327"/>
      <c r="AA402" s="327"/>
      <c r="AB402" s="327"/>
      <c r="AC402" s="327"/>
      <c r="AD402" s="327"/>
      <c r="AE402" s="327"/>
      <c r="AF402" s="327"/>
      <c r="AG402" s="327"/>
      <c r="AH402" s="327"/>
      <c r="AI402" s="327"/>
      <c r="AJ402" s="327"/>
    </row>
    <row r="403" spans="1:36" x14ac:dyDescent="0.25">
      <c r="D403" s="322"/>
      <c r="E403" s="327"/>
      <c r="F403" s="327"/>
      <c r="G403" s="327"/>
      <c r="H403" s="327"/>
      <c r="I403" s="327"/>
      <c r="J403" s="327"/>
      <c r="K403" s="327"/>
      <c r="L403" s="327"/>
      <c r="M403" s="327"/>
      <c r="N403" s="327"/>
      <c r="O403" s="327"/>
      <c r="P403" s="327"/>
      <c r="Q403" s="327"/>
      <c r="R403" s="327"/>
      <c r="S403" s="327"/>
      <c r="T403" s="327"/>
      <c r="U403" s="327"/>
      <c r="V403" s="327"/>
      <c r="W403" s="327"/>
      <c r="X403" s="327"/>
      <c r="Y403" s="327"/>
      <c r="Z403" s="327"/>
      <c r="AA403" s="327"/>
      <c r="AB403" s="327"/>
      <c r="AC403" s="327"/>
      <c r="AD403" s="327"/>
      <c r="AE403" s="327"/>
      <c r="AF403" s="327"/>
      <c r="AG403" s="327"/>
      <c r="AH403" s="327"/>
      <c r="AI403" s="327"/>
      <c r="AJ403" s="327"/>
    </row>
    <row r="404" spans="1:36" x14ac:dyDescent="0.25">
      <c r="D404" s="322"/>
      <c r="E404" s="327"/>
      <c r="F404" s="327"/>
      <c r="G404" s="327"/>
      <c r="H404" s="327"/>
      <c r="I404" s="327"/>
      <c r="J404" s="327"/>
      <c r="K404" s="327"/>
      <c r="L404" s="327"/>
      <c r="M404" s="327"/>
      <c r="N404" s="327"/>
      <c r="O404" s="327"/>
      <c r="P404" s="327"/>
      <c r="Q404" s="327"/>
      <c r="R404" s="327"/>
      <c r="S404" s="327"/>
      <c r="T404" s="327"/>
      <c r="U404" s="327"/>
      <c r="V404" s="327"/>
      <c r="W404" s="327"/>
      <c r="X404" s="327"/>
      <c r="Y404" s="327"/>
      <c r="Z404" s="327"/>
      <c r="AA404" s="327"/>
      <c r="AB404" s="327"/>
      <c r="AC404" s="327"/>
      <c r="AD404" s="327"/>
      <c r="AE404" s="327"/>
      <c r="AF404" s="327"/>
      <c r="AG404" s="327"/>
      <c r="AH404" s="327"/>
      <c r="AI404" s="327"/>
      <c r="AJ404" s="327"/>
    </row>
    <row r="405" spans="1:36" x14ac:dyDescent="0.25">
      <c r="A405" s="325"/>
      <c r="D405" s="322"/>
      <c r="E405" s="327"/>
      <c r="F405" s="327"/>
      <c r="G405" s="327"/>
      <c r="H405" s="327"/>
      <c r="I405" s="327"/>
      <c r="J405" s="327"/>
      <c r="K405" s="327"/>
      <c r="L405" s="327"/>
      <c r="M405" s="327"/>
      <c r="N405" s="327"/>
      <c r="O405" s="327"/>
      <c r="P405" s="327"/>
      <c r="Q405" s="327"/>
      <c r="R405" s="327"/>
      <c r="S405" s="327"/>
      <c r="T405" s="327"/>
      <c r="U405" s="327"/>
      <c r="V405" s="327"/>
      <c r="W405" s="327"/>
      <c r="X405" s="327"/>
      <c r="Y405" s="327"/>
      <c r="Z405" s="327"/>
      <c r="AA405" s="327"/>
      <c r="AB405" s="327"/>
      <c r="AC405" s="327"/>
      <c r="AD405" s="327"/>
      <c r="AE405" s="327"/>
      <c r="AF405" s="327"/>
      <c r="AG405" s="327"/>
      <c r="AH405" s="327"/>
      <c r="AI405" s="327"/>
      <c r="AJ405" s="327"/>
    </row>
    <row r="406" spans="1:36" x14ac:dyDescent="0.25">
      <c r="A406" s="326"/>
      <c r="D406" s="322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327"/>
      <c r="Y406" s="327"/>
      <c r="Z406" s="327"/>
      <c r="AA406" s="327"/>
      <c r="AB406" s="327"/>
      <c r="AC406" s="327"/>
      <c r="AD406" s="327"/>
      <c r="AE406" s="327"/>
      <c r="AF406" s="327"/>
      <c r="AG406" s="327"/>
      <c r="AH406" s="327"/>
      <c r="AI406" s="327"/>
      <c r="AJ406" s="327"/>
    </row>
    <row r="407" spans="1:36" x14ac:dyDescent="0.25">
      <c r="A407" s="326"/>
      <c r="D407" s="322"/>
      <c r="E407" s="327"/>
      <c r="F407" s="327"/>
      <c r="G407" s="327"/>
      <c r="H407" s="327"/>
      <c r="I407" s="327"/>
      <c r="J407" s="327"/>
      <c r="K407" s="327"/>
      <c r="L407" s="327"/>
      <c r="M407" s="327"/>
      <c r="N407" s="327"/>
      <c r="O407" s="327"/>
      <c r="P407" s="327"/>
      <c r="Q407" s="327"/>
      <c r="R407" s="327"/>
      <c r="S407" s="327"/>
      <c r="T407" s="327"/>
      <c r="U407" s="327"/>
      <c r="V407" s="327"/>
      <c r="W407" s="327"/>
      <c r="X407" s="327"/>
      <c r="Y407" s="327"/>
      <c r="Z407" s="327"/>
      <c r="AA407" s="327"/>
      <c r="AB407" s="327"/>
      <c r="AC407" s="327"/>
      <c r="AD407" s="327"/>
      <c r="AE407" s="327"/>
      <c r="AF407" s="327"/>
      <c r="AG407" s="327"/>
      <c r="AH407" s="327"/>
      <c r="AI407" s="327"/>
      <c r="AJ407" s="327"/>
    </row>
    <row r="408" spans="1:36" x14ac:dyDescent="0.25">
      <c r="A408" s="326"/>
      <c r="D408" s="322"/>
      <c r="E408" s="327"/>
      <c r="F408" s="327"/>
      <c r="G408" s="327"/>
      <c r="H408" s="327"/>
      <c r="I408" s="327"/>
      <c r="J408" s="327"/>
      <c r="K408" s="327"/>
      <c r="L408" s="327"/>
      <c r="M408" s="327"/>
      <c r="N408" s="327"/>
      <c r="O408" s="327"/>
      <c r="P408" s="327"/>
      <c r="Q408" s="327"/>
      <c r="R408" s="327"/>
      <c r="S408" s="327"/>
      <c r="T408" s="327"/>
      <c r="U408" s="327"/>
      <c r="V408" s="327"/>
      <c r="W408" s="327"/>
      <c r="X408" s="327"/>
      <c r="Y408" s="327"/>
      <c r="Z408" s="327"/>
      <c r="AA408" s="327"/>
      <c r="AB408" s="327"/>
      <c r="AC408" s="327"/>
      <c r="AD408" s="327"/>
      <c r="AE408" s="327"/>
      <c r="AF408" s="327"/>
      <c r="AG408" s="327"/>
      <c r="AH408" s="327"/>
      <c r="AI408" s="327"/>
      <c r="AJ408" s="327"/>
    </row>
    <row r="409" spans="1:36" x14ac:dyDescent="0.25">
      <c r="A409" s="326"/>
      <c r="D409" s="322"/>
      <c r="E409" s="327"/>
      <c r="F409" s="327"/>
      <c r="G409" s="327"/>
      <c r="H409" s="327"/>
      <c r="I409" s="327"/>
      <c r="J409" s="327"/>
      <c r="K409" s="327"/>
      <c r="L409" s="327"/>
      <c r="M409" s="327"/>
      <c r="N409" s="327"/>
      <c r="O409" s="327"/>
      <c r="P409" s="327"/>
      <c r="Q409" s="327"/>
      <c r="R409" s="327"/>
      <c r="S409" s="327"/>
      <c r="T409" s="327"/>
      <c r="U409" s="327"/>
      <c r="V409" s="327"/>
      <c r="W409" s="327"/>
      <c r="X409" s="327"/>
      <c r="Y409" s="327"/>
      <c r="Z409" s="327"/>
      <c r="AA409" s="327"/>
      <c r="AB409" s="327"/>
      <c r="AC409" s="327"/>
      <c r="AD409" s="327"/>
      <c r="AE409" s="327"/>
      <c r="AF409" s="327"/>
      <c r="AG409" s="327"/>
      <c r="AH409" s="327"/>
      <c r="AI409" s="327"/>
      <c r="AJ409" s="327"/>
    </row>
    <row r="410" spans="1:36" x14ac:dyDescent="0.25">
      <c r="A410" s="326"/>
      <c r="D410" s="322"/>
      <c r="E410" s="327"/>
      <c r="F410" s="327"/>
      <c r="G410" s="327"/>
      <c r="H410" s="327"/>
      <c r="I410" s="327"/>
      <c r="J410" s="327"/>
      <c r="K410" s="327"/>
      <c r="L410" s="327"/>
      <c r="M410" s="327"/>
      <c r="N410" s="327"/>
      <c r="O410" s="327"/>
      <c r="P410" s="327"/>
      <c r="Q410" s="327"/>
      <c r="R410" s="327"/>
      <c r="S410" s="327"/>
      <c r="T410" s="327"/>
      <c r="U410" s="327"/>
      <c r="V410" s="327"/>
      <c r="W410" s="327"/>
      <c r="X410" s="327"/>
      <c r="Y410" s="327"/>
      <c r="Z410" s="327"/>
      <c r="AA410" s="327"/>
      <c r="AB410" s="327"/>
      <c r="AC410" s="327"/>
      <c r="AD410" s="327"/>
      <c r="AE410" s="327"/>
      <c r="AF410" s="327"/>
      <c r="AG410" s="327"/>
      <c r="AH410" s="327"/>
      <c r="AI410" s="327"/>
      <c r="AJ410" s="327"/>
    </row>
    <row r="411" spans="1:36" x14ac:dyDescent="0.25">
      <c r="A411" s="326"/>
      <c r="D411" s="322"/>
      <c r="E411" s="327"/>
      <c r="F411" s="327"/>
      <c r="G411" s="327"/>
      <c r="H411" s="327"/>
      <c r="I411" s="327"/>
      <c r="J411" s="327"/>
      <c r="K411" s="327"/>
      <c r="L411" s="327"/>
      <c r="M411" s="327"/>
      <c r="N411" s="327"/>
      <c r="O411" s="327"/>
      <c r="P411" s="327"/>
      <c r="Q411" s="327"/>
      <c r="R411" s="327"/>
      <c r="S411" s="327"/>
      <c r="T411" s="327"/>
      <c r="U411" s="327"/>
      <c r="V411" s="327"/>
      <c r="W411" s="327"/>
      <c r="X411" s="327"/>
      <c r="Y411" s="327"/>
      <c r="Z411" s="327"/>
      <c r="AA411" s="327"/>
      <c r="AB411" s="327"/>
      <c r="AC411" s="327"/>
      <c r="AD411" s="327"/>
      <c r="AE411" s="327"/>
      <c r="AF411" s="327"/>
      <c r="AG411" s="327"/>
      <c r="AH411" s="327"/>
      <c r="AI411" s="327"/>
      <c r="AJ411" s="327"/>
    </row>
    <row r="412" spans="1:36" x14ac:dyDescent="0.25">
      <c r="A412" s="326"/>
      <c r="D412" s="322"/>
      <c r="E412" s="327"/>
      <c r="F412" s="327"/>
      <c r="G412" s="327"/>
      <c r="H412" s="327"/>
      <c r="I412" s="327"/>
      <c r="J412" s="327"/>
      <c r="K412" s="327"/>
      <c r="L412" s="327"/>
      <c r="M412" s="327"/>
      <c r="N412" s="327"/>
      <c r="O412" s="327"/>
      <c r="P412" s="327"/>
      <c r="Q412" s="327"/>
      <c r="R412" s="327"/>
      <c r="S412" s="327"/>
      <c r="T412" s="327"/>
      <c r="U412" s="327"/>
      <c r="V412" s="327"/>
      <c r="W412" s="327"/>
      <c r="X412" s="327"/>
      <c r="Y412" s="327"/>
      <c r="Z412" s="327"/>
      <c r="AA412" s="327"/>
      <c r="AB412" s="327"/>
      <c r="AC412" s="327"/>
      <c r="AD412" s="327"/>
      <c r="AE412" s="327"/>
      <c r="AF412" s="327"/>
      <c r="AG412" s="327"/>
      <c r="AH412" s="327"/>
      <c r="AI412" s="327"/>
      <c r="AJ412" s="327"/>
    </row>
    <row r="413" spans="1:36" x14ac:dyDescent="0.25">
      <c r="A413" s="326"/>
      <c r="D413" s="322"/>
      <c r="E413" s="327"/>
      <c r="F413" s="327"/>
      <c r="G413" s="327"/>
      <c r="H413" s="327"/>
      <c r="I413" s="327"/>
      <c r="J413" s="327"/>
      <c r="K413" s="327"/>
      <c r="L413" s="327"/>
      <c r="M413" s="327"/>
      <c r="N413" s="327"/>
      <c r="O413" s="327"/>
      <c r="P413" s="327"/>
      <c r="Q413" s="327"/>
      <c r="R413" s="327"/>
      <c r="S413" s="327"/>
      <c r="T413" s="327"/>
      <c r="U413" s="327"/>
      <c r="V413" s="327"/>
      <c r="W413" s="327"/>
      <c r="X413" s="327"/>
      <c r="Y413" s="327"/>
      <c r="Z413" s="327"/>
      <c r="AA413" s="327"/>
      <c r="AB413" s="327"/>
      <c r="AC413" s="327"/>
      <c r="AD413" s="327"/>
      <c r="AE413" s="327"/>
      <c r="AF413" s="327"/>
      <c r="AG413" s="327"/>
      <c r="AH413" s="327"/>
      <c r="AI413" s="327"/>
      <c r="AJ413" s="327"/>
    </row>
    <row r="414" spans="1:36" x14ac:dyDescent="0.25">
      <c r="A414" s="326"/>
      <c r="D414" s="322"/>
      <c r="E414" s="327"/>
      <c r="F414" s="327"/>
      <c r="G414" s="327"/>
      <c r="H414" s="327"/>
      <c r="I414" s="327"/>
      <c r="J414" s="327"/>
      <c r="K414" s="327"/>
      <c r="L414" s="327"/>
      <c r="M414" s="327"/>
      <c r="N414" s="327"/>
      <c r="O414" s="327"/>
      <c r="P414" s="327"/>
      <c r="Q414" s="327"/>
      <c r="R414" s="327"/>
      <c r="S414" s="327"/>
      <c r="T414" s="327"/>
      <c r="U414" s="327"/>
      <c r="V414" s="327"/>
      <c r="W414" s="327"/>
      <c r="X414" s="327"/>
      <c r="Y414" s="327"/>
      <c r="Z414" s="327"/>
      <c r="AA414" s="327"/>
      <c r="AB414" s="327"/>
      <c r="AC414" s="327"/>
      <c r="AD414" s="327"/>
      <c r="AE414" s="327"/>
      <c r="AF414" s="327"/>
      <c r="AG414" s="327"/>
      <c r="AH414" s="327"/>
      <c r="AI414" s="327"/>
      <c r="AJ414" s="327"/>
    </row>
    <row r="415" spans="1:36" x14ac:dyDescent="0.25">
      <c r="A415" s="326"/>
      <c r="D415" s="322"/>
      <c r="E415" s="327"/>
      <c r="F415" s="327"/>
      <c r="G415" s="327"/>
      <c r="H415" s="327"/>
      <c r="I415" s="327"/>
      <c r="J415" s="327"/>
      <c r="K415" s="327"/>
      <c r="L415" s="327"/>
      <c r="M415" s="327"/>
      <c r="N415" s="327"/>
      <c r="O415" s="327"/>
      <c r="P415" s="327"/>
      <c r="Q415" s="327"/>
      <c r="R415" s="327"/>
      <c r="S415" s="327"/>
      <c r="T415" s="327"/>
      <c r="U415" s="327"/>
      <c r="V415" s="327"/>
      <c r="W415" s="327"/>
      <c r="X415" s="327"/>
      <c r="Y415" s="327"/>
      <c r="Z415" s="327"/>
      <c r="AA415" s="327"/>
      <c r="AB415" s="327"/>
      <c r="AC415" s="327"/>
      <c r="AD415" s="327"/>
      <c r="AE415" s="327"/>
      <c r="AF415" s="327"/>
      <c r="AG415" s="327"/>
      <c r="AH415" s="327"/>
      <c r="AI415" s="327"/>
      <c r="AJ415" s="327"/>
    </row>
    <row r="416" spans="1:36" x14ac:dyDescent="0.25">
      <c r="A416" s="326"/>
      <c r="D416" s="322"/>
      <c r="E416" s="327"/>
      <c r="F416" s="327"/>
      <c r="G416" s="327"/>
      <c r="H416" s="327"/>
      <c r="I416" s="327"/>
      <c r="J416" s="327"/>
      <c r="K416" s="327"/>
      <c r="L416" s="327"/>
      <c r="M416" s="327"/>
      <c r="N416" s="327"/>
      <c r="O416" s="327"/>
      <c r="P416" s="327"/>
      <c r="Q416" s="327"/>
      <c r="R416" s="327"/>
      <c r="S416" s="327"/>
      <c r="T416" s="327"/>
      <c r="U416" s="327"/>
      <c r="V416" s="327"/>
      <c r="W416" s="327"/>
      <c r="X416" s="327"/>
      <c r="Y416" s="327"/>
      <c r="Z416" s="327"/>
      <c r="AA416" s="327"/>
      <c r="AB416" s="327"/>
      <c r="AC416" s="327"/>
      <c r="AD416" s="327"/>
      <c r="AE416" s="327"/>
      <c r="AF416" s="327"/>
      <c r="AG416" s="327"/>
      <c r="AH416" s="327"/>
      <c r="AI416" s="327"/>
      <c r="AJ416" s="327"/>
    </row>
    <row r="417" spans="1:36" x14ac:dyDescent="0.25">
      <c r="A417" s="326"/>
      <c r="D417" s="322"/>
      <c r="E417" s="327"/>
      <c r="F417" s="327"/>
      <c r="G417" s="327"/>
      <c r="H417" s="327"/>
      <c r="I417" s="327"/>
      <c r="J417" s="327"/>
      <c r="K417" s="327"/>
      <c r="L417" s="327"/>
      <c r="M417" s="327"/>
      <c r="N417" s="327"/>
      <c r="O417" s="327"/>
      <c r="P417" s="327"/>
      <c r="Q417" s="327"/>
      <c r="R417" s="327"/>
      <c r="S417" s="327"/>
      <c r="T417" s="327"/>
      <c r="U417" s="327"/>
      <c r="V417" s="327"/>
      <c r="W417" s="327"/>
      <c r="X417" s="327"/>
      <c r="Y417" s="327"/>
      <c r="Z417" s="327"/>
      <c r="AA417" s="327"/>
      <c r="AB417" s="327"/>
      <c r="AC417" s="327"/>
      <c r="AD417" s="327"/>
      <c r="AE417" s="327"/>
      <c r="AF417" s="327"/>
      <c r="AG417" s="327"/>
      <c r="AH417" s="327"/>
      <c r="AI417" s="327"/>
      <c r="AJ417" s="327"/>
    </row>
    <row r="418" spans="1:36" x14ac:dyDescent="0.25">
      <c r="A418" s="326"/>
      <c r="D418" s="322"/>
      <c r="E418" s="327"/>
      <c r="F418" s="327"/>
      <c r="G418" s="327"/>
      <c r="H418" s="327"/>
      <c r="I418" s="327"/>
      <c r="J418" s="327"/>
      <c r="K418" s="327"/>
      <c r="L418" s="327"/>
      <c r="M418" s="327"/>
      <c r="N418" s="327"/>
      <c r="O418" s="327"/>
      <c r="P418" s="327"/>
      <c r="Q418" s="327"/>
      <c r="R418" s="327"/>
      <c r="S418" s="327"/>
      <c r="T418" s="327"/>
      <c r="U418" s="327"/>
      <c r="V418" s="327"/>
      <c r="W418" s="327"/>
      <c r="X418" s="327"/>
      <c r="Y418" s="327"/>
      <c r="Z418" s="327"/>
      <c r="AA418" s="327"/>
      <c r="AB418" s="327"/>
      <c r="AC418" s="327"/>
      <c r="AD418" s="327"/>
      <c r="AE418" s="327"/>
      <c r="AF418" s="327"/>
      <c r="AG418" s="327"/>
      <c r="AH418" s="327"/>
      <c r="AI418" s="327"/>
      <c r="AJ418" s="327"/>
    </row>
    <row r="419" spans="1:36" x14ac:dyDescent="0.25">
      <c r="A419" s="326"/>
      <c r="D419" s="322"/>
      <c r="E419" s="327"/>
      <c r="F419" s="327"/>
      <c r="G419" s="327"/>
      <c r="H419" s="327"/>
      <c r="I419" s="327"/>
      <c r="J419" s="327"/>
      <c r="K419" s="327"/>
      <c r="L419" s="327"/>
      <c r="M419" s="327"/>
      <c r="N419" s="327"/>
      <c r="O419" s="327"/>
      <c r="P419" s="327"/>
      <c r="Q419" s="327"/>
      <c r="R419" s="327"/>
      <c r="S419" s="327"/>
      <c r="T419" s="327"/>
      <c r="U419" s="327"/>
      <c r="V419" s="327"/>
      <c r="W419" s="327"/>
      <c r="X419" s="327"/>
      <c r="Y419" s="327"/>
      <c r="Z419" s="327"/>
      <c r="AA419" s="327"/>
      <c r="AB419" s="327"/>
      <c r="AC419" s="327"/>
      <c r="AD419" s="327"/>
      <c r="AE419" s="327"/>
      <c r="AF419" s="327"/>
      <c r="AG419" s="327"/>
      <c r="AH419" s="327"/>
      <c r="AI419" s="327"/>
      <c r="AJ419" s="327"/>
    </row>
    <row r="420" spans="1:36" x14ac:dyDescent="0.25">
      <c r="A420" s="326"/>
      <c r="D420" s="322"/>
      <c r="E420" s="327"/>
      <c r="F420" s="327"/>
      <c r="G420" s="327"/>
      <c r="H420" s="327"/>
      <c r="I420" s="327"/>
      <c r="J420" s="327"/>
      <c r="K420" s="327"/>
      <c r="L420" s="327"/>
      <c r="M420" s="327"/>
      <c r="N420" s="327"/>
      <c r="O420" s="327"/>
      <c r="P420" s="327"/>
      <c r="Q420" s="327"/>
      <c r="R420" s="327"/>
      <c r="S420" s="327"/>
      <c r="T420" s="327"/>
      <c r="U420" s="327"/>
      <c r="V420" s="327"/>
      <c r="W420" s="327"/>
      <c r="X420" s="327"/>
      <c r="Y420" s="327"/>
      <c r="Z420" s="327"/>
      <c r="AA420" s="327"/>
      <c r="AB420" s="327"/>
      <c r="AC420" s="327"/>
      <c r="AD420" s="327"/>
      <c r="AE420" s="327"/>
      <c r="AF420" s="327"/>
      <c r="AG420" s="327"/>
      <c r="AH420" s="327"/>
      <c r="AI420" s="327"/>
      <c r="AJ420" s="327"/>
    </row>
    <row r="421" spans="1:36" x14ac:dyDescent="0.25">
      <c r="A421" s="326"/>
      <c r="D421" s="322"/>
      <c r="E421" s="327"/>
      <c r="F421" s="327"/>
      <c r="G421" s="327"/>
      <c r="H421" s="327"/>
      <c r="I421" s="327"/>
      <c r="J421" s="327"/>
      <c r="K421" s="327"/>
      <c r="L421" s="327"/>
      <c r="M421" s="327"/>
      <c r="N421" s="327"/>
      <c r="O421" s="327"/>
      <c r="P421" s="327"/>
      <c r="Q421" s="327"/>
      <c r="R421" s="327"/>
      <c r="S421" s="327"/>
      <c r="T421" s="327"/>
      <c r="U421" s="327"/>
      <c r="V421" s="327"/>
      <c r="W421" s="327"/>
      <c r="X421" s="327"/>
      <c r="Y421" s="327"/>
      <c r="Z421" s="327"/>
      <c r="AA421" s="327"/>
      <c r="AB421" s="327"/>
      <c r="AC421" s="327"/>
      <c r="AD421" s="327"/>
      <c r="AE421" s="327"/>
      <c r="AF421" s="327"/>
      <c r="AG421" s="327"/>
      <c r="AH421" s="327"/>
      <c r="AI421" s="327"/>
      <c r="AJ421" s="327"/>
    </row>
    <row r="422" spans="1:36" x14ac:dyDescent="0.25">
      <c r="A422" s="326"/>
      <c r="D422" s="322"/>
      <c r="E422" s="327"/>
      <c r="F422" s="327"/>
      <c r="G422" s="327"/>
      <c r="H422" s="327"/>
      <c r="I422" s="327"/>
      <c r="J422" s="327"/>
      <c r="K422" s="327"/>
      <c r="L422" s="327"/>
      <c r="M422" s="327"/>
      <c r="N422" s="327"/>
      <c r="O422" s="327"/>
      <c r="P422" s="327"/>
      <c r="Q422" s="327"/>
      <c r="R422" s="327"/>
      <c r="S422" s="327"/>
      <c r="T422" s="327"/>
      <c r="U422" s="327"/>
      <c r="V422" s="327"/>
      <c r="W422" s="327"/>
      <c r="X422" s="327"/>
      <c r="Y422" s="327"/>
      <c r="Z422" s="327"/>
      <c r="AA422" s="327"/>
      <c r="AB422" s="327"/>
      <c r="AC422" s="327"/>
      <c r="AD422" s="327"/>
      <c r="AE422" s="327"/>
      <c r="AF422" s="327"/>
      <c r="AG422" s="327"/>
      <c r="AH422" s="327"/>
      <c r="AI422" s="327"/>
      <c r="AJ422" s="327"/>
    </row>
    <row r="423" spans="1:36" x14ac:dyDescent="0.25">
      <c r="A423" s="326"/>
      <c r="D423" s="322"/>
      <c r="E423" s="327"/>
      <c r="F423" s="327"/>
      <c r="G423" s="327"/>
      <c r="H423" s="327"/>
      <c r="I423" s="327"/>
      <c r="J423" s="327"/>
      <c r="K423" s="327"/>
      <c r="L423" s="327"/>
      <c r="M423" s="327"/>
      <c r="N423" s="327"/>
      <c r="O423" s="327"/>
      <c r="P423" s="327"/>
      <c r="Q423" s="327"/>
      <c r="R423" s="327"/>
      <c r="S423" s="327"/>
      <c r="T423" s="327"/>
      <c r="U423" s="327"/>
      <c r="V423" s="327"/>
      <c r="W423" s="327"/>
      <c r="X423" s="327"/>
      <c r="Y423" s="327"/>
      <c r="Z423" s="327"/>
      <c r="AA423" s="327"/>
      <c r="AB423" s="327"/>
      <c r="AC423" s="327"/>
      <c r="AD423" s="327"/>
      <c r="AE423" s="327"/>
      <c r="AF423" s="327"/>
      <c r="AG423" s="327"/>
      <c r="AH423" s="327"/>
      <c r="AI423" s="327"/>
      <c r="AJ423" s="327"/>
    </row>
    <row r="424" spans="1:36" x14ac:dyDescent="0.25">
      <c r="D424" s="322"/>
      <c r="E424" s="327"/>
      <c r="F424" s="327"/>
      <c r="G424" s="327"/>
      <c r="H424" s="327"/>
      <c r="I424" s="327"/>
      <c r="J424" s="327"/>
      <c r="K424" s="327"/>
      <c r="L424" s="327"/>
      <c r="M424" s="327"/>
      <c r="N424" s="327"/>
      <c r="O424" s="327"/>
      <c r="P424" s="327"/>
      <c r="Q424" s="327"/>
      <c r="R424" s="327"/>
      <c r="S424" s="327"/>
      <c r="T424" s="327"/>
      <c r="U424" s="327"/>
      <c r="V424" s="327"/>
      <c r="W424" s="327"/>
      <c r="X424" s="327"/>
      <c r="Y424" s="327"/>
      <c r="Z424" s="327"/>
      <c r="AA424" s="327"/>
      <c r="AB424" s="327"/>
      <c r="AC424" s="327"/>
      <c r="AD424" s="327"/>
      <c r="AE424" s="327"/>
      <c r="AF424" s="327"/>
      <c r="AG424" s="327"/>
      <c r="AH424" s="327"/>
      <c r="AI424" s="327"/>
      <c r="AJ424" s="327"/>
    </row>
    <row r="425" spans="1:36" x14ac:dyDescent="0.25">
      <c r="D425" s="322"/>
      <c r="E425" s="327"/>
      <c r="F425" s="327"/>
      <c r="G425" s="327"/>
      <c r="H425" s="327"/>
      <c r="I425" s="327"/>
      <c r="J425" s="327"/>
      <c r="K425" s="327"/>
      <c r="L425" s="327"/>
      <c r="M425" s="327"/>
      <c r="N425" s="327"/>
      <c r="O425" s="327"/>
      <c r="P425" s="327"/>
      <c r="Q425" s="327"/>
      <c r="R425" s="327"/>
      <c r="S425" s="327"/>
      <c r="T425" s="327"/>
      <c r="U425" s="327"/>
      <c r="V425" s="327"/>
      <c r="W425" s="327"/>
      <c r="X425" s="327"/>
      <c r="Y425" s="327"/>
      <c r="Z425" s="327"/>
      <c r="AA425" s="327"/>
      <c r="AB425" s="327"/>
      <c r="AC425" s="327"/>
      <c r="AD425" s="327"/>
      <c r="AE425" s="327"/>
      <c r="AF425" s="327"/>
      <c r="AG425" s="327"/>
      <c r="AH425" s="327"/>
      <c r="AI425" s="327"/>
      <c r="AJ425" s="327"/>
    </row>
    <row r="426" spans="1:36" x14ac:dyDescent="0.25">
      <c r="D426" s="322"/>
      <c r="E426" s="327"/>
      <c r="F426" s="327"/>
      <c r="G426" s="327"/>
      <c r="H426" s="327"/>
      <c r="I426" s="327"/>
      <c r="J426" s="327"/>
      <c r="K426" s="327"/>
      <c r="L426" s="327"/>
      <c r="M426" s="327"/>
      <c r="N426" s="327"/>
      <c r="O426" s="327"/>
      <c r="P426" s="327"/>
      <c r="Q426" s="327"/>
      <c r="R426" s="327"/>
      <c r="S426" s="327"/>
      <c r="T426" s="327"/>
      <c r="U426" s="327"/>
      <c r="V426" s="327"/>
      <c r="W426" s="327"/>
      <c r="X426" s="327"/>
      <c r="Y426" s="327"/>
      <c r="Z426" s="327"/>
      <c r="AA426" s="327"/>
      <c r="AB426" s="327"/>
      <c r="AC426" s="327"/>
      <c r="AD426" s="327"/>
      <c r="AE426" s="327"/>
      <c r="AF426" s="327"/>
      <c r="AG426" s="327"/>
      <c r="AH426" s="327"/>
      <c r="AI426" s="327"/>
      <c r="AJ426" s="327"/>
    </row>
    <row r="427" spans="1:36" x14ac:dyDescent="0.25">
      <c r="D427" s="322"/>
      <c r="E427" s="327"/>
      <c r="F427" s="327"/>
      <c r="G427" s="327"/>
      <c r="H427" s="327"/>
      <c r="I427" s="327"/>
      <c r="J427" s="327"/>
      <c r="K427" s="327"/>
      <c r="L427" s="327"/>
      <c r="M427" s="327"/>
      <c r="N427" s="327"/>
      <c r="O427" s="327"/>
      <c r="P427" s="327"/>
      <c r="Q427" s="327"/>
      <c r="R427" s="327"/>
      <c r="S427" s="327"/>
      <c r="T427" s="327"/>
      <c r="U427" s="327"/>
      <c r="V427" s="327"/>
      <c r="W427" s="327"/>
      <c r="X427" s="327"/>
      <c r="Y427" s="327"/>
      <c r="Z427" s="327"/>
      <c r="AA427" s="327"/>
      <c r="AB427" s="327"/>
      <c r="AC427" s="327"/>
      <c r="AD427" s="327"/>
      <c r="AE427" s="327"/>
      <c r="AF427" s="327"/>
      <c r="AG427" s="327"/>
      <c r="AH427" s="327"/>
      <c r="AI427" s="327"/>
      <c r="AJ427" s="327"/>
    </row>
    <row r="428" spans="1:36" x14ac:dyDescent="0.25">
      <c r="D428" s="322"/>
      <c r="E428" s="327"/>
      <c r="F428" s="327"/>
      <c r="G428" s="327"/>
      <c r="H428" s="327"/>
      <c r="I428" s="327"/>
      <c r="J428" s="327"/>
      <c r="K428" s="327"/>
      <c r="L428" s="327"/>
      <c r="M428" s="327"/>
      <c r="N428" s="327"/>
      <c r="O428" s="327"/>
      <c r="P428" s="327"/>
      <c r="Q428" s="327"/>
      <c r="R428" s="327"/>
      <c r="S428" s="327"/>
      <c r="T428" s="327"/>
      <c r="U428" s="327"/>
      <c r="V428" s="327"/>
      <c r="W428" s="327"/>
      <c r="X428" s="327"/>
      <c r="Y428" s="327"/>
      <c r="Z428" s="327"/>
      <c r="AA428" s="327"/>
      <c r="AB428" s="327"/>
      <c r="AC428" s="327"/>
      <c r="AD428" s="327"/>
      <c r="AE428" s="327"/>
      <c r="AF428" s="327"/>
      <c r="AG428" s="327"/>
      <c r="AH428" s="327"/>
      <c r="AI428" s="327"/>
      <c r="AJ428" s="327"/>
    </row>
    <row r="429" spans="1:36" x14ac:dyDescent="0.25">
      <c r="D429" s="322"/>
      <c r="E429" s="327"/>
      <c r="F429" s="327"/>
      <c r="G429" s="327"/>
      <c r="H429" s="327"/>
      <c r="I429" s="327"/>
      <c r="J429" s="327"/>
      <c r="K429" s="327"/>
      <c r="L429" s="327"/>
      <c r="M429" s="327"/>
      <c r="N429" s="327"/>
      <c r="O429" s="327"/>
      <c r="P429" s="327"/>
      <c r="Q429" s="327"/>
      <c r="R429" s="327"/>
      <c r="S429" s="327"/>
      <c r="T429" s="327"/>
      <c r="U429" s="327"/>
      <c r="V429" s="327"/>
      <c r="W429" s="327"/>
      <c r="X429" s="327"/>
      <c r="Y429" s="327"/>
      <c r="Z429" s="327"/>
      <c r="AA429" s="327"/>
      <c r="AB429" s="327"/>
      <c r="AC429" s="327"/>
      <c r="AD429" s="327"/>
      <c r="AE429" s="327"/>
      <c r="AF429" s="327"/>
      <c r="AG429" s="327"/>
      <c r="AH429" s="327"/>
      <c r="AI429" s="327"/>
      <c r="AJ429" s="327"/>
    </row>
    <row r="430" spans="1:36" x14ac:dyDescent="0.25">
      <c r="D430" s="322"/>
      <c r="E430" s="327"/>
      <c r="F430" s="327"/>
      <c r="G430" s="327"/>
      <c r="H430" s="327"/>
      <c r="I430" s="327"/>
      <c r="J430" s="327"/>
      <c r="K430" s="327"/>
      <c r="L430" s="327"/>
      <c r="M430" s="327"/>
      <c r="N430" s="327"/>
      <c r="O430" s="327"/>
      <c r="P430" s="327"/>
      <c r="Q430" s="327"/>
      <c r="R430" s="327"/>
      <c r="S430" s="327"/>
      <c r="T430" s="327"/>
      <c r="U430" s="327"/>
      <c r="V430" s="327"/>
      <c r="W430" s="327"/>
      <c r="X430" s="327"/>
      <c r="Y430" s="327"/>
      <c r="Z430" s="327"/>
      <c r="AA430" s="327"/>
      <c r="AB430" s="327"/>
      <c r="AC430" s="327"/>
      <c r="AD430" s="327"/>
      <c r="AE430" s="327"/>
      <c r="AF430" s="327"/>
      <c r="AG430" s="327"/>
      <c r="AH430" s="327"/>
      <c r="AI430" s="327"/>
      <c r="AJ430" s="327"/>
    </row>
    <row r="431" spans="1:36" x14ac:dyDescent="0.25">
      <c r="A431" s="325"/>
      <c r="D431" s="322"/>
      <c r="E431" s="327"/>
      <c r="F431" s="327"/>
      <c r="G431" s="327"/>
      <c r="H431" s="327"/>
      <c r="I431" s="327"/>
      <c r="J431" s="327"/>
      <c r="K431" s="327"/>
      <c r="L431" s="327"/>
      <c r="M431" s="327"/>
      <c r="N431" s="327"/>
      <c r="O431" s="327"/>
      <c r="P431" s="327"/>
      <c r="Q431" s="327"/>
      <c r="R431" s="327"/>
      <c r="S431" s="327"/>
      <c r="T431" s="327"/>
      <c r="U431" s="327"/>
      <c r="V431" s="327"/>
      <c r="W431" s="327"/>
      <c r="X431" s="327"/>
      <c r="Y431" s="327"/>
      <c r="Z431" s="327"/>
      <c r="AA431" s="327"/>
      <c r="AB431" s="327"/>
      <c r="AC431" s="327"/>
      <c r="AD431" s="327"/>
      <c r="AE431" s="327"/>
      <c r="AF431" s="327"/>
      <c r="AG431" s="327"/>
      <c r="AH431" s="327"/>
      <c r="AI431" s="327"/>
      <c r="AJ431" s="327"/>
    </row>
    <row r="432" spans="1:36" x14ac:dyDescent="0.25">
      <c r="A432" s="326"/>
      <c r="D432" s="322"/>
      <c r="E432" s="327"/>
      <c r="F432" s="327"/>
      <c r="G432" s="327"/>
      <c r="H432" s="327"/>
      <c r="I432" s="327"/>
      <c r="J432" s="327"/>
      <c r="K432" s="327"/>
      <c r="L432" s="327"/>
      <c r="M432" s="327"/>
      <c r="N432" s="327"/>
      <c r="O432" s="327"/>
      <c r="P432" s="327"/>
      <c r="Q432" s="327"/>
      <c r="R432" s="327"/>
      <c r="S432" s="327"/>
      <c r="T432" s="327"/>
      <c r="U432" s="327"/>
      <c r="V432" s="327"/>
      <c r="W432" s="327"/>
      <c r="X432" s="327"/>
      <c r="Y432" s="327"/>
      <c r="Z432" s="327"/>
      <c r="AA432" s="327"/>
      <c r="AB432" s="327"/>
      <c r="AC432" s="327"/>
      <c r="AD432" s="327"/>
      <c r="AE432" s="327"/>
      <c r="AF432" s="327"/>
      <c r="AG432" s="327"/>
      <c r="AH432" s="327"/>
      <c r="AI432" s="327"/>
      <c r="AJ432" s="327"/>
    </row>
    <row r="433" spans="1:36" x14ac:dyDescent="0.25">
      <c r="A433" s="326"/>
      <c r="D433" s="322"/>
      <c r="E433" s="327"/>
      <c r="F433" s="327"/>
      <c r="G433" s="327"/>
      <c r="H433" s="327"/>
      <c r="I433" s="327"/>
      <c r="J433" s="327"/>
      <c r="K433" s="327"/>
      <c r="L433" s="327"/>
      <c r="M433" s="327"/>
      <c r="N433" s="327"/>
      <c r="O433" s="327"/>
      <c r="P433" s="327"/>
      <c r="Q433" s="327"/>
      <c r="R433" s="327"/>
      <c r="S433" s="327"/>
      <c r="T433" s="327"/>
      <c r="U433" s="327"/>
      <c r="V433" s="327"/>
      <c r="W433" s="327"/>
      <c r="X433" s="327"/>
      <c r="Y433" s="327"/>
      <c r="Z433" s="327"/>
      <c r="AA433" s="327"/>
      <c r="AB433" s="327"/>
      <c r="AC433" s="327"/>
      <c r="AD433" s="327"/>
      <c r="AE433" s="327"/>
      <c r="AF433" s="327"/>
      <c r="AG433" s="327"/>
      <c r="AH433" s="327"/>
      <c r="AI433" s="327"/>
      <c r="AJ433" s="327"/>
    </row>
    <row r="434" spans="1:36" x14ac:dyDescent="0.25">
      <c r="A434" s="326"/>
      <c r="D434" s="322"/>
      <c r="E434" s="327"/>
      <c r="F434" s="327"/>
      <c r="G434" s="327"/>
      <c r="H434" s="327"/>
      <c r="I434" s="327"/>
      <c r="J434" s="327"/>
      <c r="K434" s="327"/>
      <c r="L434" s="327"/>
      <c r="M434" s="327"/>
      <c r="N434" s="327"/>
      <c r="O434" s="327"/>
      <c r="P434" s="327"/>
      <c r="Q434" s="327"/>
      <c r="R434" s="327"/>
      <c r="S434" s="327"/>
      <c r="T434" s="327"/>
      <c r="U434" s="327"/>
      <c r="V434" s="327"/>
      <c r="W434" s="327"/>
      <c r="X434" s="327"/>
      <c r="Y434" s="327"/>
      <c r="Z434" s="327"/>
      <c r="AA434" s="327"/>
      <c r="AB434" s="327"/>
      <c r="AC434" s="327"/>
      <c r="AD434" s="327"/>
      <c r="AE434" s="327"/>
      <c r="AF434" s="327"/>
      <c r="AG434" s="327"/>
      <c r="AH434" s="327"/>
      <c r="AI434" s="327"/>
      <c r="AJ434" s="327"/>
    </row>
    <row r="435" spans="1:36" x14ac:dyDescent="0.25">
      <c r="A435" s="326"/>
      <c r="D435" s="322"/>
      <c r="E435" s="327"/>
      <c r="F435" s="327"/>
      <c r="G435" s="327"/>
      <c r="H435" s="327"/>
      <c r="I435" s="327"/>
      <c r="J435" s="327"/>
      <c r="K435" s="327"/>
      <c r="L435" s="327"/>
      <c r="M435" s="327"/>
      <c r="N435" s="327"/>
      <c r="O435" s="327"/>
      <c r="P435" s="327"/>
      <c r="Q435" s="327"/>
      <c r="R435" s="327"/>
      <c r="S435" s="327"/>
      <c r="T435" s="327"/>
      <c r="U435" s="327"/>
      <c r="V435" s="327"/>
      <c r="W435" s="327"/>
      <c r="X435" s="327"/>
      <c r="Y435" s="327"/>
      <c r="Z435" s="327"/>
      <c r="AA435" s="327"/>
      <c r="AB435" s="327"/>
      <c r="AC435" s="327"/>
      <c r="AD435" s="327"/>
      <c r="AE435" s="327"/>
      <c r="AF435" s="327"/>
      <c r="AG435" s="327"/>
      <c r="AH435" s="327"/>
      <c r="AI435" s="327"/>
      <c r="AJ435" s="327"/>
    </row>
    <row r="436" spans="1:36" x14ac:dyDescent="0.25">
      <c r="A436" s="326"/>
      <c r="D436" s="322"/>
      <c r="E436" s="327"/>
      <c r="F436" s="327"/>
      <c r="G436" s="327"/>
      <c r="H436" s="327"/>
      <c r="I436" s="327"/>
      <c r="J436" s="327"/>
      <c r="K436" s="327"/>
      <c r="L436" s="327"/>
      <c r="M436" s="327"/>
      <c r="N436" s="327"/>
      <c r="O436" s="327"/>
      <c r="P436" s="327"/>
      <c r="Q436" s="327"/>
      <c r="R436" s="327"/>
      <c r="S436" s="327"/>
      <c r="T436" s="327"/>
      <c r="U436" s="327"/>
      <c r="V436" s="327"/>
      <c r="W436" s="327"/>
      <c r="X436" s="327"/>
      <c r="Y436" s="327"/>
      <c r="Z436" s="327"/>
      <c r="AA436" s="327"/>
      <c r="AB436" s="327"/>
      <c r="AC436" s="327"/>
      <c r="AD436" s="327"/>
      <c r="AE436" s="327"/>
      <c r="AF436" s="327"/>
      <c r="AG436" s="327"/>
      <c r="AH436" s="327"/>
      <c r="AI436" s="327"/>
      <c r="AJ436" s="327"/>
    </row>
    <row r="437" spans="1:36" x14ac:dyDescent="0.25">
      <c r="A437" s="326"/>
      <c r="D437" s="322"/>
      <c r="E437" s="327"/>
      <c r="F437" s="327"/>
      <c r="G437" s="327"/>
      <c r="H437" s="327"/>
      <c r="I437" s="327"/>
      <c r="J437" s="327"/>
      <c r="K437" s="327"/>
      <c r="L437" s="327"/>
      <c r="M437" s="327"/>
      <c r="N437" s="327"/>
      <c r="O437" s="327"/>
      <c r="P437" s="327"/>
      <c r="Q437" s="327"/>
      <c r="R437" s="327"/>
      <c r="S437" s="327"/>
      <c r="T437" s="327"/>
      <c r="U437" s="327"/>
      <c r="V437" s="327"/>
      <c r="W437" s="327"/>
      <c r="X437" s="327"/>
      <c r="Y437" s="327"/>
      <c r="Z437" s="327"/>
      <c r="AA437" s="327"/>
      <c r="AB437" s="327"/>
      <c r="AC437" s="327"/>
      <c r="AD437" s="327"/>
      <c r="AE437" s="327"/>
      <c r="AF437" s="327"/>
      <c r="AG437" s="327"/>
      <c r="AH437" s="327"/>
      <c r="AI437" s="327"/>
      <c r="AJ437" s="327"/>
    </row>
    <row r="438" spans="1:36" x14ac:dyDescent="0.25">
      <c r="A438" s="326"/>
      <c r="D438" s="322"/>
      <c r="E438" s="327"/>
      <c r="F438" s="327"/>
      <c r="G438" s="327"/>
      <c r="H438" s="327"/>
      <c r="I438" s="327"/>
      <c r="J438" s="327"/>
      <c r="K438" s="327"/>
      <c r="L438" s="327"/>
      <c r="M438" s="327"/>
      <c r="N438" s="327"/>
      <c r="O438" s="327"/>
      <c r="P438" s="327"/>
      <c r="Q438" s="327"/>
      <c r="R438" s="327"/>
      <c r="S438" s="327"/>
      <c r="T438" s="327"/>
      <c r="U438" s="327"/>
      <c r="V438" s="327"/>
      <c r="W438" s="327"/>
      <c r="X438" s="327"/>
      <c r="Y438" s="327"/>
      <c r="Z438" s="327"/>
      <c r="AA438" s="327"/>
      <c r="AB438" s="327"/>
      <c r="AC438" s="327"/>
      <c r="AD438" s="327"/>
      <c r="AE438" s="327"/>
      <c r="AF438" s="327"/>
      <c r="AG438" s="327"/>
      <c r="AH438" s="327"/>
      <c r="AI438" s="327"/>
      <c r="AJ438" s="327"/>
    </row>
    <row r="439" spans="1:36" x14ac:dyDescent="0.25">
      <c r="A439" s="326"/>
      <c r="D439" s="322"/>
      <c r="E439" s="327"/>
      <c r="F439" s="327"/>
      <c r="G439" s="327"/>
      <c r="H439" s="327"/>
      <c r="I439" s="327"/>
      <c r="J439" s="327"/>
      <c r="K439" s="327"/>
      <c r="L439" s="327"/>
      <c r="M439" s="327"/>
      <c r="N439" s="327"/>
      <c r="O439" s="327"/>
      <c r="P439" s="327"/>
      <c r="Q439" s="327"/>
      <c r="R439" s="327"/>
      <c r="S439" s="327"/>
      <c r="T439" s="327"/>
      <c r="U439" s="327"/>
      <c r="V439" s="327"/>
      <c r="W439" s="327"/>
      <c r="X439" s="327"/>
      <c r="Y439" s="327"/>
      <c r="Z439" s="327"/>
      <c r="AA439" s="327"/>
      <c r="AB439" s="327"/>
      <c r="AC439" s="327"/>
      <c r="AD439" s="327"/>
      <c r="AE439" s="327"/>
      <c r="AF439" s="327"/>
      <c r="AG439" s="327"/>
      <c r="AH439" s="327"/>
      <c r="AI439" s="327"/>
      <c r="AJ439" s="327"/>
    </row>
    <row r="440" spans="1:36" x14ac:dyDescent="0.25">
      <c r="A440" s="326"/>
      <c r="D440" s="322"/>
      <c r="E440" s="327"/>
      <c r="F440" s="327"/>
      <c r="G440" s="327"/>
      <c r="H440" s="327"/>
      <c r="I440" s="327"/>
      <c r="J440" s="327"/>
      <c r="K440" s="327"/>
      <c r="L440" s="327"/>
      <c r="M440" s="327"/>
      <c r="N440" s="327"/>
      <c r="O440" s="327"/>
      <c r="P440" s="327"/>
      <c r="Q440" s="327"/>
      <c r="R440" s="327"/>
      <c r="S440" s="327"/>
      <c r="T440" s="327"/>
      <c r="U440" s="327"/>
      <c r="V440" s="327"/>
      <c r="W440" s="327"/>
      <c r="X440" s="327"/>
      <c r="Y440" s="327"/>
      <c r="Z440" s="327"/>
      <c r="AA440" s="327"/>
      <c r="AB440" s="327"/>
      <c r="AC440" s="327"/>
      <c r="AD440" s="327"/>
      <c r="AE440" s="327"/>
      <c r="AF440" s="327"/>
      <c r="AG440" s="327"/>
      <c r="AH440" s="327"/>
      <c r="AI440" s="327"/>
      <c r="AJ440" s="327"/>
    </row>
    <row r="441" spans="1:36" x14ac:dyDescent="0.25">
      <c r="A441" s="326"/>
      <c r="D441" s="322"/>
      <c r="E441" s="327"/>
      <c r="F441" s="327"/>
      <c r="G441" s="327"/>
      <c r="H441" s="327"/>
      <c r="I441" s="327"/>
      <c r="J441" s="327"/>
      <c r="K441" s="327"/>
      <c r="L441" s="327"/>
      <c r="M441" s="327"/>
      <c r="N441" s="327"/>
      <c r="O441" s="327"/>
      <c r="P441" s="327"/>
      <c r="Q441" s="327"/>
      <c r="R441" s="327"/>
      <c r="S441" s="327"/>
      <c r="T441" s="327"/>
      <c r="U441" s="327"/>
      <c r="V441" s="327"/>
      <c r="W441" s="327"/>
      <c r="X441" s="327"/>
      <c r="Y441" s="327"/>
      <c r="Z441" s="327"/>
      <c r="AA441" s="327"/>
      <c r="AB441" s="327"/>
      <c r="AC441" s="327"/>
      <c r="AD441" s="327"/>
      <c r="AE441" s="327"/>
      <c r="AF441" s="327"/>
      <c r="AG441" s="327"/>
      <c r="AH441" s="327"/>
      <c r="AI441" s="327"/>
      <c r="AJ441" s="327"/>
    </row>
    <row r="442" spans="1:36" x14ac:dyDescent="0.25">
      <c r="A442" s="326"/>
      <c r="D442" s="322"/>
      <c r="E442" s="327"/>
      <c r="F442" s="327"/>
      <c r="G442" s="327"/>
      <c r="H442" s="327"/>
      <c r="I442" s="327"/>
      <c r="J442" s="327"/>
      <c r="K442" s="327"/>
      <c r="L442" s="327"/>
      <c r="M442" s="327"/>
      <c r="N442" s="327"/>
      <c r="O442" s="327"/>
      <c r="P442" s="327"/>
      <c r="Q442" s="327"/>
      <c r="R442" s="327"/>
      <c r="S442" s="327"/>
      <c r="T442" s="327"/>
      <c r="U442" s="327"/>
      <c r="V442" s="327"/>
      <c r="W442" s="327"/>
      <c r="X442" s="327"/>
      <c r="Y442" s="327"/>
      <c r="Z442" s="327"/>
      <c r="AA442" s="327"/>
      <c r="AB442" s="327"/>
      <c r="AC442" s="327"/>
      <c r="AD442" s="327"/>
      <c r="AE442" s="327"/>
      <c r="AF442" s="327"/>
      <c r="AG442" s="327"/>
      <c r="AH442" s="327"/>
      <c r="AI442" s="327"/>
      <c r="AJ442" s="327"/>
    </row>
    <row r="443" spans="1:36" x14ac:dyDescent="0.25">
      <c r="A443" s="326"/>
      <c r="D443" s="322"/>
      <c r="E443" s="327"/>
      <c r="F443" s="327"/>
      <c r="G443" s="327"/>
      <c r="H443" s="327"/>
      <c r="I443" s="327"/>
      <c r="J443" s="327"/>
      <c r="K443" s="327"/>
      <c r="L443" s="327"/>
      <c r="M443" s="327"/>
      <c r="N443" s="327"/>
      <c r="O443" s="327"/>
      <c r="P443" s="327"/>
      <c r="Q443" s="327"/>
      <c r="R443" s="327"/>
      <c r="S443" s="327"/>
      <c r="T443" s="327"/>
      <c r="U443" s="327"/>
      <c r="V443" s="327"/>
      <c r="W443" s="327"/>
      <c r="X443" s="327"/>
      <c r="Y443" s="327"/>
      <c r="Z443" s="327"/>
      <c r="AA443" s="327"/>
      <c r="AB443" s="327"/>
      <c r="AC443" s="327"/>
      <c r="AD443" s="327"/>
      <c r="AE443" s="327"/>
      <c r="AF443" s="327"/>
      <c r="AG443" s="327"/>
      <c r="AH443" s="327"/>
      <c r="AI443" s="327"/>
      <c r="AJ443" s="327"/>
    </row>
    <row r="444" spans="1:36" x14ac:dyDescent="0.25">
      <c r="A444" s="326"/>
      <c r="D444" s="322"/>
      <c r="E444" s="327"/>
      <c r="F444" s="327"/>
      <c r="G444" s="327"/>
      <c r="H444" s="327"/>
      <c r="I444" s="327"/>
      <c r="J444" s="327"/>
      <c r="K444" s="327"/>
      <c r="L444" s="327"/>
      <c r="M444" s="327"/>
      <c r="N444" s="327"/>
      <c r="O444" s="327"/>
      <c r="P444" s="327"/>
      <c r="Q444" s="327"/>
      <c r="R444" s="327"/>
      <c r="S444" s="327"/>
      <c r="T444" s="327"/>
      <c r="U444" s="327"/>
      <c r="V444" s="327"/>
      <c r="W444" s="327"/>
      <c r="X444" s="327"/>
      <c r="Y444" s="327"/>
      <c r="Z444" s="327"/>
      <c r="AA444" s="327"/>
      <c r="AB444" s="327"/>
      <c r="AC444" s="327"/>
      <c r="AD444" s="327"/>
      <c r="AE444" s="327"/>
      <c r="AF444" s="327"/>
      <c r="AG444" s="327"/>
      <c r="AH444" s="327"/>
      <c r="AI444" s="327"/>
      <c r="AJ444" s="327"/>
    </row>
    <row r="445" spans="1:36" x14ac:dyDescent="0.25">
      <c r="A445" s="326"/>
      <c r="D445" s="322"/>
      <c r="E445" s="327"/>
      <c r="F445" s="327"/>
      <c r="G445" s="327"/>
      <c r="H445" s="327"/>
      <c r="I445" s="327"/>
      <c r="J445" s="327"/>
      <c r="K445" s="327"/>
      <c r="L445" s="327"/>
      <c r="M445" s="327"/>
      <c r="N445" s="327"/>
      <c r="O445" s="327"/>
      <c r="P445" s="327"/>
      <c r="Q445" s="327"/>
      <c r="R445" s="327"/>
      <c r="S445" s="327"/>
      <c r="T445" s="327"/>
      <c r="U445" s="327"/>
      <c r="V445" s="327"/>
      <c r="W445" s="327"/>
      <c r="X445" s="327"/>
      <c r="Y445" s="327"/>
      <c r="Z445" s="327"/>
      <c r="AA445" s="327"/>
      <c r="AB445" s="327"/>
      <c r="AC445" s="327"/>
      <c r="AD445" s="327"/>
      <c r="AE445" s="327"/>
      <c r="AF445" s="327"/>
      <c r="AG445" s="327"/>
      <c r="AH445" s="327"/>
      <c r="AI445" s="327"/>
      <c r="AJ445" s="327"/>
    </row>
    <row r="446" spans="1:36" x14ac:dyDescent="0.25">
      <c r="A446" s="326"/>
      <c r="D446" s="322"/>
      <c r="E446" s="327"/>
      <c r="F446" s="327"/>
      <c r="G446" s="327"/>
      <c r="H446" s="327"/>
      <c r="I446" s="327"/>
      <c r="J446" s="327"/>
      <c r="K446" s="327"/>
      <c r="L446" s="327"/>
      <c r="M446" s="327"/>
      <c r="N446" s="327"/>
      <c r="O446" s="327"/>
      <c r="P446" s="327"/>
      <c r="Q446" s="327"/>
      <c r="R446" s="327"/>
      <c r="S446" s="327"/>
      <c r="T446" s="327"/>
      <c r="U446" s="327"/>
      <c r="V446" s="327"/>
      <c r="W446" s="327"/>
      <c r="X446" s="327"/>
      <c r="Y446" s="327"/>
      <c r="Z446" s="327"/>
      <c r="AA446" s="327"/>
      <c r="AB446" s="327"/>
      <c r="AC446" s="327"/>
      <c r="AD446" s="327"/>
      <c r="AE446" s="327"/>
      <c r="AF446" s="327"/>
      <c r="AG446" s="327"/>
      <c r="AH446" s="327"/>
      <c r="AI446" s="327"/>
      <c r="AJ446" s="327"/>
    </row>
    <row r="447" spans="1:36" x14ac:dyDescent="0.25">
      <c r="A447" s="326"/>
      <c r="D447" s="322"/>
      <c r="E447" s="327"/>
      <c r="F447" s="327"/>
      <c r="G447" s="327"/>
      <c r="H447" s="327"/>
      <c r="I447" s="327"/>
      <c r="J447" s="327"/>
      <c r="K447" s="327"/>
      <c r="L447" s="327"/>
      <c r="M447" s="327"/>
      <c r="N447" s="327"/>
      <c r="O447" s="327"/>
      <c r="P447" s="327"/>
      <c r="Q447" s="327"/>
      <c r="R447" s="327"/>
      <c r="S447" s="327"/>
      <c r="T447" s="327"/>
      <c r="U447" s="327"/>
      <c r="V447" s="327"/>
      <c r="W447" s="327"/>
      <c r="X447" s="327"/>
      <c r="Y447" s="327"/>
      <c r="Z447" s="327"/>
      <c r="AA447" s="327"/>
      <c r="AB447" s="327"/>
      <c r="AC447" s="327"/>
      <c r="AD447" s="327"/>
      <c r="AE447" s="327"/>
      <c r="AF447" s="327"/>
      <c r="AG447" s="327"/>
      <c r="AH447" s="327"/>
      <c r="AI447" s="327"/>
      <c r="AJ447" s="327"/>
    </row>
    <row r="448" spans="1:36" x14ac:dyDescent="0.25">
      <c r="A448" s="326"/>
      <c r="D448" s="322"/>
      <c r="E448" s="327"/>
      <c r="F448" s="327"/>
      <c r="G448" s="327"/>
      <c r="H448" s="327"/>
      <c r="I448" s="327"/>
      <c r="J448" s="327"/>
      <c r="K448" s="327"/>
      <c r="L448" s="327"/>
      <c r="M448" s="327"/>
      <c r="N448" s="327"/>
      <c r="O448" s="327"/>
      <c r="P448" s="327"/>
      <c r="Q448" s="327"/>
      <c r="R448" s="327"/>
      <c r="S448" s="327"/>
      <c r="T448" s="327"/>
      <c r="U448" s="327"/>
      <c r="V448" s="327"/>
      <c r="W448" s="327"/>
      <c r="X448" s="327"/>
      <c r="Y448" s="327"/>
      <c r="Z448" s="327"/>
      <c r="AA448" s="327"/>
      <c r="AB448" s="327"/>
      <c r="AC448" s="327"/>
      <c r="AD448" s="327"/>
      <c r="AE448" s="327"/>
      <c r="AF448" s="327"/>
      <c r="AG448" s="327"/>
      <c r="AH448" s="327"/>
      <c r="AI448" s="327"/>
      <c r="AJ448" s="327"/>
    </row>
    <row r="449" spans="1:36" x14ac:dyDescent="0.25">
      <c r="A449" s="326"/>
      <c r="D449" s="322"/>
      <c r="E449" s="327"/>
      <c r="F449" s="327"/>
      <c r="G449" s="327"/>
      <c r="H449" s="327"/>
      <c r="I449" s="327"/>
      <c r="J449" s="327"/>
      <c r="K449" s="327"/>
      <c r="L449" s="327"/>
      <c r="M449" s="327"/>
      <c r="N449" s="327"/>
      <c r="O449" s="327"/>
      <c r="P449" s="327"/>
      <c r="Q449" s="327"/>
      <c r="R449" s="327"/>
      <c r="S449" s="327"/>
      <c r="T449" s="327"/>
      <c r="U449" s="327"/>
      <c r="V449" s="327"/>
      <c r="W449" s="327"/>
      <c r="X449" s="327"/>
      <c r="Y449" s="327"/>
      <c r="Z449" s="327"/>
      <c r="AA449" s="327"/>
      <c r="AB449" s="327"/>
      <c r="AC449" s="327"/>
      <c r="AD449" s="327"/>
      <c r="AE449" s="327"/>
      <c r="AF449" s="327"/>
      <c r="AG449" s="327"/>
      <c r="AH449" s="327"/>
      <c r="AI449" s="327"/>
      <c r="AJ449" s="327"/>
    </row>
    <row r="450" spans="1:36" x14ac:dyDescent="0.25">
      <c r="D450" s="322"/>
      <c r="E450" s="327"/>
      <c r="F450" s="327"/>
      <c r="G450" s="327"/>
      <c r="H450" s="327"/>
      <c r="I450" s="327"/>
      <c r="J450" s="327"/>
      <c r="K450" s="327"/>
      <c r="L450" s="327"/>
      <c r="M450" s="327"/>
      <c r="N450" s="327"/>
      <c r="O450" s="327"/>
      <c r="P450" s="327"/>
      <c r="Q450" s="327"/>
      <c r="R450" s="327"/>
      <c r="S450" s="327"/>
      <c r="T450" s="327"/>
      <c r="U450" s="327"/>
      <c r="V450" s="327"/>
      <c r="W450" s="327"/>
      <c r="X450" s="327"/>
      <c r="Y450" s="327"/>
      <c r="Z450" s="327"/>
      <c r="AA450" s="327"/>
      <c r="AB450" s="327"/>
      <c r="AC450" s="327"/>
      <c r="AD450" s="327"/>
      <c r="AE450" s="327"/>
      <c r="AF450" s="327"/>
      <c r="AG450" s="327"/>
      <c r="AH450" s="327"/>
      <c r="AI450" s="327"/>
      <c r="AJ450" s="327"/>
    </row>
    <row r="451" spans="1:36" x14ac:dyDescent="0.25">
      <c r="D451" s="322"/>
      <c r="E451" s="327"/>
      <c r="F451" s="327"/>
      <c r="G451" s="327"/>
      <c r="H451" s="327"/>
      <c r="I451" s="327"/>
      <c r="J451" s="327"/>
      <c r="K451" s="327"/>
      <c r="L451" s="327"/>
      <c r="M451" s="327"/>
      <c r="N451" s="327"/>
      <c r="O451" s="327"/>
      <c r="P451" s="327"/>
      <c r="Q451" s="327"/>
      <c r="R451" s="327"/>
      <c r="S451" s="327"/>
      <c r="T451" s="327"/>
      <c r="U451" s="327"/>
      <c r="V451" s="327"/>
      <c r="W451" s="327"/>
      <c r="X451" s="327"/>
      <c r="Y451" s="327"/>
      <c r="Z451" s="327"/>
      <c r="AA451" s="327"/>
      <c r="AB451" s="327"/>
      <c r="AC451" s="327"/>
      <c r="AD451" s="327"/>
      <c r="AE451" s="327"/>
      <c r="AF451" s="327"/>
      <c r="AG451" s="327"/>
      <c r="AH451" s="327"/>
      <c r="AI451" s="327"/>
      <c r="AJ451" s="327"/>
    </row>
    <row r="452" spans="1:36" x14ac:dyDescent="0.25">
      <c r="D452" s="322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27"/>
      <c r="Y452" s="327"/>
      <c r="Z452" s="327"/>
      <c r="AA452" s="327"/>
      <c r="AB452" s="327"/>
      <c r="AC452" s="327"/>
      <c r="AD452" s="327"/>
      <c r="AE452" s="327"/>
      <c r="AF452" s="327"/>
      <c r="AG452" s="327"/>
      <c r="AH452" s="327"/>
      <c r="AI452" s="327"/>
      <c r="AJ452" s="327"/>
    </row>
    <row r="453" spans="1:36" x14ac:dyDescent="0.25">
      <c r="D453" s="322"/>
      <c r="E453" s="327"/>
      <c r="F453" s="327"/>
      <c r="G453" s="327"/>
      <c r="H453" s="327"/>
      <c r="I453" s="327"/>
      <c r="J453" s="327"/>
      <c r="K453" s="327"/>
      <c r="L453" s="327"/>
      <c r="M453" s="327"/>
      <c r="N453" s="327"/>
      <c r="O453" s="327"/>
      <c r="P453" s="327"/>
      <c r="Q453" s="327"/>
      <c r="R453" s="327"/>
      <c r="S453" s="327"/>
      <c r="T453" s="327"/>
      <c r="U453" s="327"/>
      <c r="V453" s="327"/>
      <c r="W453" s="327"/>
      <c r="X453" s="327"/>
      <c r="Y453" s="327"/>
      <c r="Z453" s="327"/>
      <c r="AA453" s="327"/>
      <c r="AB453" s="327"/>
      <c r="AC453" s="327"/>
      <c r="AD453" s="327"/>
      <c r="AE453" s="327"/>
      <c r="AF453" s="327"/>
      <c r="AG453" s="327"/>
      <c r="AH453" s="327"/>
      <c r="AI453" s="327"/>
      <c r="AJ453" s="327"/>
    </row>
    <row r="454" spans="1:36" x14ac:dyDescent="0.25">
      <c r="D454" s="322"/>
      <c r="E454" s="327"/>
      <c r="F454" s="327"/>
      <c r="G454" s="327"/>
      <c r="H454" s="327"/>
      <c r="I454" s="327"/>
      <c r="J454" s="327"/>
      <c r="K454" s="327"/>
      <c r="L454" s="327"/>
      <c r="M454" s="327"/>
      <c r="N454" s="327"/>
      <c r="O454" s="327"/>
      <c r="P454" s="327"/>
      <c r="Q454" s="327"/>
      <c r="R454" s="327"/>
      <c r="S454" s="327"/>
      <c r="T454" s="327"/>
      <c r="U454" s="327"/>
      <c r="V454" s="327"/>
      <c r="W454" s="327"/>
      <c r="X454" s="327"/>
      <c r="Y454" s="327"/>
      <c r="Z454" s="327"/>
      <c r="AA454" s="327"/>
      <c r="AB454" s="327"/>
      <c r="AC454" s="327"/>
      <c r="AD454" s="327"/>
      <c r="AE454" s="327"/>
      <c r="AF454" s="327"/>
      <c r="AG454" s="327"/>
      <c r="AH454" s="327"/>
      <c r="AI454" s="327"/>
      <c r="AJ454" s="327"/>
    </row>
    <row r="455" spans="1:36" x14ac:dyDescent="0.25">
      <c r="D455" s="322"/>
      <c r="E455" s="327"/>
      <c r="F455" s="327"/>
      <c r="G455" s="327"/>
      <c r="H455" s="327"/>
      <c r="I455" s="327"/>
      <c r="J455" s="327"/>
      <c r="K455" s="327"/>
      <c r="L455" s="327"/>
      <c r="M455" s="327"/>
      <c r="N455" s="327"/>
      <c r="O455" s="327"/>
      <c r="P455" s="327"/>
      <c r="Q455" s="327"/>
      <c r="R455" s="327"/>
      <c r="S455" s="327"/>
      <c r="T455" s="327"/>
      <c r="U455" s="327"/>
      <c r="V455" s="327"/>
      <c r="W455" s="327"/>
      <c r="X455" s="327"/>
      <c r="Y455" s="327"/>
      <c r="Z455" s="327"/>
      <c r="AA455" s="327"/>
      <c r="AB455" s="327"/>
      <c r="AC455" s="327"/>
      <c r="AD455" s="327"/>
      <c r="AE455" s="327"/>
      <c r="AF455" s="327"/>
      <c r="AG455" s="327"/>
      <c r="AH455" s="327"/>
      <c r="AI455" s="327"/>
      <c r="AJ455" s="327"/>
    </row>
    <row r="456" spans="1:36" x14ac:dyDescent="0.25">
      <c r="D456" s="322"/>
      <c r="E456" s="327"/>
      <c r="F456" s="327"/>
      <c r="G456" s="327"/>
      <c r="H456" s="327"/>
      <c r="I456" s="327"/>
      <c r="J456" s="327"/>
      <c r="K456" s="327"/>
      <c r="L456" s="327"/>
      <c r="M456" s="327"/>
      <c r="N456" s="327"/>
      <c r="O456" s="327"/>
      <c r="P456" s="327"/>
      <c r="Q456" s="327"/>
      <c r="R456" s="327"/>
      <c r="S456" s="327"/>
      <c r="T456" s="327"/>
      <c r="U456" s="327"/>
      <c r="V456" s="327"/>
      <c r="W456" s="327"/>
      <c r="X456" s="327"/>
      <c r="Y456" s="327"/>
      <c r="Z456" s="327"/>
      <c r="AA456" s="327"/>
      <c r="AB456" s="327"/>
      <c r="AC456" s="327"/>
      <c r="AD456" s="327"/>
      <c r="AE456" s="327"/>
      <c r="AF456" s="327"/>
      <c r="AG456" s="327"/>
      <c r="AH456" s="327"/>
      <c r="AI456" s="327"/>
      <c r="AJ456" s="327"/>
    </row>
    <row r="457" spans="1:36" x14ac:dyDescent="0.25">
      <c r="A457" s="325"/>
      <c r="D457" s="322"/>
      <c r="E457" s="327"/>
      <c r="F457" s="327"/>
      <c r="G457" s="327"/>
      <c r="H457" s="327"/>
      <c r="I457" s="327"/>
      <c r="J457" s="327"/>
      <c r="K457" s="327"/>
      <c r="L457" s="327"/>
      <c r="M457" s="327"/>
      <c r="N457" s="327"/>
      <c r="O457" s="327"/>
      <c r="P457" s="327"/>
      <c r="Q457" s="327"/>
      <c r="R457" s="327"/>
      <c r="S457" s="327"/>
      <c r="T457" s="327"/>
      <c r="U457" s="327"/>
      <c r="V457" s="327"/>
      <c r="W457" s="327"/>
      <c r="X457" s="327"/>
      <c r="Y457" s="327"/>
      <c r="Z457" s="327"/>
      <c r="AA457" s="327"/>
      <c r="AB457" s="327"/>
      <c r="AC457" s="327"/>
      <c r="AD457" s="327"/>
      <c r="AE457" s="327"/>
      <c r="AF457" s="327"/>
      <c r="AG457" s="327"/>
      <c r="AH457" s="327"/>
      <c r="AI457" s="327"/>
      <c r="AJ457" s="327"/>
    </row>
    <row r="458" spans="1:36" x14ac:dyDescent="0.25">
      <c r="A458" s="326"/>
      <c r="D458" s="322"/>
      <c r="E458" s="327"/>
      <c r="F458" s="327"/>
      <c r="G458" s="327"/>
      <c r="H458" s="327"/>
      <c r="I458" s="327"/>
      <c r="J458" s="327"/>
      <c r="K458" s="327"/>
      <c r="L458" s="327"/>
      <c r="M458" s="327"/>
      <c r="N458" s="327"/>
      <c r="O458" s="327"/>
      <c r="P458" s="327"/>
      <c r="Q458" s="327"/>
      <c r="R458" s="327"/>
      <c r="S458" s="327"/>
      <c r="T458" s="327"/>
      <c r="U458" s="327"/>
      <c r="V458" s="327"/>
      <c r="W458" s="327"/>
      <c r="X458" s="327"/>
      <c r="Y458" s="327"/>
      <c r="Z458" s="327"/>
      <c r="AA458" s="327"/>
      <c r="AB458" s="327"/>
      <c r="AC458" s="327"/>
      <c r="AD458" s="327"/>
      <c r="AE458" s="327"/>
      <c r="AF458" s="327"/>
      <c r="AG458" s="327"/>
      <c r="AH458" s="327"/>
      <c r="AI458" s="327"/>
      <c r="AJ458" s="327"/>
    </row>
    <row r="459" spans="1:36" x14ac:dyDescent="0.25">
      <c r="A459" s="326"/>
      <c r="D459" s="322"/>
      <c r="E459" s="327"/>
      <c r="F459" s="327"/>
      <c r="G459" s="327"/>
      <c r="H459" s="327"/>
      <c r="I459" s="327"/>
      <c r="J459" s="327"/>
      <c r="K459" s="327"/>
      <c r="L459" s="327"/>
      <c r="M459" s="327"/>
      <c r="N459" s="327"/>
      <c r="O459" s="327"/>
      <c r="P459" s="327"/>
      <c r="Q459" s="327"/>
      <c r="R459" s="327"/>
      <c r="S459" s="327"/>
      <c r="T459" s="327"/>
      <c r="U459" s="327"/>
      <c r="V459" s="327"/>
      <c r="W459" s="327"/>
      <c r="X459" s="327"/>
      <c r="Y459" s="327"/>
      <c r="Z459" s="327"/>
      <c r="AA459" s="327"/>
      <c r="AB459" s="327"/>
      <c r="AC459" s="327"/>
      <c r="AD459" s="327"/>
      <c r="AE459" s="327"/>
      <c r="AF459" s="327"/>
      <c r="AG459" s="327"/>
      <c r="AH459" s="327"/>
      <c r="AI459" s="327"/>
      <c r="AJ459" s="327"/>
    </row>
    <row r="460" spans="1:36" x14ac:dyDescent="0.25">
      <c r="A460" s="326"/>
      <c r="D460" s="322"/>
      <c r="E460" s="327"/>
      <c r="F460" s="327"/>
      <c r="G460" s="327"/>
      <c r="H460" s="327"/>
      <c r="I460" s="327"/>
      <c r="J460" s="327"/>
      <c r="K460" s="327"/>
      <c r="L460" s="327"/>
      <c r="M460" s="327"/>
      <c r="N460" s="327"/>
      <c r="O460" s="327"/>
      <c r="P460" s="327"/>
      <c r="Q460" s="327"/>
      <c r="R460" s="327"/>
      <c r="S460" s="327"/>
      <c r="T460" s="327"/>
      <c r="U460" s="327"/>
      <c r="V460" s="327"/>
      <c r="W460" s="327"/>
      <c r="X460" s="327"/>
      <c r="Y460" s="327"/>
      <c r="Z460" s="327"/>
      <c r="AA460" s="327"/>
      <c r="AB460" s="327"/>
      <c r="AC460" s="327"/>
      <c r="AD460" s="327"/>
      <c r="AE460" s="327"/>
      <c r="AF460" s="327"/>
      <c r="AG460" s="327"/>
      <c r="AH460" s="327"/>
      <c r="AI460" s="327"/>
      <c r="AJ460" s="327"/>
    </row>
    <row r="461" spans="1:36" x14ac:dyDescent="0.25">
      <c r="A461" s="326"/>
      <c r="D461" s="322"/>
      <c r="E461" s="327"/>
      <c r="F461" s="327"/>
      <c r="G461" s="327"/>
      <c r="H461" s="327"/>
      <c r="I461" s="327"/>
      <c r="J461" s="327"/>
      <c r="K461" s="327"/>
      <c r="L461" s="327"/>
      <c r="M461" s="327"/>
      <c r="N461" s="327"/>
      <c r="O461" s="327"/>
      <c r="P461" s="327"/>
      <c r="Q461" s="327"/>
      <c r="R461" s="327"/>
      <c r="S461" s="327"/>
      <c r="T461" s="327"/>
      <c r="U461" s="327"/>
      <c r="V461" s="327"/>
      <c r="W461" s="327"/>
      <c r="X461" s="327"/>
      <c r="Y461" s="327"/>
      <c r="Z461" s="327"/>
      <c r="AA461" s="327"/>
      <c r="AB461" s="327"/>
      <c r="AC461" s="327"/>
      <c r="AD461" s="327"/>
      <c r="AE461" s="327"/>
      <c r="AF461" s="327"/>
      <c r="AG461" s="327"/>
      <c r="AH461" s="327"/>
      <c r="AI461" s="327"/>
      <c r="AJ461" s="327"/>
    </row>
    <row r="462" spans="1:36" x14ac:dyDescent="0.25">
      <c r="A462" s="326"/>
      <c r="D462" s="322"/>
      <c r="E462" s="327"/>
      <c r="F462" s="327"/>
      <c r="G462" s="327"/>
      <c r="H462" s="327"/>
      <c r="I462" s="327"/>
      <c r="J462" s="327"/>
      <c r="K462" s="327"/>
      <c r="L462" s="327"/>
      <c r="M462" s="327"/>
      <c r="N462" s="327"/>
      <c r="O462" s="327"/>
      <c r="P462" s="327"/>
      <c r="Q462" s="327"/>
      <c r="R462" s="327"/>
      <c r="S462" s="327"/>
      <c r="T462" s="327"/>
      <c r="U462" s="327"/>
      <c r="V462" s="327"/>
      <c r="W462" s="327"/>
      <c r="X462" s="327"/>
      <c r="Y462" s="327"/>
      <c r="Z462" s="327"/>
      <c r="AA462" s="327"/>
      <c r="AB462" s="327"/>
      <c r="AC462" s="327"/>
      <c r="AD462" s="327"/>
      <c r="AE462" s="327"/>
      <c r="AF462" s="327"/>
      <c r="AG462" s="327"/>
      <c r="AH462" s="327"/>
      <c r="AI462" s="327"/>
      <c r="AJ462" s="327"/>
    </row>
    <row r="463" spans="1:36" x14ac:dyDescent="0.25">
      <c r="A463" s="326"/>
      <c r="D463" s="322"/>
      <c r="E463" s="327"/>
      <c r="F463" s="327"/>
      <c r="G463" s="327"/>
      <c r="H463" s="327"/>
      <c r="I463" s="327"/>
      <c r="J463" s="327"/>
      <c r="K463" s="327"/>
      <c r="L463" s="327"/>
      <c r="M463" s="327"/>
      <c r="N463" s="327"/>
      <c r="O463" s="327"/>
      <c r="P463" s="327"/>
      <c r="Q463" s="327"/>
      <c r="R463" s="327"/>
      <c r="S463" s="327"/>
      <c r="T463" s="327"/>
      <c r="U463" s="327"/>
      <c r="V463" s="327"/>
      <c r="W463" s="327"/>
      <c r="X463" s="327"/>
      <c r="Y463" s="327"/>
      <c r="Z463" s="327"/>
      <c r="AA463" s="327"/>
      <c r="AB463" s="327"/>
      <c r="AC463" s="327"/>
      <c r="AD463" s="327"/>
      <c r="AE463" s="327"/>
      <c r="AF463" s="327"/>
      <c r="AG463" s="327"/>
      <c r="AH463" s="327"/>
      <c r="AI463" s="327"/>
      <c r="AJ463" s="327"/>
    </row>
    <row r="464" spans="1:36" x14ac:dyDescent="0.25">
      <c r="A464" s="326"/>
      <c r="D464" s="322"/>
      <c r="E464" s="327"/>
      <c r="F464" s="327"/>
      <c r="G464" s="327"/>
      <c r="H464" s="327"/>
      <c r="I464" s="327"/>
      <c r="J464" s="327"/>
      <c r="K464" s="327"/>
      <c r="L464" s="327"/>
      <c r="M464" s="327"/>
      <c r="N464" s="327"/>
      <c r="O464" s="327"/>
      <c r="P464" s="327"/>
      <c r="Q464" s="327"/>
      <c r="R464" s="327"/>
      <c r="S464" s="327"/>
      <c r="T464" s="327"/>
      <c r="U464" s="327"/>
      <c r="V464" s="327"/>
      <c r="W464" s="327"/>
      <c r="X464" s="327"/>
      <c r="Y464" s="327"/>
      <c r="Z464" s="327"/>
      <c r="AA464" s="327"/>
      <c r="AB464" s="327"/>
      <c r="AC464" s="327"/>
      <c r="AD464" s="327"/>
      <c r="AE464" s="327"/>
      <c r="AF464" s="327"/>
      <c r="AG464" s="327"/>
      <c r="AH464" s="327"/>
      <c r="AI464" s="327"/>
      <c r="AJ464" s="327"/>
    </row>
    <row r="465" spans="1:36" x14ac:dyDescent="0.25">
      <c r="A465" s="326"/>
      <c r="D465" s="322"/>
      <c r="E465" s="327"/>
      <c r="F465" s="327"/>
      <c r="G465" s="327"/>
      <c r="H465" s="327"/>
      <c r="I465" s="327"/>
      <c r="J465" s="327"/>
      <c r="K465" s="327"/>
      <c r="L465" s="327"/>
      <c r="M465" s="327"/>
      <c r="N465" s="327"/>
      <c r="O465" s="327"/>
      <c r="P465" s="327"/>
      <c r="Q465" s="327"/>
      <c r="R465" s="327"/>
      <c r="S465" s="327"/>
      <c r="T465" s="327"/>
      <c r="U465" s="327"/>
      <c r="V465" s="327"/>
      <c r="W465" s="327"/>
      <c r="X465" s="327"/>
      <c r="Y465" s="327"/>
      <c r="Z465" s="327"/>
      <c r="AA465" s="327"/>
      <c r="AB465" s="327"/>
      <c r="AC465" s="327"/>
      <c r="AD465" s="327"/>
      <c r="AE465" s="327"/>
      <c r="AF465" s="327"/>
      <c r="AG465" s="327"/>
      <c r="AH465" s="327"/>
      <c r="AI465" s="327"/>
      <c r="AJ465" s="327"/>
    </row>
    <row r="466" spans="1:36" x14ac:dyDescent="0.25">
      <c r="A466" s="326"/>
      <c r="D466" s="322"/>
      <c r="E466" s="327"/>
      <c r="F466" s="327"/>
      <c r="G466" s="327"/>
      <c r="H466" s="327"/>
      <c r="I466" s="327"/>
      <c r="J466" s="327"/>
      <c r="K466" s="327"/>
      <c r="L466" s="327"/>
      <c r="M466" s="327"/>
      <c r="N466" s="327"/>
      <c r="O466" s="327"/>
      <c r="P466" s="327"/>
      <c r="Q466" s="327"/>
      <c r="R466" s="327"/>
      <c r="S466" s="327"/>
      <c r="T466" s="327"/>
      <c r="U466" s="327"/>
      <c r="V466" s="327"/>
      <c r="W466" s="327"/>
      <c r="X466" s="327"/>
      <c r="Y466" s="327"/>
      <c r="Z466" s="327"/>
      <c r="AA466" s="327"/>
      <c r="AB466" s="327"/>
      <c r="AC466" s="327"/>
      <c r="AD466" s="327"/>
      <c r="AE466" s="327"/>
      <c r="AF466" s="327"/>
      <c r="AG466" s="327"/>
      <c r="AH466" s="327"/>
      <c r="AI466" s="327"/>
      <c r="AJ466" s="327"/>
    </row>
    <row r="467" spans="1:36" x14ac:dyDescent="0.25">
      <c r="A467" s="326"/>
      <c r="D467" s="322"/>
      <c r="E467" s="327"/>
      <c r="F467" s="327"/>
      <c r="G467" s="327"/>
      <c r="H467" s="327"/>
      <c r="I467" s="327"/>
      <c r="J467" s="327"/>
      <c r="K467" s="327"/>
      <c r="L467" s="327"/>
      <c r="M467" s="327"/>
      <c r="N467" s="327"/>
      <c r="O467" s="327"/>
      <c r="P467" s="327"/>
      <c r="Q467" s="327"/>
      <c r="R467" s="327"/>
      <c r="S467" s="327"/>
      <c r="T467" s="327"/>
      <c r="U467" s="327"/>
      <c r="V467" s="327"/>
      <c r="W467" s="327"/>
      <c r="X467" s="327"/>
      <c r="Y467" s="327"/>
      <c r="Z467" s="327"/>
      <c r="AA467" s="327"/>
      <c r="AB467" s="327"/>
      <c r="AC467" s="327"/>
      <c r="AD467" s="327"/>
      <c r="AE467" s="327"/>
      <c r="AF467" s="327"/>
      <c r="AG467" s="327"/>
      <c r="AH467" s="327"/>
      <c r="AI467" s="327"/>
      <c r="AJ467" s="327"/>
    </row>
    <row r="468" spans="1:36" x14ac:dyDescent="0.25">
      <c r="A468" s="326"/>
      <c r="D468" s="322"/>
      <c r="E468" s="327"/>
      <c r="F468" s="327"/>
      <c r="G468" s="327"/>
      <c r="H468" s="327"/>
      <c r="I468" s="327"/>
      <c r="J468" s="327"/>
      <c r="K468" s="327"/>
      <c r="L468" s="327"/>
      <c r="M468" s="327"/>
      <c r="N468" s="327"/>
      <c r="O468" s="327"/>
      <c r="P468" s="327"/>
      <c r="Q468" s="327"/>
      <c r="R468" s="327"/>
      <c r="S468" s="327"/>
      <c r="T468" s="327"/>
      <c r="U468" s="327"/>
      <c r="V468" s="327"/>
      <c r="W468" s="327"/>
      <c r="X468" s="327"/>
      <c r="Y468" s="327"/>
      <c r="Z468" s="327"/>
      <c r="AA468" s="327"/>
      <c r="AB468" s="327"/>
      <c r="AC468" s="327"/>
      <c r="AD468" s="327"/>
      <c r="AE468" s="327"/>
      <c r="AF468" s="327"/>
      <c r="AG468" s="327"/>
      <c r="AH468" s="327"/>
      <c r="AI468" s="327"/>
      <c r="AJ468" s="327"/>
    </row>
    <row r="469" spans="1:36" x14ac:dyDescent="0.25">
      <c r="A469" s="326"/>
      <c r="D469" s="322"/>
      <c r="E469" s="327"/>
      <c r="F469" s="327"/>
      <c r="G469" s="327"/>
      <c r="H469" s="327"/>
      <c r="I469" s="327"/>
      <c r="J469" s="327"/>
      <c r="K469" s="327"/>
      <c r="L469" s="327"/>
      <c r="M469" s="327"/>
      <c r="N469" s="327"/>
      <c r="O469" s="327"/>
      <c r="P469" s="327"/>
      <c r="Q469" s="327"/>
      <c r="R469" s="327"/>
      <c r="S469" s="327"/>
      <c r="T469" s="327"/>
      <c r="U469" s="327"/>
      <c r="V469" s="327"/>
      <c r="W469" s="327"/>
      <c r="X469" s="327"/>
      <c r="Y469" s="327"/>
      <c r="Z469" s="327"/>
      <c r="AA469" s="327"/>
      <c r="AB469" s="327"/>
      <c r="AC469" s="327"/>
      <c r="AD469" s="327"/>
      <c r="AE469" s="327"/>
      <c r="AF469" s="327"/>
      <c r="AG469" s="327"/>
      <c r="AH469" s="327"/>
      <c r="AI469" s="327"/>
      <c r="AJ469" s="327"/>
    </row>
    <row r="470" spans="1:36" x14ac:dyDescent="0.25">
      <c r="A470" s="326"/>
      <c r="D470" s="322"/>
      <c r="E470" s="327"/>
      <c r="F470" s="327"/>
      <c r="G470" s="327"/>
      <c r="H470" s="327"/>
      <c r="I470" s="327"/>
      <c r="J470" s="327"/>
      <c r="K470" s="327"/>
      <c r="L470" s="327"/>
      <c r="M470" s="327"/>
      <c r="N470" s="327"/>
      <c r="O470" s="327"/>
      <c r="P470" s="327"/>
      <c r="Q470" s="327"/>
      <c r="R470" s="327"/>
      <c r="S470" s="327"/>
      <c r="T470" s="327"/>
      <c r="U470" s="327"/>
      <c r="V470" s="327"/>
      <c r="W470" s="327"/>
      <c r="X470" s="327"/>
      <c r="Y470" s="327"/>
      <c r="Z470" s="327"/>
      <c r="AA470" s="327"/>
      <c r="AB470" s="327"/>
      <c r="AC470" s="327"/>
      <c r="AD470" s="327"/>
      <c r="AE470" s="327"/>
      <c r="AF470" s="327"/>
      <c r="AG470" s="327"/>
      <c r="AH470" s="327"/>
      <c r="AI470" s="327"/>
      <c r="AJ470" s="327"/>
    </row>
    <row r="471" spans="1:36" x14ac:dyDescent="0.25">
      <c r="A471" s="326"/>
      <c r="D471" s="322"/>
      <c r="E471" s="327"/>
      <c r="F471" s="327"/>
      <c r="G471" s="327"/>
      <c r="H471" s="327"/>
      <c r="I471" s="327"/>
      <c r="J471" s="327"/>
      <c r="K471" s="327"/>
      <c r="L471" s="327"/>
      <c r="M471" s="327"/>
      <c r="N471" s="327"/>
      <c r="O471" s="327"/>
      <c r="P471" s="327"/>
      <c r="Q471" s="327"/>
      <c r="R471" s="327"/>
      <c r="S471" s="327"/>
      <c r="T471" s="327"/>
      <c r="U471" s="327"/>
      <c r="V471" s="327"/>
      <c r="W471" s="327"/>
      <c r="X471" s="327"/>
      <c r="Y471" s="327"/>
      <c r="Z471" s="327"/>
      <c r="AA471" s="327"/>
      <c r="AB471" s="327"/>
      <c r="AC471" s="327"/>
      <c r="AD471" s="327"/>
      <c r="AE471" s="327"/>
      <c r="AF471" s="327"/>
      <c r="AG471" s="327"/>
      <c r="AH471" s="327"/>
      <c r="AI471" s="327"/>
      <c r="AJ471" s="327"/>
    </row>
    <row r="472" spans="1:36" x14ac:dyDescent="0.25">
      <c r="A472" s="326"/>
      <c r="D472" s="322"/>
      <c r="E472" s="327"/>
      <c r="F472" s="327"/>
      <c r="G472" s="327"/>
      <c r="H472" s="327"/>
      <c r="I472" s="327"/>
      <c r="J472" s="327"/>
      <c r="K472" s="327"/>
      <c r="L472" s="327"/>
      <c r="M472" s="327"/>
      <c r="N472" s="327"/>
      <c r="O472" s="327"/>
      <c r="P472" s="327"/>
      <c r="Q472" s="327"/>
      <c r="R472" s="327"/>
      <c r="S472" s="327"/>
      <c r="T472" s="327"/>
      <c r="U472" s="327"/>
      <c r="V472" s="327"/>
      <c r="W472" s="327"/>
      <c r="X472" s="327"/>
      <c r="Y472" s="327"/>
      <c r="Z472" s="327"/>
      <c r="AA472" s="327"/>
      <c r="AB472" s="327"/>
      <c r="AC472" s="327"/>
      <c r="AD472" s="327"/>
      <c r="AE472" s="327"/>
      <c r="AF472" s="327"/>
      <c r="AG472" s="327"/>
      <c r="AH472" s="327"/>
      <c r="AI472" s="327"/>
      <c r="AJ472" s="327"/>
    </row>
    <row r="473" spans="1:36" x14ac:dyDescent="0.25">
      <c r="A473" s="326"/>
      <c r="D473" s="322"/>
      <c r="E473" s="327"/>
      <c r="F473" s="327"/>
      <c r="G473" s="327"/>
      <c r="H473" s="327"/>
      <c r="I473" s="327"/>
      <c r="J473" s="327"/>
      <c r="K473" s="327"/>
      <c r="L473" s="327"/>
      <c r="M473" s="327"/>
      <c r="N473" s="327"/>
      <c r="O473" s="327"/>
      <c r="P473" s="327"/>
      <c r="Q473" s="327"/>
      <c r="R473" s="327"/>
      <c r="S473" s="327"/>
      <c r="T473" s="327"/>
      <c r="U473" s="327"/>
      <c r="V473" s="327"/>
      <c r="W473" s="327"/>
      <c r="X473" s="327"/>
      <c r="Y473" s="327"/>
      <c r="Z473" s="327"/>
      <c r="AA473" s="327"/>
      <c r="AB473" s="327"/>
      <c r="AC473" s="327"/>
      <c r="AD473" s="327"/>
      <c r="AE473" s="327"/>
      <c r="AF473" s="327"/>
      <c r="AG473" s="327"/>
      <c r="AH473" s="327"/>
      <c r="AI473" s="327"/>
      <c r="AJ473" s="327"/>
    </row>
    <row r="474" spans="1:36" x14ac:dyDescent="0.25">
      <c r="A474" s="326"/>
      <c r="D474" s="322"/>
      <c r="E474" s="327"/>
      <c r="F474" s="327"/>
      <c r="G474" s="327"/>
      <c r="H474" s="327"/>
      <c r="I474" s="327"/>
      <c r="J474" s="327"/>
      <c r="K474" s="327"/>
      <c r="L474" s="327"/>
      <c r="M474" s="327"/>
      <c r="N474" s="327"/>
      <c r="O474" s="327"/>
      <c r="P474" s="327"/>
      <c r="Q474" s="327"/>
      <c r="R474" s="327"/>
      <c r="S474" s="327"/>
      <c r="T474" s="327"/>
      <c r="U474" s="327"/>
      <c r="V474" s="327"/>
      <c r="W474" s="327"/>
      <c r="X474" s="327"/>
      <c r="Y474" s="327"/>
      <c r="Z474" s="327"/>
      <c r="AA474" s="327"/>
      <c r="AB474" s="327"/>
      <c r="AC474" s="327"/>
      <c r="AD474" s="327"/>
      <c r="AE474" s="327"/>
      <c r="AF474" s="327"/>
      <c r="AG474" s="327"/>
      <c r="AH474" s="327"/>
      <c r="AI474" s="327"/>
      <c r="AJ474" s="327"/>
    </row>
    <row r="475" spans="1:36" x14ac:dyDescent="0.25">
      <c r="A475" s="326"/>
      <c r="D475" s="322"/>
      <c r="E475" s="327"/>
      <c r="F475" s="327"/>
      <c r="G475" s="327"/>
      <c r="H475" s="327"/>
      <c r="I475" s="327"/>
      <c r="J475" s="327"/>
      <c r="K475" s="327"/>
      <c r="L475" s="327"/>
      <c r="M475" s="327"/>
      <c r="N475" s="327"/>
      <c r="O475" s="327"/>
      <c r="P475" s="327"/>
      <c r="Q475" s="327"/>
      <c r="R475" s="327"/>
      <c r="S475" s="327"/>
      <c r="T475" s="327"/>
      <c r="U475" s="327"/>
      <c r="V475" s="327"/>
      <c r="W475" s="327"/>
      <c r="X475" s="327"/>
      <c r="Y475" s="327"/>
      <c r="Z475" s="327"/>
      <c r="AA475" s="327"/>
      <c r="AB475" s="327"/>
      <c r="AC475" s="327"/>
      <c r="AD475" s="327"/>
      <c r="AE475" s="327"/>
      <c r="AF475" s="327"/>
      <c r="AG475" s="327"/>
      <c r="AH475" s="327"/>
      <c r="AI475" s="327"/>
      <c r="AJ475" s="327"/>
    </row>
    <row r="476" spans="1:36" x14ac:dyDescent="0.25">
      <c r="D476" s="322"/>
      <c r="E476" s="327"/>
      <c r="F476" s="327"/>
      <c r="G476" s="327"/>
      <c r="H476" s="327"/>
      <c r="I476" s="327"/>
      <c r="J476" s="327"/>
      <c r="K476" s="327"/>
      <c r="L476" s="327"/>
      <c r="M476" s="327"/>
      <c r="N476" s="327"/>
      <c r="O476" s="327"/>
      <c r="P476" s="327"/>
      <c r="Q476" s="327"/>
      <c r="R476" s="327"/>
      <c r="S476" s="327"/>
      <c r="T476" s="327"/>
      <c r="U476" s="327"/>
      <c r="V476" s="327"/>
      <c r="W476" s="327"/>
      <c r="X476" s="327"/>
      <c r="Y476" s="327"/>
      <c r="Z476" s="327"/>
      <c r="AA476" s="327"/>
      <c r="AB476" s="327"/>
      <c r="AC476" s="327"/>
      <c r="AD476" s="327"/>
      <c r="AE476" s="327"/>
      <c r="AF476" s="327"/>
      <c r="AG476" s="327"/>
      <c r="AH476" s="327"/>
      <c r="AI476" s="327"/>
      <c r="AJ476" s="327"/>
    </row>
    <row r="477" spans="1:36" x14ac:dyDescent="0.25">
      <c r="D477" s="322"/>
      <c r="E477" s="327"/>
      <c r="F477" s="327"/>
      <c r="G477" s="327"/>
      <c r="H477" s="327"/>
      <c r="I477" s="327"/>
      <c r="J477" s="327"/>
      <c r="K477" s="327"/>
      <c r="L477" s="327"/>
      <c r="M477" s="327"/>
      <c r="N477" s="327"/>
      <c r="O477" s="327"/>
      <c r="P477" s="327"/>
      <c r="Q477" s="327"/>
      <c r="R477" s="327"/>
      <c r="S477" s="327"/>
      <c r="T477" s="327"/>
      <c r="U477" s="327"/>
      <c r="V477" s="327"/>
      <c r="W477" s="327"/>
      <c r="X477" s="327"/>
      <c r="Y477" s="327"/>
      <c r="Z477" s="327"/>
      <c r="AA477" s="327"/>
      <c r="AB477" s="327"/>
      <c r="AC477" s="327"/>
      <c r="AD477" s="327"/>
      <c r="AE477" s="327"/>
      <c r="AF477" s="327"/>
      <c r="AG477" s="327"/>
      <c r="AH477" s="327"/>
      <c r="AI477" s="327"/>
      <c r="AJ477" s="327"/>
    </row>
    <row r="478" spans="1:36" x14ac:dyDescent="0.25">
      <c r="D478" s="322"/>
      <c r="E478" s="327"/>
      <c r="F478" s="327"/>
      <c r="G478" s="327"/>
      <c r="H478" s="327"/>
      <c r="I478" s="327"/>
      <c r="J478" s="327"/>
      <c r="K478" s="327"/>
      <c r="L478" s="327"/>
      <c r="M478" s="327"/>
      <c r="N478" s="327"/>
      <c r="O478" s="327"/>
      <c r="P478" s="327"/>
      <c r="Q478" s="327"/>
      <c r="R478" s="327"/>
      <c r="S478" s="327"/>
      <c r="T478" s="327"/>
      <c r="U478" s="327"/>
      <c r="V478" s="327"/>
      <c r="W478" s="327"/>
      <c r="X478" s="327"/>
      <c r="Y478" s="327"/>
      <c r="Z478" s="327"/>
      <c r="AA478" s="327"/>
      <c r="AB478" s="327"/>
      <c r="AC478" s="327"/>
      <c r="AD478" s="327"/>
      <c r="AE478" s="327"/>
      <c r="AF478" s="327"/>
      <c r="AG478" s="327"/>
      <c r="AH478" s="327"/>
      <c r="AI478" s="327"/>
      <c r="AJ478" s="327"/>
    </row>
    <row r="479" spans="1:36" x14ac:dyDescent="0.25">
      <c r="D479" s="322"/>
      <c r="E479" s="327"/>
      <c r="F479" s="327"/>
      <c r="G479" s="327"/>
      <c r="H479" s="327"/>
      <c r="I479" s="327"/>
      <c r="J479" s="327"/>
      <c r="K479" s="327"/>
      <c r="L479" s="327"/>
      <c r="M479" s="327"/>
      <c r="N479" s="327"/>
      <c r="O479" s="327"/>
      <c r="P479" s="327"/>
      <c r="Q479" s="327"/>
      <c r="R479" s="327"/>
      <c r="S479" s="327"/>
      <c r="T479" s="327"/>
      <c r="U479" s="327"/>
      <c r="V479" s="327"/>
      <c r="W479" s="327"/>
      <c r="X479" s="327"/>
      <c r="Y479" s="327"/>
      <c r="Z479" s="327"/>
      <c r="AA479" s="327"/>
      <c r="AB479" s="327"/>
      <c r="AC479" s="327"/>
      <c r="AD479" s="327"/>
      <c r="AE479" s="327"/>
      <c r="AF479" s="327"/>
      <c r="AG479" s="327"/>
      <c r="AH479" s="327"/>
      <c r="AI479" s="327"/>
      <c r="AJ479" s="327"/>
    </row>
    <row r="480" spans="1:36" x14ac:dyDescent="0.25">
      <c r="D480" s="322"/>
      <c r="E480" s="327"/>
      <c r="F480" s="327"/>
      <c r="G480" s="327"/>
      <c r="H480" s="327"/>
      <c r="I480" s="327"/>
      <c r="J480" s="327"/>
      <c r="K480" s="327"/>
      <c r="L480" s="327"/>
      <c r="M480" s="327"/>
      <c r="N480" s="327"/>
      <c r="O480" s="327"/>
      <c r="P480" s="327"/>
      <c r="Q480" s="327"/>
      <c r="R480" s="327"/>
      <c r="S480" s="327"/>
      <c r="T480" s="327"/>
      <c r="U480" s="327"/>
      <c r="V480" s="327"/>
      <c r="W480" s="327"/>
      <c r="X480" s="327"/>
      <c r="Y480" s="327"/>
      <c r="Z480" s="327"/>
      <c r="AA480" s="327"/>
      <c r="AB480" s="327"/>
      <c r="AC480" s="327"/>
      <c r="AD480" s="327"/>
      <c r="AE480" s="327"/>
      <c r="AF480" s="327"/>
      <c r="AG480" s="327"/>
      <c r="AH480" s="327"/>
      <c r="AI480" s="327"/>
      <c r="AJ480" s="327"/>
    </row>
    <row r="481" spans="1:36" x14ac:dyDescent="0.25">
      <c r="D481" s="322"/>
      <c r="E481" s="327"/>
      <c r="F481" s="327"/>
      <c r="G481" s="327"/>
      <c r="H481" s="327"/>
      <c r="I481" s="327"/>
      <c r="J481" s="327"/>
      <c r="K481" s="327"/>
      <c r="L481" s="327"/>
      <c r="M481" s="327"/>
      <c r="N481" s="327"/>
      <c r="O481" s="327"/>
      <c r="P481" s="327"/>
      <c r="Q481" s="327"/>
      <c r="R481" s="327"/>
      <c r="S481" s="327"/>
      <c r="T481" s="327"/>
      <c r="U481" s="327"/>
      <c r="V481" s="327"/>
      <c r="W481" s="327"/>
      <c r="X481" s="327"/>
      <c r="Y481" s="327"/>
      <c r="Z481" s="327"/>
      <c r="AA481" s="327"/>
      <c r="AB481" s="327"/>
      <c r="AC481" s="327"/>
      <c r="AD481" s="327"/>
      <c r="AE481" s="327"/>
      <c r="AF481" s="327"/>
      <c r="AG481" s="327"/>
      <c r="AH481" s="327"/>
      <c r="AI481" s="327"/>
      <c r="AJ481" s="327"/>
    </row>
    <row r="482" spans="1:36" x14ac:dyDescent="0.25">
      <c r="D482" s="322"/>
      <c r="E482" s="327"/>
      <c r="F482" s="327"/>
      <c r="G482" s="327"/>
      <c r="H482" s="327"/>
      <c r="I482" s="327"/>
      <c r="J482" s="327"/>
      <c r="K482" s="327"/>
      <c r="L482" s="327"/>
      <c r="M482" s="327"/>
      <c r="N482" s="327"/>
      <c r="O482" s="327"/>
      <c r="P482" s="327"/>
      <c r="Q482" s="327"/>
      <c r="R482" s="327"/>
      <c r="S482" s="327"/>
      <c r="T482" s="327"/>
      <c r="U482" s="327"/>
      <c r="V482" s="327"/>
      <c r="W482" s="327"/>
      <c r="X482" s="327"/>
      <c r="Y482" s="327"/>
      <c r="Z482" s="327"/>
      <c r="AA482" s="327"/>
      <c r="AB482" s="327"/>
      <c r="AC482" s="327"/>
      <c r="AD482" s="327"/>
      <c r="AE482" s="327"/>
      <c r="AF482" s="327"/>
      <c r="AG482" s="327"/>
      <c r="AH482" s="327"/>
      <c r="AI482" s="327"/>
      <c r="AJ482" s="327"/>
    </row>
    <row r="483" spans="1:36" x14ac:dyDescent="0.25">
      <c r="A483" s="325"/>
      <c r="D483" s="322"/>
      <c r="E483" s="327"/>
      <c r="F483" s="327"/>
      <c r="G483" s="327"/>
      <c r="H483" s="327"/>
      <c r="I483" s="327"/>
      <c r="J483" s="327"/>
      <c r="K483" s="327"/>
      <c r="L483" s="327"/>
      <c r="M483" s="327"/>
      <c r="N483" s="327"/>
      <c r="O483" s="327"/>
      <c r="P483" s="327"/>
      <c r="Q483" s="327"/>
      <c r="R483" s="327"/>
      <c r="S483" s="327"/>
      <c r="T483" s="327"/>
      <c r="U483" s="327"/>
      <c r="V483" s="327"/>
      <c r="W483" s="327"/>
      <c r="X483" s="327"/>
      <c r="Y483" s="327"/>
      <c r="Z483" s="327"/>
      <c r="AA483" s="327"/>
      <c r="AB483" s="327"/>
      <c r="AC483" s="327"/>
      <c r="AD483" s="327"/>
      <c r="AE483" s="327"/>
      <c r="AF483" s="327"/>
      <c r="AG483" s="327"/>
      <c r="AH483" s="327"/>
      <c r="AI483" s="327"/>
      <c r="AJ483" s="327"/>
    </row>
    <row r="484" spans="1:36" x14ac:dyDescent="0.25">
      <c r="A484" s="326"/>
      <c r="D484" s="322"/>
      <c r="E484" s="327"/>
      <c r="F484" s="327"/>
      <c r="G484" s="327"/>
      <c r="H484" s="327"/>
      <c r="I484" s="327"/>
      <c r="J484" s="327"/>
      <c r="K484" s="327"/>
      <c r="L484" s="327"/>
      <c r="M484" s="327"/>
      <c r="N484" s="327"/>
      <c r="O484" s="327"/>
      <c r="P484" s="327"/>
      <c r="Q484" s="327"/>
      <c r="R484" s="327"/>
      <c r="S484" s="327"/>
      <c r="T484" s="327"/>
      <c r="U484" s="327"/>
      <c r="V484" s="327"/>
      <c r="W484" s="327"/>
      <c r="X484" s="327"/>
      <c r="Y484" s="327"/>
      <c r="Z484" s="327"/>
      <c r="AA484" s="327"/>
      <c r="AB484" s="327"/>
      <c r="AC484" s="327"/>
      <c r="AD484" s="327"/>
      <c r="AE484" s="327"/>
      <c r="AF484" s="327"/>
      <c r="AG484" s="327"/>
      <c r="AH484" s="327"/>
      <c r="AI484" s="327"/>
      <c r="AJ484" s="327"/>
    </row>
    <row r="485" spans="1:36" x14ac:dyDescent="0.25">
      <c r="A485" s="326"/>
      <c r="D485" s="322"/>
      <c r="E485" s="327"/>
      <c r="F485" s="327"/>
      <c r="G485" s="327"/>
      <c r="H485" s="327"/>
      <c r="I485" s="327"/>
      <c r="J485" s="327"/>
      <c r="K485" s="327"/>
      <c r="L485" s="327"/>
      <c r="M485" s="327"/>
      <c r="N485" s="327"/>
      <c r="O485" s="327"/>
      <c r="P485" s="327"/>
      <c r="Q485" s="327"/>
      <c r="R485" s="327"/>
      <c r="S485" s="327"/>
      <c r="T485" s="327"/>
      <c r="U485" s="327"/>
      <c r="V485" s="327"/>
      <c r="W485" s="327"/>
      <c r="X485" s="327"/>
      <c r="Y485" s="327"/>
      <c r="Z485" s="327"/>
      <c r="AA485" s="327"/>
      <c r="AB485" s="327"/>
      <c r="AC485" s="327"/>
      <c r="AD485" s="327"/>
      <c r="AE485" s="327"/>
      <c r="AF485" s="327"/>
      <c r="AG485" s="327"/>
      <c r="AH485" s="327"/>
      <c r="AI485" s="327"/>
      <c r="AJ485" s="327"/>
    </row>
    <row r="486" spans="1:36" x14ac:dyDescent="0.25">
      <c r="A486" s="326"/>
      <c r="D486" s="322"/>
      <c r="E486" s="327"/>
      <c r="F486" s="327"/>
      <c r="G486" s="327"/>
      <c r="H486" s="327"/>
      <c r="I486" s="327"/>
      <c r="J486" s="327"/>
      <c r="K486" s="327"/>
      <c r="L486" s="327"/>
      <c r="M486" s="327"/>
      <c r="N486" s="327"/>
      <c r="O486" s="327"/>
      <c r="P486" s="327"/>
      <c r="Q486" s="327"/>
      <c r="R486" s="327"/>
      <c r="S486" s="327"/>
      <c r="T486" s="327"/>
      <c r="U486" s="327"/>
      <c r="V486" s="327"/>
      <c r="W486" s="327"/>
      <c r="X486" s="327"/>
      <c r="Y486" s="327"/>
      <c r="Z486" s="327"/>
      <c r="AA486" s="327"/>
      <c r="AB486" s="327"/>
      <c r="AC486" s="327"/>
      <c r="AD486" s="327"/>
      <c r="AE486" s="327"/>
      <c r="AF486" s="327"/>
      <c r="AG486" s="327"/>
      <c r="AH486" s="327"/>
      <c r="AI486" s="327"/>
      <c r="AJ486" s="327"/>
    </row>
    <row r="487" spans="1:36" x14ac:dyDescent="0.25">
      <c r="A487" s="326"/>
      <c r="D487" s="322"/>
      <c r="E487" s="327"/>
      <c r="F487" s="327"/>
      <c r="G487" s="327"/>
      <c r="H487" s="327"/>
      <c r="I487" s="327"/>
      <c r="J487" s="327"/>
      <c r="K487" s="327"/>
      <c r="L487" s="327"/>
      <c r="M487" s="327"/>
      <c r="N487" s="327"/>
      <c r="O487" s="327"/>
      <c r="P487" s="327"/>
      <c r="Q487" s="327"/>
      <c r="R487" s="327"/>
      <c r="S487" s="327"/>
      <c r="T487" s="327"/>
      <c r="U487" s="327"/>
      <c r="V487" s="327"/>
      <c r="W487" s="327"/>
      <c r="X487" s="327"/>
      <c r="Y487" s="327"/>
      <c r="Z487" s="327"/>
      <c r="AA487" s="327"/>
      <c r="AB487" s="327"/>
      <c r="AC487" s="327"/>
      <c r="AD487" s="327"/>
      <c r="AE487" s="327"/>
      <c r="AF487" s="327"/>
      <c r="AG487" s="327"/>
      <c r="AH487" s="327"/>
      <c r="AI487" s="327"/>
      <c r="AJ487" s="327"/>
    </row>
    <row r="488" spans="1:36" x14ac:dyDescent="0.25">
      <c r="A488" s="326"/>
      <c r="D488" s="322"/>
      <c r="E488" s="327"/>
      <c r="F488" s="327"/>
      <c r="G488" s="327"/>
      <c r="H488" s="327"/>
      <c r="I488" s="327"/>
      <c r="J488" s="327"/>
      <c r="K488" s="327"/>
      <c r="L488" s="327"/>
      <c r="M488" s="327"/>
      <c r="N488" s="327"/>
      <c r="O488" s="327"/>
      <c r="P488" s="327"/>
      <c r="Q488" s="327"/>
      <c r="R488" s="327"/>
      <c r="S488" s="327"/>
      <c r="T488" s="327"/>
      <c r="U488" s="327"/>
      <c r="V488" s="327"/>
      <c r="W488" s="327"/>
      <c r="X488" s="327"/>
      <c r="Y488" s="327"/>
      <c r="Z488" s="327"/>
      <c r="AA488" s="327"/>
      <c r="AB488" s="327"/>
      <c r="AC488" s="327"/>
      <c r="AD488" s="327"/>
      <c r="AE488" s="327"/>
      <c r="AF488" s="327"/>
      <c r="AG488" s="327"/>
      <c r="AH488" s="327"/>
      <c r="AI488" s="327"/>
      <c r="AJ488" s="327"/>
    </row>
    <row r="489" spans="1:36" x14ac:dyDescent="0.25">
      <c r="A489" s="326"/>
      <c r="D489" s="322"/>
      <c r="E489" s="327"/>
      <c r="F489" s="327"/>
      <c r="G489" s="327"/>
      <c r="H489" s="327"/>
      <c r="I489" s="327"/>
      <c r="J489" s="327"/>
      <c r="K489" s="327"/>
      <c r="L489" s="327"/>
      <c r="M489" s="327"/>
      <c r="N489" s="327"/>
      <c r="O489" s="327"/>
      <c r="P489" s="327"/>
      <c r="Q489" s="327"/>
      <c r="R489" s="327"/>
      <c r="S489" s="327"/>
      <c r="T489" s="327"/>
      <c r="U489" s="327"/>
      <c r="V489" s="327"/>
      <c r="W489" s="327"/>
      <c r="X489" s="327"/>
      <c r="Y489" s="327"/>
      <c r="Z489" s="327"/>
      <c r="AA489" s="327"/>
      <c r="AB489" s="327"/>
      <c r="AC489" s="327"/>
      <c r="AD489" s="327"/>
      <c r="AE489" s="327"/>
      <c r="AF489" s="327"/>
      <c r="AG489" s="327"/>
      <c r="AH489" s="327"/>
      <c r="AI489" s="327"/>
      <c r="AJ489" s="327"/>
    </row>
    <row r="490" spans="1:36" x14ac:dyDescent="0.25">
      <c r="A490" s="326"/>
      <c r="D490" s="322"/>
      <c r="E490" s="327"/>
      <c r="F490" s="327"/>
      <c r="G490" s="327"/>
      <c r="H490" s="327"/>
      <c r="I490" s="327"/>
      <c r="J490" s="327"/>
      <c r="K490" s="327"/>
      <c r="L490" s="327"/>
      <c r="M490" s="327"/>
      <c r="N490" s="327"/>
      <c r="O490" s="327"/>
      <c r="P490" s="327"/>
      <c r="Q490" s="327"/>
      <c r="R490" s="327"/>
      <c r="S490" s="327"/>
      <c r="T490" s="327"/>
      <c r="U490" s="327"/>
      <c r="V490" s="327"/>
      <c r="W490" s="327"/>
      <c r="X490" s="327"/>
      <c r="Y490" s="327"/>
      <c r="Z490" s="327"/>
      <c r="AA490" s="327"/>
      <c r="AB490" s="327"/>
      <c r="AC490" s="327"/>
      <c r="AD490" s="327"/>
      <c r="AE490" s="327"/>
      <c r="AF490" s="327"/>
      <c r="AG490" s="327"/>
      <c r="AH490" s="327"/>
      <c r="AI490" s="327"/>
      <c r="AJ490" s="327"/>
    </row>
    <row r="491" spans="1:36" x14ac:dyDescent="0.25">
      <c r="A491" s="326"/>
      <c r="D491" s="322"/>
      <c r="E491" s="327"/>
      <c r="F491" s="327"/>
      <c r="G491" s="327"/>
      <c r="H491" s="327"/>
      <c r="I491" s="327"/>
      <c r="J491" s="327"/>
      <c r="K491" s="327"/>
      <c r="L491" s="327"/>
      <c r="M491" s="327"/>
      <c r="N491" s="327"/>
      <c r="O491" s="327"/>
      <c r="P491" s="327"/>
      <c r="Q491" s="327"/>
      <c r="R491" s="327"/>
      <c r="S491" s="327"/>
      <c r="T491" s="327"/>
      <c r="U491" s="327"/>
      <c r="V491" s="327"/>
      <c r="W491" s="327"/>
      <c r="X491" s="327"/>
      <c r="Y491" s="327"/>
      <c r="Z491" s="327"/>
      <c r="AA491" s="327"/>
      <c r="AB491" s="327"/>
      <c r="AC491" s="327"/>
      <c r="AD491" s="327"/>
      <c r="AE491" s="327"/>
      <c r="AF491" s="327"/>
      <c r="AG491" s="327"/>
      <c r="AH491" s="327"/>
      <c r="AI491" s="327"/>
      <c r="AJ491" s="327"/>
    </row>
    <row r="492" spans="1:36" x14ac:dyDescent="0.25">
      <c r="A492" s="326"/>
      <c r="D492" s="322"/>
      <c r="E492" s="327"/>
      <c r="F492" s="327"/>
      <c r="G492" s="327"/>
      <c r="H492" s="327"/>
      <c r="I492" s="327"/>
      <c r="J492" s="327"/>
      <c r="K492" s="327"/>
      <c r="L492" s="327"/>
      <c r="M492" s="327"/>
      <c r="N492" s="327"/>
      <c r="O492" s="327"/>
      <c r="P492" s="327"/>
      <c r="Q492" s="327"/>
      <c r="R492" s="327"/>
      <c r="S492" s="327"/>
      <c r="T492" s="327"/>
      <c r="U492" s="327"/>
      <c r="V492" s="327"/>
      <c r="W492" s="327"/>
      <c r="X492" s="327"/>
      <c r="Y492" s="327"/>
      <c r="Z492" s="327"/>
      <c r="AA492" s="327"/>
      <c r="AB492" s="327"/>
      <c r="AC492" s="327"/>
      <c r="AD492" s="327"/>
      <c r="AE492" s="327"/>
      <c r="AF492" s="327"/>
      <c r="AG492" s="327"/>
      <c r="AH492" s="327"/>
      <c r="AI492" s="327"/>
      <c r="AJ492" s="327"/>
    </row>
    <row r="493" spans="1:36" x14ac:dyDescent="0.25">
      <c r="A493" s="326"/>
      <c r="D493" s="322"/>
      <c r="E493" s="327"/>
      <c r="F493" s="327"/>
      <c r="G493" s="327"/>
      <c r="H493" s="327"/>
      <c r="I493" s="327"/>
      <c r="J493" s="327"/>
      <c r="K493" s="327"/>
      <c r="L493" s="327"/>
      <c r="M493" s="327"/>
      <c r="N493" s="327"/>
      <c r="O493" s="327"/>
      <c r="P493" s="327"/>
      <c r="Q493" s="327"/>
      <c r="R493" s="327"/>
      <c r="S493" s="327"/>
      <c r="T493" s="327"/>
      <c r="U493" s="327"/>
      <c r="V493" s="327"/>
      <c r="W493" s="327"/>
      <c r="X493" s="327"/>
      <c r="Y493" s="327"/>
      <c r="Z493" s="327"/>
      <c r="AA493" s="327"/>
      <c r="AB493" s="327"/>
      <c r="AC493" s="327"/>
      <c r="AD493" s="327"/>
      <c r="AE493" s="327"/>
      <c r="AF493" s="327"/>
      <c r="AG493" s="327"/>
      <c r="AH493" s="327"/>
      <c r="AI493" s="327"/>
      <c r="AJ493" s="327"/>
    </row>
    <row r="494" spans="1:36" x14ac:dyDescent="0.25">
      <c r="A494" s="326"/>
      <c r="D494" s="322"/>
      <c r="E494" s="327"/>
      <c r="F494" s="327"/>
      <c r="G494" s="327"/>
      <c r="H494" s="327"/>
      <c r="I494" s="327"/>
      <c r="J494" s="327"/>
      <c r="K494" s="327"/>
      <c r="L494" s="327"/>
      <c r="M494" s="327"/>
      <c r="N494" s="327"/>
      <c r="O494" s="327"/>
      <c r="P494" s="327"/>
      <c r="Q494" s="327"/>
      <c r="R494" s="327"/>
      <c r="S494" s="327"/>
      <c r="T494" s="327"/>
      <c r="U494" s="327"/>
      <c r="V494" s="327"/>
      <c r="W494" s="327"/>
      <c r="X494" s="327"/>
      <c r="Y494" s="327"/>
      <c r="Z494" s="327"/>
      <c r="AA494" s="327"/>
      <c r="AB494" s="327"/>
      <c r="AC494" s="327"/>
      <c r="AD494" s="327"/>
      <c r="AE494" s="327"/>
      <c r="AF494" s="327"/>
      <c r="AG494" s="327"/>
      <c r="AH494" s="327"/>
      <c r="AI494" s="327"/>
      <c r="AJ494" s="327"/>
    </row>
    <row r="495" spans="1:36" x14ac:dyDescent="0.25">
      <c r="A495" s="326"/>
      <c r="D495" s="322"/>
      <c r="E495" s="327"/>
      <c r="F495" s="327"/>
      <c r="G495" s="327"/>
      <c r="H495" s="327"/>
      <c r="I495" s="327"/>
      <c r="J495" s="327"/>
      <c r="K495" s="327"/>
      <c r="L495" s="327"/>
      <c r="M495" s="327"/>
      <c r="N495" s="327"/>
      <c r="O495" s="327"/>
      <c r="P495" s="327"/>
      <c r="Q495" s="327"/>
      <c r="R495" s="327"/>
      <c r="S495" s="327"/>
      <c r="T495" s="327"/>
      <c r="U495" s="327"/>
      <c r="V495" s="327"/>
      <c r="W495" s="327"/>
      <c r="X495" s="327"/>
      <c r="Y495" s="327"/>
      <c r="Z495" s="327"/>
      <c r="AA495" s="327"/>
      <c r="AB495" s="327"/>
      <c r="AC495" s="327"/>
      <c r="AD495" s="327"/>
      <c r="AE495" s="327"/>
      <c r="AF495" s="327"/>
      <c r="AG495" s="327"/>
      <c r="AH495" s="327"/>
      <c r="AI495" s="327"/>
      <c r="AJ495" s="327"/>
    </row>
    <row r="496" spans="1:36" x14ac:dyDescent="0.25">
      <c r="A496" s="326"/>
      <c r="D496" s="322"/>
      <c r="E496" s="327"/>
      <c r="F496" s="327"/>
      <c r="G496" s="327"/>
      <c r="H496" s="327"/>
      <c r="I496" s="327"/>
      <c r="J496" s="327"/>
      <c r="K496" s="327"/>
      <c r="L496" s="327"/>
      <c r="M496" s="327"/>
      <c r="N496" s="327"/>
      <c r="O496" s="327"/>
      <c r="P496" s="327"/>
      <c r="Q496" s="327"/>
      <c r="R496" s="327"/>
      <c r="S496" s="327"/>
      <c r="T496" s="327"/>
      <c r="U496" s="327"/>
      <c r="V496" s="327"/>
      <c r="W496" s="327"/>
      <c r="X496" s="327"/>
      <c r="Y496" s="327"/>
      <c r="Z496" s="327"/>
      <c r="AA496" s="327"/>
      <c r="AB496" s="327"/>
      <c r="AC496" s="327"/>
      <c r="AD496" s="327"/>
      <c r="AE496" s="327"/>
      <c r="AF496" s="327"/>
      <c r="AG496" s="327"/>
      <c r="AH496" s="327"/>
      <c r="AI496" s="327"/>
      <c r="AJ496" s="327"/>
    </row>
    <row r="497" spans="1:36" x14ac:dyDescent="0.25">
      <c r="A497" s="326"/>
      <c r="D497" s="322"/>
      <c r="E497" s="327"/>
      <c r="F497" s="327"/>
      <c r="G497" s="327"/>
      <c r="H497" s="327"/>
      <c r="I497" s="327"/>
      <c r="J497" s="327"/>
      <c r="K497" s="327"/>
      <c r="L497" s="327"/>
      <c r="M497" s="327"/>
      <c r="N497" s="327"/>
      <c r="O497" s="327"/>
      <c r="P497" s="327"/>
      <c r="Q497" s="327"/>
      <c r="R497" s="327"/>
      <c r="S497" s="327"/>
      <c r="T497" s="327"/>
      <c r="U497" s="327"/>
      <c r="V497" s="327"/>
      <c r="W497" s="327"/>
      <c r="X497" s="327"/>
      <c r="Y497" s="327"/>
      <c r="Z497" s="327"/>
      <c r="AA497" s="327"/>
      <c r="AB497" s="327"/>
      <c r="AC497" s="327"/>
      <c r="AD497" s="327"/>
      <c r="AE497" s="327"/>
      <c r="AF497" s="327"/>
      <c r="AG497" s="327"/>
      <c r="AH497" s="327"/>
      <c r="AI497" s="327"/>
      <c r="AJ497" s="327"/>
    </row>
    <row r="498" spans="1:36" x14ac:dyDescent="0.25">
      <c r="A498" s="326"/>
      <c r="D498" s="322"/>
      <c r="E498" s="327"/>
      <c r="F498" s="327"/>
      <c r="G498" s="327"/>
      <c r="H498" s="327"/>
      <c r="I498" s="327"/>
      <c r="J498" s="327"/>
      <c r="K498" s="327"/>
      <c r="L498" s="327"/>
      <c r="M498" s="327"/>
      <c r="N498" s="327"/>
      <c r="O498" s="327"/>
      <c r="P498" s="327"/>
      <c r="Q498" s="327"/>
      <c r="R498" s="327"/>
      <c r="S498" s="327"/>
      <c r="T498" s="327"/>
      <c r="U498" s="327"/>
      <c r="V498" s="327"/>
      <c r="W498" s="327"/>
      <c r="X498" s="327"/>
      <c r="Y498" s="327"/>
      <c r="Z498" s="327"/>
      <c r="AA498" s="327"/>
      <c r="AB498" s="327"/>
      <c r="AC498" s="327"/>
      <c r="AD498" s="327"/>
      <c r="AE498" s="327"/>
      <c r="AF498" s="327"/>
      <c r="AG498" s="327"/>
      <c r="AH498" s="327"/>
      <c r="AI498" s="327"/>
      <c r="AJ498" s="327"/>
    </row>
    <row r="499" spans="1:36" x14ac:dyDescent="0.25">
      <c r="A499" s="326"/>
      <c r="E499" s="327"/>
      <c r="F499" s="327"/>
      <c r="G499" s="327"/>
      <c r="H499" s="327"/>
      <c r="I499" s="327"/>
      <c r="J499" s="327"/>
      <c r="K499" s="327"/>
      <c r="L499" s="327"/>
      <c r="M499" s="327"/>
      <c r="N499" s="327"/>
      <c r="O499" s="327"/>
      <c r="P499" s="327"/>
      <c r="Q499" s="327"/>
      <c r="R499" s="327"/>
      <c r="S499" s="327"/>
      <c r="T499" s="327"/>
      <c r="U499" s="327"/>
      <c r="V499" s="327"/>
      <c r="W499" s="327"/>
      <c r="X499" s="327"/>
      <c r="Y499" s="327"/>
      <c r="Z499" s="327"/>
      <c r="AA499" s="327"/>
      <c r="AB499" s="327"/>
      <c r="AC499" s="327"/>
      <c r="AD499" s="327"/>
      <c r="AE499" s="327"/>
      <c r="AF499" s="327"/>
      <c r="AG499" s="327"/>
      <c r="AH499" s="327"/>
      <c r="AI499" s="327"/>
      <c r="AJ499" s="327"/>
    </row>
    <row r="500" spans="1:36" x14ac:dyDescent="0.25">
      <c r="A500" s="326"/>
      <c r="E500" s="327"/>
      <c r="F500" s="327"/>
      <c r="G500" s="327"/>
      <c r="H500" s="327"/>
      <c r="I500" s="327"/>
      <c r="J500" s="327"/>
      <c r="K500" s="327"/>
      <c r="L500" s="327"/>
      <c r="M500" s="327"/>
      <c r="N500" s="327"/>
      <c r="O500" s="327"/>
      <c r="P500" s="327"/>
      <c r="Q500" s="327"/>
      <c r="R500" s="327"/>
      <c r="S500" s="327"/>
      <c r="T500" s="327"/>
      <c r="U500" s="327"/>
      <c r="V500" s="327"/>
      <c r="W500" s="327"/>
      <c r="X500" s="327"/>
      <c r="Y500" s="327"/>
      <c r="Z500" s="327"/>
      <c r="AA500" s="327"/>
      <c r="AB500" s="327"/>
      <c r="AC500" s="327"/>
      <c r="AD500" s="327"/>
      <c r="AE500" s="327"/>
      <c r="AF500" s="327"/>
      <c r="AG500" s="327"/>
      <c r="AH500" s="327"/>
      <c r="AI500" s="327"/>
      <c r="AJ500" s="327"/>
    </row>
    <row r="501" spans="1:36" x14ac:dyDescent="0.25">
      <c r="A501" s="326"/>
      <c r="E501" s="327"/>
      <c r="F501" s="327"/>
      <c r="G501" s="327"/>
      <c r="H501" s="327"/>
      <c r="I501" s="327"/>
      <c r="J501" s="327"/>
      <c r="K501" s="327"/>
      <c r="L501" s="327"/>
      <c r="M501" s="327"/>
      <c r="N501" s="327"/>
      <c r="O501" s="327"/>
      <c r="P501" s="327"/>
      <c r="Q501" s="327"/>
      <c r="R501" s="327"/>
      <c r="S501" s="327"/>
      <c r="T501" s="327"/>
      <c r="U501" s="327"/>
      <c r="V501" s="327"/>
      <c r="W501" s="327"/>
      <c r="X501" s="327"/>
      <c r="Y501" s="327"/>
      <c r="Z501" s="327"/>
      <c r="AA501" s="327"/>
      <c r="AB501" s="327"/>
      <c r="AC501" s="327"/>
      <c r="AD501" s="327"/>
      <c r="AE501" s="327"/>
      <c r="AF501" s="327"/>
      <c r="AG501" s="327"/>
      <c r="AH501" s="327"/>
      <c r="AI501" s="327"/>
      <c r="AJ501" s="327"/>
    </row>
    <row r="502" spans="1:36" x14ac:dyDescent="0.25">
      <c r="E502" s="327"/>
      <c r="F502" s="327"/>
      <c r="G502" s="327"/>
      <c r="H502" s="327"/>
      <c r="I502" s="327"/>
      <c r="J502" s="327"/>
      <c r="K502" s="327"/>
      <c r="L502" s="327"/>
      <c r="M502" s="327"/>
      <c r="N502" s="327"/>
      <c r="O502" s="327"/>
      <c r="P502" s="327"/>
      <c r="Q502" s="327"/>
      <c r="R502" s="327"/>
      <c r="S502" s="327"/>
      <c r="T502" s="327"/>
      <c r="U502" s="327"/>
      <c r="V502" s="327"/>
      <c r="W502" s="327"/>
      <c r="X502" s="327"/>
      <c r="Y502" s="327"/>
      <c r="Z502" s="327"/>
      <c r="AA502" s="327"/>
      <c r="AB502" s="327"/>
      <c r="AC502" s="327"/>
      <c r="AD502" s="327"/>
      <c r="AE502" s="327"/>
      <c r="AF502" s="327"/>
      <c r="AG502" s="327"/>
      <c r="AH502" s="327"/>
      <c r="AI502" s="327"/>
      <c r="AJ502" s="327"/>
    </row>
    <row r="503" spans="1:36" x14ac:dyDescent="0.25">
      <c r="E503" s="327"/>
      <c r="F503" s="327"/>
      <c r="G503" s="327"/>
      <c r="H503" s="327"/>
      <c r="I503" s="327"/>
      <c r="J503" s="327"/>
      <c r="K503" s="327"/>
      <c r="L503" s="327"/>
      <c r="M503" s="327"/>
      <c r="N503" s="327"/>
      <c r="O503" s="327"/>
      <c r="P503" s="327"/>
      <c r="Q503" s="327"/>
      <c r="R503" s="327"/>
      <c r="S503" s="327"/>
      <c r="T503" s="327"/>
      <c r="U503" s="327"/>
      <c r="V503" s="327"/>
      <c r="W503" s="327"/>
      <c r="X503" s="327"/>
      <c r="Y503" s="327"/>
      <c r="Z503" s="327"/>
      <c r="AA503" s="327"/>
      <c r="AB503" s="327"/>
      <c r="AC503" s="327"/>
      <c r="AD503" s="327"/>
      <c r="AE503" s="327"/>
      <c r="AF503" s="327"/>
      <c r="AG503" s="327"/>
      <c r="AH503" s="327"/>
      <c r="AI503" s="327"/>
      <c r="AJ503" s="327"/>
    </row>
    <row r="504" spans="1:36" x14ac:dyDescent="0.25">
      <c r="E504" s="327"/>
      <c r="F504" s="327"/>
      <c r="G504" s="327"/>
      <c r="H504" s="327"/>
      <c r="I504" s="327"/>
      <c r="J504" s="327"/>
      <c r="K504" s="327"/>
      <c r="L504" s="327"/>
      <c r="M504" s="327"/>
      <c r="N504" s="327"/>
      <c r="O504" s="327"/>
      <c r="P504" s="327"/>
      <c r="Q504" s="327"/>
      <c r="R504" s="327"/>
      <c r="S504" s="327"/>
      <c r="T504" s="327"/>
      <c r="U504" s="327"/>
      <c r="V504" s="327"/>
      <c r="W504" s="327"/>
      <c r="X504" s="327"/>
      <c r="Y504" s="327"/>
      <c r="Z504" s="327"/>
      <c r="AA504" s="327"/>
      <c r="AB504" s="327"/>
      <c r="AC504" s="327"/>
      <c r="AD504" s="327"/>
      <c r="AE504" s="327"/>
      <c r="AF504" s="327"/>
      <c r="AG504" s="327"/>
      <c r="AH504" s="327"/>
      <c r="AI504" s="327"/>
      <c r="AJ504" s="327"/>
    </row>
    <row r="505" spans="1:36" x14ac:dyDescent="0.25">
      <c r="E505" s="327"/>
      <c r="F505" s="327"/>
      <c r="G505" s="327"/>
      <c r="H505" s="327"/>
      <c r="I505" s="327"/>
      <c r="J505" s="327"/>
      <c r="K505" s="327"/>
      <c r="L505" s="327"/>
      <c r="M505" s="327"/>
      <c r="N505" s="327"/>
      <c r="O505" s="327"/>
      <c r="P505" s="327"/>
      <c r="Q505" s="327"/>
      <c r="R505" s="327"/>
      <c r="S505" s="327"/>
      <c r="T505" s="327"/>
      <c r="U505" s="327"/>
      <c r="V505" s="327"/>
      <c r="W505" s="327"/>
      <c r="X505" s="327"/>
      <c r="Y505" s="327"/>
      <c r="Z505" s="327"/>
      <c r="AA505" s="327"/>
      <c r="AB505" s="327"/>
      <c r="AC505" s="327"/>
      <c r="AD505" s="327"/>
      <c r="AE505" s="327"/>
      <c r="AF505" s="327"/>
      <c r="AG505" s="327"/>
      <c r="AH505" s="327"/>
      <c r="AI505" s="327"/>
      <c r="AJ505" s="327"/>
    </row>
    <row r="506" spans="1:36" x14ac:dyDescent="0.25">
      <c r="E506" s="327"/>
      <c r="F506" s="327"/>
      <c r="G506" s="327"/>
      <c r="H506" s="327"/>
      <c r="I506" s="327"/>
      <c r="J506" s="327"/>
      <c r="K506" s="327"/>
      <c r="L506" s="327"/>
      <c r="M506" s="327"/>
      <c r="N506" s="327"/>
      <c r="O506" s="327"/>
      <c r="P506" s="327"/>
      <c r="Q506" s="327"/>
      <c r="R506" s="327"/>
      <c r="S506" s="327"/>
      <c r="T506" s="327"/>
      <c r="U506" s="327"/>
      <c r="V506" s="327"/>
      <c r="W506" s="327"/>
      <c r="X506" s="327"/>
      <c r="Y506" s="327"/>
      <c r="Z506" s="327"/>
      <c r="AA506" s="327"/>
      <c r="AB506" s="327"/>
      <c r="AC506" s="327"/>
      <c r="AD506" s="327"/>
      <c r="AE506" s="327"/>
      <c r="AF506" s="327"/>
      <c r="AG506" s="327"/>
      <c r="AH506" s="327"/>
      <c r="AI506" s="327"/>
      <c r="AJ506" s="327"/>
    </row>
    <row r="507" spans="1:36" x14ac:dyDescent="0.25">
      <c r="E507" s="327"/>
      <c r="F507" s="327"/>
      <c r="G507" s="327"/>
      <c r="H507" s="327"/>
      <c r="I507" s="327"/>
      <c r="J507" s="327"/>
      <c r="K507" s="327"/>
      <c r="L507" s="327"/>
      <c r="M507" s="327"/>
      <c r="N507" s="327"/>
      <c r="O507" s="327"/>
      <c r="P507" s="327"/>
      <c r="Q507" s="327"/>
      <c r="R507" s="327"/>
      <c r="S507" s="327"/>
      <c r="T507" s="327"/>
      <c r="U507" s="327"/>
      <c r="V507" s="327"/>
      <c r="W507" s="327"/>
      <c r="X507" s="327"/>
      <c r="Y507" s="327"/>
      <c r="Z507" s="327"/>
      <c r="AA507" s="327"/>
      <c r="AB507" s="327"/>
      <c r="AC507" s="327"/>
      <c r="AD507" s="327"/>
      <c r="AE507" s="327"/>
      <c r="AF507" s="327"/>
      <c r="AG507" s="327"/>
      <c r="AH507" s="327"/>
      <c r="AI507" s="327"/>
      <c r="AJ507" s="327"/>
    </row>
    <row r="508" spans="1:36" x14ac:dyDescent="0.25">
      <c r="E508" s="327"/>
      <c r="F508" s="327"/>
      <c r="G508" s="327"/>
      <c r="H508" s="327"/>
      <c r="I508" s="327"/>
      <c r="J508" s="327"/>
      <c r="K508" s="327"/>
      <c r="L508" s="327"/>
      <c r="M508" s="327"/>
      <c r="N508" s="327"/>
      <c r="O508" s="327"/>
      <c r="P508" s="327"/>
      <c r="Q508" s="327"/>
      <c r="R508" s="327"/>
      <c r="S508" s="327"/>
      <c r="T508" s="327"/>
      <c r="U508" s="327"/>
      <c r="V508" s="327"/>
      <c r="W508" s="327"/>
      <c r="X508" s="327"/>
      <c r="Y508" s="327"/>
      <c r="Z508" s="327"/>
      <c r="AA508" s="327"/>
      <c r="AB508" s="327"/>
      <c r="AC508" s="327"/>
      <c r="AD508" s="327"/>
      <c r="AE508" s="327"/>
      <c r="AF508" s="327"/>
      <c r="AG508" s="327"/>
      <c r="AH508" s="327"/>
      <c r="AI508" s="327"/>
      <c r="AJ508" s="327"/>
    </row>
    <row r="509" spans="1:36" x14ac:dyDescent="0.25">
      <c r="A509" s="325"/>
      <c r="E509" s="327"/>
      <c r="F509" s="327"/>
      <c r="G509" s="327"/>
      <c r="H509" s="327"/>
      <c r="I509" s="327"/>
      <c r="J509" s="327"/>
      <c r="K509" s="327"/>
      <c r="L509" s="327"/>
      <c r="M509" s="327"/>
      <c r="N509" s="327"/>
      <c r="O509" s="327"/>
      <c r="P509" s="327"/>
      <c r="Q509" s="327"/>
      <c r="R509" s="327"/>
      <c r="S509" s="327"/>
      <c r="T509" s="327"/>
      <c r="U509" s="327"/>
      <c r="V509" s="327"/>
      <c r="W509" s="327"/>
      <c r="X509" s="327"/>
      <c r="Y509" s="327"/>
      <c r="Z509" s="327"/>
      <c r="AA509" s="327"/>
      <c r="AB509" s="327"/>
      <c r="AC509" s="327"/>
      <c r="AD509" s="327"/>
      <c r="AE509" s="327"/>
      <c r="AF509" s="327"/>
      <c r="AG509" s="327"/>
      <c r="AH509" s="327"/>
      <c r="AI509" s="327"/>
      <c r="AJ509" s="327"/>
    </row>
    <row r="510" spans="1:36" x14ac:dyDescent="0.25">
      <c r="A510" s="326"/>
      <c r="E510" s="327"/>
      <c r="F510" s="327"/>
      <c r="G510" s="327"/>
      <c r="H510" s="327"/>
      <c r="I510" s="327"/>
      <c r="J510" s="327"/>
      <c r="K510" s="327"/>
      <c r="L510" s="327"/>
      <c r="M510" s="327"/>
      <c r="N510" s="327"/>
      <c r="O510" s="327"/>
      <c r="P510" s="327"/>
      <c r="Q510" s="327"/>
      <c r="R510" s="327"/>
      <c r="S510" s="327"/>
      <c r="T510" s="327"/>
      <c r="U510" s="327"/>
      <c r="V510" s="327"/>
      <c r="W510" s="327"/>
      <c r="X510" s="327"/>
      <c r="Y510" s="327"/>
      <c r="Z510" s="327"/>
      <c r="AA510" s="327"/>
      <c r="AB510" s="327"/>
      <c r="AC510" s="327"/>
      <c r="AD510" s="327"/>
      <c r="AE510" s="327"/>
      <c r="AF510" s="327"/>
      <c r="AG510" s="327"/>
      <c r="AH510" s="327"/>
      <c r="AI510" s="327"/>
      <c r="AJ510" s="327"/>
    </row>
    <row r="511" spans="1:36" x14ac:dyDescent="0.25">
      <c r="A511" s="326"/>
      <c r="E511" s="327"/>
      <c r="F511" s="327"/>
      <c r="G511" s="327"/>
      <c r="H511" s="327"/>
      <c r="I511" s="327"/>
      <c r="J511" s="327"/>
      <c r="K511" s="327"/>
      <c r="L511" s="327"/>
      <c r="M511" s="327"/>
      <c r="N511" s="327"/>
      <c r="O511" s="327"/>
      <c r="P511" s="327"/>
      <c r="Q511" s="327"/>
      <c r="R511" s="327"/>
      <c r="S511" s="327"/>
      <c r="T511" s="327"/>
      <c r="U511" s="327"/>
      <c r="V511" s="327"/>
      <c r="W511" s="327"/>
      <c r="X511" s="327"/>
      <c r="Y511" s="327"/>
      <c r="Z511" s="327"/>
      <c r="AA511" s="327"/>
      <c r="AB511" s="327"/>
      <c r="AC511" s="327"/>
      <c r="AD511" s="327"/>
      <c r="AE511" s="327"/>
      <c r="AF511" s="327"/>
      <c r="AG511" s="327"/>
      <c r="AH511" s="327"/>
      <c r="AI511" s="327"/>
      <c r="AJ511" s="327"/>
    </row>
    <row r="512" spans="1:36" x14ac:dyDescent="0.25">
      <c r="A512" s="326"/>
      <c r="E512" s="327"/>
      <c r="F512" s="327"/>
      <c r="G512" s="327"/>
      <c r="H512" s="327"/>
      <c r="I512" s="327"/>
      <c r="J512" s="327"/>
      <c r="K512" s="327"/>
      <c r="L512" s="327"/>
      <c r="M512" s="327"/>
      <c r="N512" s="327"/>
      <c r="O512" s="327"/>
      <c r="P512" s="327"/>
      <c r="Q512" s="327"/>
      <c r="R512" s="327"/>
      <c r="S512" s="327"/>
      <c r="T512" s="327"/>
      <c r="U512" s="327"/>
      <c r="V512" s="327"/>
      <c r="W512" s="327"/>
      <c r="X512" s="327"/>
      <c r="Y512" s="327"/>
      <c r="Z512" s="327"/>
      <c r="AA512" s="327"/>
      <c r="AB512" s="327"/>
      <c r="AC512" s="327"/>
      <c r="AD512" s="327"/>
      <c r="AE512" s="327"/>
      <c r="AF512" s="327"/>
      <c r="AG512" s="327"/>
      <c r="AH512" s="327"/>
      <c r="AI512" s="327"/>
      <c r="AJ512" s="327"/>
    </row>
    <row r="513" spans="1:36" x14ac:dyDescent="0.25">
      <c r="A513" s="326"/>
      <c r="E513" s="327"/>
      <c r="F513" s="327"/>
      <c r="G513" s="327"/>
      <c r="H513" s="327"/>
      <c r="I513" s="327"/>
      <c r="J513" s="327"/>
      <c r="K513" s="327"/>
      <c r="L513" s="327"/>
      <c r="M513" s="327"/>
      <c r="N513" s="327"/>
      <c r="O513" s="327"/>
      <c r="P513" s="327"/>
      <c r="Q513" s="327"/>
      <c r="R513" s="327"/>
      <c r="S513" s="327"/>
      <c r="T513" s="327"/>
      <c r="U513" s="327"/>
      <c r="V513" s="327"/>
      <c r="W513" s="327"/>
      <c r="X513" s="327"/>
      <c r="Y513" s="327"/>
      <c r="Z513" s="327"/>
      <c r="AA513" s="327"/>
      <c r="AB513" s="327"/>
      <c r="AC513" s="327"/>
      <c r="AD513" s="327"/>
      <c r="AE513" s="327"/>
      <c r="AF513" s="327"/>
      <c r="AG513" s="327"/>
      <c r="AH513" s="327"/>
      <c r="AI513" s="327"/>
      <c r="AJ513" s="327"/>
    </row>
    <row r="514" spans="1:36" x14ac:dyDescent="0.25">
      <c r="A514" s="326"/>
      <c r="E514" s="327"/>
      <c r="F514" s="327"/>
      <c r="G514" s="327"/>
      <c r="H514" s="327"/>
      <c r="I514" s="327"/>
      <c r="J514" s="327"/>
      <c r="K514" s="327"/>
      <c r="L514" s="327"/>
      <c r="M514" s="327"/>
      <c r="N514" s="327"/>
      <c r="O514" s="327"/>
      <c r="P514" s="327"/>
      <c r="Q514" s="327"/>
      <c r="R514" s="327"/>
      <c r="S514" s="327"/>
      <c r="T514" s="327"/>
      <c r="U514" s="327"/>
      <c r="V514" s="327"/>
      <c r="W514" s="327"/>
      <c r="X514" s="327"/>
      <c r="Y514" s="327"/>
      <c r="Z514" s="327"/>
      <c r="AA514" s="327"/>
      <c r="AB514" s="327"/>
      <c r="AC514" s="327"/>
      <c r="AD514" s="327"/>
      <c r="AE514" s="327"/>
      <c r="AF514" s="327"/>
      <c r="AG514" s="327"/>
      <c r="AH514" s="327"/>
      <c r="AI514" s="327"/>
      <c r="AJ514" s="327"/>
    </row>
    <row r="515" spans="1:36" x14ac:dyDescent="0.25">
      <c r="A515" s="326"/>
      <c r="E515" s="327"/>
      <c r="F515" s="327"/>
      <c r="G515" s="327"/>
      <c r="H515" s="327"/>
      <c r="I515" s="327"/>
      <c r="J515" s="327"/>
      <c r="K515" s="327"/>
      <c r="L515" s="327"/>
      <c r="M515" s="327"/>
      <c r="N515" s="327"/>
      <c r="O515" s="327"/>
      <c r="P515" s="327"/>
      <c r="Q515" s="327"/>
      <c r="R515" s="327"/>
      <c r="S515" s="327"/>
      <c r="T515" s="327"/>
      <c r="U515" s="327"/>
      <c r="V515" s="327"/>
      <c r="W515" s="327"/>
      <c r="X515" s="327"/>
      <c r="Y515" s="327"/>
      <c r="Z515" s="327"/>
      <c r="AA515" s="327"/>
      <c r="AB515" s="327"/>
      <c r="AC515" s="327"/>
      <c r="AD515" s="327"/>
      <c r="AE515" s="327"/>
      <c r="AF515" s="327"/>
      <c r="AG515" s="327"/>
      <c r="AH515" s="327"/>
      <c r="AI515" s="327"/>
      <c r="AJ515" s="327"/>
    </row>
    <row r="516" spans="1:36" x14ac:dyDescent="0.25">
      <c r="A516" s="326"/>
      <c r="E516" s="327"/>
      <c r="F516" s="327"/>
      <c r="G516" s="327"/>
      <c r="H516" s="327"/>
      <c r="I516" s="327"/>
      <c r="J516" s="327"/>
      <c r="K516" s="327"/>
      <c r="L516" s="327"/>
      <c r="M516" s="327"/>
      <c r="N516" s="327"/>
      <c r="O516" s="327"/>
      <c r="P516" s="327"/>
      <c r="Q516" s="327"/>
      <c r="R516" s="327"/>
      <c r="S516" s="327"/>
      <c r="T516" s="327"/>
      <c r="U516" s="327"/>
      <c r="V516" s="327"/>
      <c r="W516" s="327"/>
      <c r="X516" s="327"/>
      <c r="Y516" s="327"/>
      <c r="Z516" s="327"/>
      <c r="AA516" s="327"/>
      <c r="AB516" s="327"/>
      <c r="AC516" s="327"/>
      <c r="AD516" s="327"/>
      <c r="AE516" s="327"/>
      <c r="AF516" s="327"/>
      <c r="AG516" s="327"/>
      <c r="AH516" s="327"/>
      <c r="AI516" s="327"/>
      <c r="AJ516" s="327"/>
    </row>
    <row r="517" spans="1:36" x14ac:dyDescent="0.25">
      <c r="A517" s="326"/>
      <c r="E517" s="327"/>
      <c r="F517" s="327"/>
      <c r="G517" s="327"/>
      <c r="H517" s="327"/>
      <c r="I517" s="327"/>
      <c r="J517" s="327"/>
      <c r="K517" s="327"/>
      <c r="L517" s="327"/>
      <c r="M517" s="327"/>
      <c r="N517" s="327"/>
      <c r="O517" s="327"/>
      <c r="P517" s="327"/>
      <c r="Q517" s="327"/>
      <c r="R517" s="327"/>
      <c r="S517" s="327"/>
      <c r="T517" s="327"/>
      <c r="U517" s="327"/>
      <c r="V517" s="327"/>
      <c r="W517" s="327"/>
      <c r="X517" s="327"/>
      <c r="Y517" s="327"/>
      <c r="Z517" s="327"/>
      <c r="AA517" s="327"/>
      <c r="AB517" s="327"/>
      <c r="AC517" s="327"/>
      <c r="AD517" s="327"/>
      <c r="AE517" s="327"/>
      <c r="AF517" s="327"/>
      <c r="AG517" s="327"/>
      <c r="AH517" s="327"/>
      <c r="AI517" s="327"/>
      <c r="AJ517" s="327"/>
    </row>
    <row r="518" spans="1:36" x14ac:dyDescent="0.25">
      <c r="A518" s="326"/>
      <c r="E518" s="327"/>
      <c r="F518" s="327"/>
      <c r="G518" s="327"/>
      <c r="H518" s="327"/>
      <c r="I518" s="327"/>
      <c r="J518" s="327"/>
      <c r="K518" s="327"/>
      <c r="L518" s="327"/>
      <c r="M518" s="327"/>
      <c r="N518" s="327"/>
      <c r="O518" s="327"/>
      <c r="P518" s="327"/>
      <c r="Q518" s="327"/>
      <c r="R518" s="327"/>
      <c r="S518" s="327"/>
      <c r="T518" s="327"/>
      <c r="U518" s="327"/>
      <c r="V518" s="327"/>
      <c r="W518" s="327"/>
      <c r="X518" s="327"/>
      <c r="Y518" s="327"/>
      <c r="Z518" s="327"/>
      <c r="AA518" s="327"/>
      <c r="AB518" s="327"/>
      <c r="AC518" s="327"/>
      <c r="AD518" s="327"/>
      <c r="AE518" s="327"/>
      <c r="AF518" s="327"/>
      <c r="AG518" s="327"/>
      <c r="AH518" s="327"/>
      <c r="AI518" s="327"/>
      <c r="AJ518" s="327"/>
    </row>
    <row r="519" spans="1:36" x14ac:dyDescent="0.25">
      <c r="A519" s="326"/>
      <c r="E519" s="327"/>
      <c r="F519" s="327"/>
      <c r="G519" s="327"/>
      <c r="H519" s="327"/>
      <c r="I519" s="327"/>
      <c r="J519" s="327"/>
      <c r="K519" s="327"/>
      <c r="L519" s="327"/>
      <c r="M519" s="327"/>
      <c r="N519" s="327"/>
      <c r="O519" s="327"/>
      <c r="P519" s="327"/>
      <c r="Q519" s="327"/>
      <c r="R519" s="327"/>
      <c r="S519" s="327"/>
      <c r="T519" s="327"/>
      <c r="U519" s="327"/>
      <c r="V519" s="327"/>
      <c r="W519" s="327"/>
      <c r="X519" s="327"/>
      <c r="Y519" s="327"/>
      <c r="Z519" s="327"/>
      <c r="AA519" s="327"/>
      <c r="AB519" s="327"/>
      <c r="AC519" s="327"/>
      <c r="AD519" s="327"/>
      <c r="AE519" s="327"/>
      <c r="AF519" s="327"/>
      <c r="AG519" s="327"/>
      <c r="AH519" s="327"/>
      <c r="AI519" s="327"/>
      <c r="AJ519" s="327"/>
    </row>
    <row r="520" spans="1:36" x14ac:dyDescent="0.25">
      <c r="A520" s="326"/>
      <c r="E520" s="327"/>
      <c r="F520" s="327"/>
      <c r="G520" s="327"/>
      <c r="H520" s="327"/>
      <c r="I520" s="327"/>
      <c r="J520" s="327"/>
      <c r="K520" s="327"/>
      <c r="L520" s="327"/>
      <c r="M520" s="327"/>
      <c r="N520" s="327"/>
      <c r="O520" s="327"/>
      <c r="P520" s="327"/>
      <c r="Q520" s="327"/>
      <c r="R520" s="327"/>
      <c r="S520" s="327"/>
      <c r="T520" s="327"/>
      <c r="U520" s="327"/>
      <c r="V520" s="327"/>
      <c r="W520" s="327"/>
      <c r="X520" s="327"/>
      <c r="Y520" s="327"/>
      <c r="Z520" s="327"/>
      <c r="AA520" s="327"/>
      <c r="AB520" s="327"/>
      <c r="AC520" s="327"/>
      <c r="AD520" s="327"/>
      <c r="AE520" s="327"/>
      <c r="AF520" s="327"/>
      <c r="AG520" s="327"/>
      <c r="AH520" s="327"/>
      <c r="AI520" s="327"/>
      <c r="AJ520" s="327"/>
    </row>
    <row r="521" spans="1:36" x14ac:dyDescent="0.25">
      <c r="A521" s="326"/>
      <c r="E521" s="327"/>
      <c r="F521" s="327"/>
      <c r="G521" s="327"/>
      <c r="H521" s="327"/>
      <c r="I521" s="327"/>
      <c r="J521" s="327"/>
      <c r="K521" s="327"/>
      <c r="L521" s="327"/>
      <c r="M521" s="327"/>
      <c r="N521" s="327"/>
      <c r="O521" s="327"/>
      <c r="P521" s="327"/>
      <c r="Q521" s="327"/>
      <c r="R521" s="327"/>
      <c r="S521" s="327"/>
      <c r="T521" s="327"/>
      <c r="U521" s="327"/>
      <c r="V521" s="327"/>
      <c r="W521" s="327"/>
      <c r="X521" s="327"/>
      <c r="Y521" s="327"/>
      <c r="Z521" s="327"/>
      <c r="AA521" s="327"/>
      <c r="AB521" s="327"/>
      <c r="AC521" s="327"/>
      <c r="AD521" s="327"/>
      <c r="AE521" s="327"/>
      <c r="AF521" s="327"/>
      <c r="AG521" s="327"/>
      <c r="AH521" s="327"/>
      <c r="AI521" s="327"/>
      <c r="AJ521" s="327"/>
    </row>
    <row r="522" spans="1:36" x14ac:dyDescent="0.25">
      <c r="A522" s="326"/>
      <c r="E522" s="327"/>
      <c r="F522" s="327"/>
      <c r="G522" s="327"/>
      <c r="H522" s="327"/>
      <c r="I522" s="327"/>
      <c r="J522" s="327"/>
      <c r="K522" s="327"/>
      <c r="L522" s="327"/>
      <c r="M522" s="327"/>
      <c r="N522" s="327"/>
      <c r="O522" s="327"/>
      <c r="P522" s="327"/>
      <c r="Q522" s="327"/>
      <c r="R522" s="327"/>
      <c r="S522" s="327"/>
      <c r="T522" s="327"/>
      <c r="U522" s="327"/>
      <c r="V522" s="327"/>
      <c r="W522" s="327"/>
      <c r="X522" s="327"/>
      <c r="Y522" s="327"/>
      <c r="Z522" s="327"/>
      <c r="AA522" s="327"/>
      <c r="AB522" s="327"/>
      <c r="AC522" s="327"/>
      <c r="AD522" s="327"/>
      <c r="AE522" s="327"/>
      <c r="AF522" s="327"/>
      <c r="AG522" s="327"/>
      <c r="AH522" s="327"/>
      <c r="AI522" s="327"/>
      <c r="AJ522" s="327"/>
    </row>
    <row r="523" spans="1:36" x14ac:dyDescent="0.25">
      <c r="A523" s="326"/>
      <c r="E523" s="327"/>
      <c r="F523" s="327"/>
      <c r="G523" s="327"/>
      <c r="H523" s="327"/>
      <c r="I523" s="327"/>
      <c r="J523" s="327"/>
      <c r="K523" s="327"/>
      <c r="L523" s="327"/>
      <c r="M523" s="327"/>
      <c r="N523" s="327"/>
      <c r="O523" s="327"/>
      <c r="P523" s="327"/>
      <c r="Q523" s="327"/>
      <c r="R523" s="327"/>
      <c r="S523" s="327"/>
      <c r="T523" s="327"/>
      <c r="U523" s="327"/>
      <c r="V523" s="327"/>
      <c r="W523" s="327"/>
      <c r="X523" s="327"/>
      <c r="Y523" s="327"/>
      <c r="Z523" s="327"/>
      <c r="AA523" s="327"/>
      <c r="AB523" s="327"/>
      <c r="AC523" s="327"/>
      <c r="AD523" s="327"/>
      <c r="AE523" s="327"/>
      <c r="AF523" s="327"/>
      <c r="AG523" s="327"/>
      <c r="AH523" s="327"/>
      <c r="AI523" s="327"/>
      <c r="AJ523" s="327"/>
    </row>
    <row r="524" spans="1:36" x14ac:dyDescent="0.25">
      <c r="A524" s="326"/>
      <c r="E524" s="327"/>
      <c r="F524" s="327"/>
      <c r="G524" s="327"/>
      <c r="H524" s="327"/>
      <c r="I524" s="327"/>
      <c r="J524" s="327"/>
      <c r="K524" s="327"/>
      <c r="L524" s="327"/>
      <c r="M524" s="327"/>
      <c r="N524" s="327"/>
      <c r="O524" s="327"/>
      <c r="P524" s="327"/>
      <c r="Q524" s="327"/>
      <c r="R524" s="327"/>
      <c r="S524" s="327"/>
      <c r="T524" s="327"/>
      <c r="U524" s="327"/>
      <c r="V524" s="327"/>
      <c r="W524" s="327"/>
      <c r="X524" s="327"/>
      <c r="Y524" s="327"/>
      <c r="Z524" s="327"/>
      <c r="AA524" s="327"/>
      <c r="AB524" s="327"/>
      <c r="AC524" s="327"/>
      <c r="AD524" s="327"/>
      <c r="AE524" s="327"/>
      <c r="AF524" s="327"/>
      <c r="AG524" s="327"/>
      <c r="AH524" s="327"/>
      <c r="AI524" s="327"/>
      <c r="AJ524" s="327"/>
    </row>
    <row r="525" spans="1:36" x14ac:dyDescent="0.25">
      <c r="A525" s="326"/>
      <c r="E525" s="327"/>
      <c r="F525" s="327"/>
      <c r="G525" s="327"/>
      <c r="H525" s="327"/>
      <c r="I525" s="327"/>
      <c r="J525" s="327"/>
      <c r="K525" s="327"/>
      <c r="L525" s="327"/>
      <c r="M525" s="327"/>
      <c r="N525" s="327"/>
      <c r="O525" s="327"/>
      <c r="P525" s="327"/>
      <c r="Q525" s="327"/>
      <c r="R525" s="327"/>
      <c r="S525" s="327"/>
      <c r="T525" s="327"/>
      <c r="U525" s="327"/>
      <c r="V525" s="327"/>
      <c r="W525" s="327"/>
      <c r="X525" s="327"/>
      <c r="Y525" s="327"/>
      <c r="Z525" s="327"/>
      <c r="AA525" s="327"/>
      <c r="AB525" s="327"/>
      <c r="AC525" s="327"/>
      <c r="AD525" s="327"/>
      <c r="AE525" s="327"/>
      <c r="AF525" s="327"/>
      <c r="AG525" s="327"/>
      <c r="AH525" s="327"/>
      <c r="AI525" s="327"/>
      <c r="AJ525" s="327"/>
    </row>
    <row r="526" spans="1:36" x14ac:dyDescent="0.25">
      <c r="A526" s="326"/>
      <c r="E526" s="327"/>
      <c r="F526" s="327"/>
      <c r="G526" s="327"/>
      <c r="H526" s="327"/>
      <c r="I526" s="327"/>
      <c r="J526" s="327"/>
      <c r="K526" s="327"/>
      <c r="L526" s="327"/>
      <c r="M526" s="327"/>
      <c r="N526" s="327"/>
      <c r="O526" s="327"/>
      <c r="P526" s="327"/>
      <c r="Q526" s="327"/>
      <c r="R526" s="327"/>
      <c r="S526" s="327"/>
      <c r="T526" s="327"/>
      <c r="U526" s="327"/>
      <c r="V526" s="327"/>
      <c r="W526" s="327"/>
      <c r="X526" s="327"/>
      <c r="Y526" s="327"/>
      <c r="Z526" s="327"/>
      <c r="AA526" s="327"/>
      <c r="AB526" s="327"/>
      <c r="AC526" s="327"/>
      <c r="AD526" s="327"/>
      <c r="AE526" s="327"/>
      <c r="AF526" s="327"/>
      <c r="AG526" s="327"/>
      <c r="AH526" s="327"/>
      <c r="AI526" s="327"/>
      <c r="AJ526" s="327"/>
    </row>
    <row r="527" spans="1:36" x14ac:dyDescent="0.25">
      <c r="A527" s="326"/>
      <c r="E527" s="327"/>
      <c r="F527" s="327"/>
      <c r="G527" s="327"/>
      <c r="H527" s="327"/>
      <c r="I527" s="327"/>
      <c r="J527" s="327"/>
      <c r="K527" s="327"/>
      <c r="L527" s="327"/>
      <c r="M527" s="327"/>
      <c r="N527" s="327"/>
      <c r="O527" s="327"/>
      <c r="P527" s="327"/>
      <c r="Q527" s="327"/>
      <c r="R527" s="327"/>
      <c r="S527" s="327"/>
      <c r="T527" s="327"/>
      <c r="U527" s="327"/>
      <c r="V527" s="327"/>
      <c r="W527" s="327"/>
      <c r="X527" s="327"/>
      <c r="Y527" s="327"/>
      <c r="Z527" s="327"/>
      <c r="AA527" s="327"/>
      <c r="AB527" s="327"/>
      <c r="AC527" s="327"/>
      <c r="AD527" s="327"/>
      <c r="AE527" s="327"/>
      <c r="AF527" s="327"/>
      <c r="AG527" s="327"/>
      <c r="AH527" s="327"/>
      <c r="AI527" s="327"/>
      <c r="AJ527" s="327"/>
    </row>
    <row r="528" spans="1:36" x14ac:dyDescent="0.25">
      <c r="E528" s="327"/>
      <c r="F528" s="327"/>
      <c r="G528" s="327"/>
      <c r="H528" s="327"/>
      <c r="I528" s="327"/>
      <c r="J528" s="327"/>
      <c r="K528" s="327"/>
      <c r="L528" s="327"/>
      <c r="M528" s="327"/>
      <c r="N528" s="327"/>
      <c r="O528" s="327"/>
      <c r="P528" s="327"/>
      <c r="Q528" s="327"/>
      <c r="R528" s="327"/>
      <c r="S528" s="327"/>
      <c r="T528" s="327"/>
      <c r="U528" s="327"/>
      <c r="V528" s="327"/>
      <c r="W528" s="327"/>
      <c r="X528" s="327"/>
      <c r="Y528" s="327"/>
      <c r="Z528" s="327"/>
      <c r="AA528" s="327"/>
      <c r="AB528" s="327"/>
      <c r="AC528" s="327"/>
      <c r="AD528" s="327"/>
      <c r="AE528" s="327"/>
      <c r="AF528" s="327"/>
      <c r="AG528" s="327"/>
      <c r="AH528" s="327"/>
      <c r="AI528" s="327"/>
      <c r="AJ528" s="327"/>
    </row>
    <row r="529" spans="1:36" x14ac:dyDescent="0.25">
      <c r="E529" s="327"/>
      <c r="F529" s="327"/>
      <c r="G529" s="327"/>
      <c r="H529" s="327"/>
      <c r="I529" s="327"/>
      <c r="J529" s="327"/>
      <c r="K529" s="327"/>
      <c r="L529" s="327"/>
      <c r="M529" s="327"/>
      <c r="N529" s="327"/>
      <c r="O529" s="327"/>
      <c r="P529" s="327"/>
      <c r="Q529" s="327"/>
      <c r="R529" s="327"/>
      <c r="S529" s="327"/>
      <c r="T529" s="327"/>
      <c r="U529" s="327"/>
      <c r="V529" s="327"/>
      <c r="W529" s="327"/>
      <c r="X529" s="327"/>
      <c r="Y529" s="327"/>
      <c r="Z529" s="327"/>
      <c r="AA529" s="327"/>
      <c r="AB529" s="327"/>
      <c r="AC529" s="327"/>
      <c r="AD529" s="327"/>
      <c r="AE529" s="327"/>
      <c r="AF529" s="327"/>
      <c r="AG529" s="327"/>
      <c r="AH529" s="327"/>
      <c r="AI529" s="327"/>
      <c r="AJ529" s="327"/>
    </row>
    <row r="530" spans="1:36" x14ac:dyDescent="0.25">
      <c r="E530" s="327"/>
      <c r="F530" s="327"/>
      <c r="G530" s="327"/>
      <c r="H530" s="327"/>
      <c r="I530" s="327"/>
      <c r="J530" s="327"/>
      <c r="K530" s="327"/>
      <c r="L530" s="327"/>
      <c r="M530" s="327"/>
      <c r="N530" s="327"/>
      <c r="O530" s="327"/>
      <c r="P530" s="327"/>
      <c r="Q530" s="327"/>
      <c r="R530" s="327"/>
      <c r="S530" s="327"/>
      <c r="T530" s="327"/>
      <c r="U530" s="327"/>
      <c r="V530" s="327"/>
      <c r="W530" s="327"/>
      <c r="X530" s="327"/>
      <c r="Y530" s="327"/>
      <c r="Z530" s="327"/>
      <c r="AA530" s="327"/>
      <c r="AB530" s="327"/>
      <c r="AC530" s="327"/>
      <c r="AD530" s="327"/>
      <c r="AE530" s="327"/>
      <c r="AF530" s="327"/>
      <c r="AG530" s="327"/>
      <c r="AH530" s="327"/>
      <c r="AI530" s="327"/>
      <c r="AJ530" s="327"/>
    </row>
    <row r="531" spans="1:36" x14ac:dyDescent="0.25">
      <c r="E531" s="327"/>
      <c r="F531" s="327"/>
      <c r="G531" s="327"/>
      <c r="H531" s="327"/>
      <c r="I531" s="327"/>
      <c r="J531" s="327"/>
      <c r="K531" s="327"/>
      <c r="L531" s="327"/>
      <c r="M531" s="327"/>
      <c r="N531" s="327"/>
      <c r="O531" s="327"/>
      <c r="P531" s="327"/>
      <c r="Q531" s="327"/>
      <c r="R531" s="327"/>
      <c r="S531" s="327"/>
      <c r="T531" s="327"/>
      <c r="U531" s="327"/>
      <c r="V531" s="327"/>
      <c r="W531" s="327"/>
      <c r="X531" s="327"/>
      <c r="Y531" s="327"/>
      <c r="Z531" s="327"/>
      <c r="AA531" s="327"/>
      <c r="AB531" s="327"/>
      <c r="AC531" s="327"/>
      <c r="AD531" s="327"/>
      <c r="AE531" s="327"/>
      <c r="AF531" s="327"/>
      <c r="AG531" s="327"/>
      <c r="AH531" s="327"/>
      <c r="AI531" s="327"/>
      <c r="AJ531" s="327"/>
    </row>
    <row r="532" spans="1:36" x14ac:dyDescent="0.25">
      <c r="E532" s="327"/>
      <c r="F532" s="327"/>
      <c r="G532" s="327"/>
      <c r="H532" s="327"/>
      <c r="I532" s="327"/>
      <c r="J532" s="327"/>
      <c r="K532" s="327"/>
      <c r="L532" s="327"/>
      <c r="M532" s="327"/>
      <c r="N532" s="327"/>
      <c r="O532" s="327"/>
      <c r="P532" s="327"/>
      <c r="Q532" s="327"/>
      <c r="R532" s="327"/>
      <c r="S532" s="327"/>
      <c r="T532" s="327"/>
      <c r="U532" s="327"/>
      <c r="V532" s="327"/>
      <c r="W532" s="327"/>
      <c r="X532" s="327"/>
      <c r="Y532" s="327"/>
      <c r="Z532" s="327"/>
      <c r="AA532" s="327"/>
      <c r="AB532" s="327"/>
      <c r="AC532" s="327"/>
      <c r="AD532" s="327"/>
      <c r="AE532" s="327"/>
      <c r="AF532" s="327"/>
      <c r="AG532" s="327"/>
      <c r="AH532" s="327"/>
      <c r="AI532" s="327"/>
      <c r="AJ532" s="327"/>
    </row>
    <row r="533" spans="1:36" x14ac:dyDescent="0.25">
      <c r="E533" s="327"/>
      <c r="F533" s="327"/>
      <c r="G533" s="327"/>
      <c r="H533" s="327"/>
      <c r="I533" s="327"/>
      <c r="J533" s="327"/>
      <c r="K533" s="327"/>
      <c r="L533" s="327"/>
      <c r="M533" s="327"/>
      <c r="N533" s="327"/>
      <c r="O533" s="327"/>
      <c r="P533" s="327"/>
      <c r="Q533" s="327"/>
      <c r="R533" s="327"/>
      <c r="S533" s="327"/>
      <c r="T533" s="327"/>
      <c r="U533" s="327"/>
      <c r="V533" s="327"/>
      <c r="W533" s="327"/>
      <c r="X533" s="327"/>
      <c r="Y533" s="327"/>
      <c r="Z533" s="327"/>
      <c r="AA533" s="327"/>
      <c r="AB533" s="327"/>
      <c r="AC533" s="327"/>
      <c r="AD533" s="327"/>
      <c r="AE533" s="327"/>
      <c r="AF533" s="327"/>
      <c r="AG533" s="327"/>
      <c r="AH533" s="327"/>
      <c r="AI533" s="327"/>
      <c r="AJ533" s="327"/>
    </row>
    <row r="534" spans="1:36" x14ac:dyDescent="0.25">
      <c r="E534" s="327"/>
      <c r="F534" s="327"/>
      <c r="G534" s="327"/>
      <c r="H534" s="327"/>
      <c r="I534" s="327"/>
      <c r="J534" s="327"/>
      <c r="K534" s="327"/>
      <c r="L534" s="327"/>
      <c r="M534" s="327"/>
      <c r="N534" s="327"/>
      <c r="O534" s="327"/>
      <c r="P534" s="327"/>
      <c r="Q534" s="327"/>
      <c r="R534" s="327"/>
      <c r="S534" s="327"/>
      <c r="T534" s="327"/>
      <c r="U534" s="327"/>
      <c r="V534" s="327"/>
      <c r="W534" s="327"/>
      <c r="X534" s="327"/>
      <c r="Y534" s="327"/>
      <c r="Z534" s="327"/>
      <c r="AA534" s="327"/>
      <c r="AB534" s="327"/>
      <c r="AC534" s="327"/>
      <c r="AD534" s="327"/>
      <c r="AE534" s="327"/>
      <c r="AF534" s="327"/>
      <c r="AG534" s="327"/>
      <c r="AH534" s="327"/>
      <c r="AI534" s="327"/>
      <c r="AJ534" s="327"/>
    </row>
    <row r="535" spans="1:36" x14ac:dyDescent="0.25">
      <c r="A535" s="325"/>
      <c r="E535" s="327"/>
      <c r="F535" s="327"/>
      <c r="G535" s="327"/>
      <c r="H535" s="327"/>
      <c r="I535" s="327"/>
      <c r="J535" s="327"/>
      <c r="K535" s="327"/>
      <c r="L535" s="327"/>
      <c r="M535" s="327"/>
      <c r="N535" s="327"/>
      <c r="O535" s="327"/>
      <c r="P535" s="327"/>
      <c r="Q535" s="327"/>
      <c r="R535" s="327"/>
      <c r="S535" s="327"/>
      <c r="T535" s="327"/>
      <c r="U535" s="327"/>
      <c r="V535" s="327"/>
      <c r="W535" s="327"/>
      <c r="X535" s="327"/>
      <c r="Y535" s="327"/>
      <c r="Z535" s="327"/>
      <c r="AA535" s="327"/>
      <c r="AB535" s="327"/>
      <c r="AC535" s="327"/>
      <c r="AD535" s="327"/>
      <c r="AE535" s="327"/>
      <c r="AF535" s="327"/>
      <c r="AG535" s="327"/>
      <c r="AH535" s="327"/>
      <c r="AI535" s="327"/>
      <c r="AJ535" s="327"/>
    </row>
    <row r="536" spans="1:36" x14ac:dyDescent="0.25">
      <c r="A536" s="326"/>
      <c r="E536" s="327"/>
      <c r="F536" s="327"/>
      <c r="G536" s="327"/>
      <c r="H536" s="327"/>
      <c r="I536" s="327"/>
      <c r="J536" s="327"/>
      <c r="K536" s="327"/>
      <c r="L536" s="327"/>
      <c r="M536" s="327"/>
      <c r="N536" s="327"/>
      <c r="O536" s="327"/>
      <c r="P536" s="327"/>
      <c r="Q536" s="327"/>
      <c r="R536" s="327"/>
      <c r="S536" s="327"/>
      <c r="T536" s="327"/>
      <c r="U536" s="327"/>
      <c r="V536" s="327"/>
      <c r="W536" s="327"/>
      <c r="X536" s="327"/>
      <c r="Y536" s="327"/>
      <c r="Z536" s="327"/>
      <c r="AA536" s="327"/>
      <c r="AB536" s="327"/>
      <c r="AC536" s="327"/>
      <c r="AD536" s="327"/>
      <c r="AE536" s="327"/>
      <c r="AF536" s="327"/>
      <c r="AG536" s="327"/>
      <c r="AH536" s="327"/>
      <c r="AI536" s="327"/>
      <c r="AJ536" s="327"/>
    </row>
    <row r="537" spans="1:36" x14ac:dyDescent="0.25">
      <c r="A537" s="326"/>
      <c r="E537" s="327"/>
      <c r="F537" s="327"/>
      <c r="G537" s="327"/>
      <c r="H537" s="327"/>
      <c r="I537" s="327"/>
      <c r="J537" s="327"/>
      <c r="K537" s="327"/>
      <c r="L537" s="327"/>
      <c r="M537" s="327"/>
      <c r="N537" s="327"/>
      <c r="O537" s="327"/>
      <c r="P537" s="327"/>
      <c r="Q537" s="327"/>
      <c r="R537" s="327"/>
      <c r="S537" s="327"/>
      <c r="T537" s="327"/>
      <c r="U537" s="327"/>
      <c r="V537" s="327"/>
      <c r="W537" s="327"/>
      <c r="X537" s="327"/>
      <c r="Y537" s="327"/>
      <c r="Z537" s="327"/>
      <c r="AA537" s="327"/>
      <c r="AB537" s="327"/>
      <c r="AC537" s="327"/>
      <c r="AD537" s="327"/>
      <c r="AE537" s="327"/>
      <c r="AF537" s="327"/>
      <c r="AG537" s="327"/>
      <c r="AH537" s="327"/>
      <c r="AI537" s="327"/>
      <c r="AJ537" s="327"/>
    </row>
    <row r="538" spans="1:36" x14ac:dyDescent="0.25">
      <c r="A538" s="326"/>
      <c r="E538" s="327"/>
      <c r="F538" s="327"/>
      <c r="G538" s="327"/>
      <c r="H538" s="327"/>
      <c r="I538" s="327"/>
      <c r="J538" s="327"/>
      <c r="K538" s="327"/>
      <c r="L538" s="327"/>
      <c r="M538" s="327"/>
      <c r="N538" s="327"/>
      <c r="O538" s="327"/>
      <c r="P538" s="327"/>
      <c r="Q538" s="327"/>
      <c r="R538" s="327"/>
      <c r="S538" s="327"/>
      <c r="T538" s="327"/>
      <c r="U538" s="327"/>
      <c r="V538" s="327"/>
      <c r="W538" s="327"/>
      <c r="X538" s="327"/>
      <c r="Y538" s="327"/>
      <c r="Z538" s="327"/>
      <c r="AA538" s="327"/>
      <c r="AB538" s="327"/>
      <c r="AC538" s="327"/>
      <c r="AD538" s="327"/>
      <c r="AE538" s="327"/>
      <c r="AF538" s="327"/>
      <c r="AG538" s="327"/>
      <c r="AH538" s="327"/>
      <c r="AI538" s="327"/>
      <c r="AJ538" s="327"/>
    </row>
    <row r="539" spans="1:36" x14ac:dyDescent="0.25">
      <c r="A539" s="326"/>
      <c r="E539" s="327"/>
      <c r="F539" s="327"/>
      <c r="G539" s="327"/>
      <c r="H539" s="327"/>
      <c r="I539" s="327"/>
      <c r="J539" s="327"/>
      <c r="K539" s="327"/>
      <c r="L539" s="327"/>
      <c r="M539" s="327"/>
      <c r="N539" s="327"/>
      <c r="O539" s="327"/>
      <c r="P539" s="327"/>
      <c r="Q539" s="327"/>
      <c r="R539" s="327"/>
      <c r="S539" s="327"/>
      <c r="T539" s="327"/>
      <c r="U539" s="327"/>
      <c r="V539" s="327"/>
      <c r="W539" s="327"/>
      <c r="X539" s="327"/>
      <c r="Y539" s="327"/>
      <c r="Z539" s="327"/>
      <c r="AA539" s="327"/>
      <c r="AB539" s="327"/>
      <c r="AC539" s="327"/>
      <c r="AD539" s="327"/>
      <c r="AE539" s="327"/>
      <c r="AF539" s="327"/>
      <c r="AG539" s="327"/>
      <c r="AH539" s="327"/>
      <c r="AI539" s="327"/>
      <c r="AJ539" s="327"/>
    </row>
    <row r="540" spans="1:36" x14ac:dyDescent="0.25">
      <c r="A540" s="326"/>
      <c r="E540" s="327"/>
      <c r="F540" s="327"/>
      <c r="G540" s="327"/>
      <c r="H540" s="327"/>
      <c r="I540" s="327"/>
      <c r="J540" s="327"/>
      <c r="K540" s="327"/>
      <c r="L540" s="327"/>
      <c r="M540" s="327"/>
      <c r="N540" s="327"/>
      <c r="O540" s="327"/>
      <c r="P540" s="327"/>
      <c r="Q540" s="327"/>
      <c r="R540" s="327"/>
      <c r="S540" s="327"/>
      <c r="T540" s="327"/>
      <c r="U540" s="327"/>
      <c r="V540" s="327"/>
      <c r="W540" s="327"/>
      <c r="X540" s="327"/>
      <c r="Y540" s="327"/>
      <c r="Z540" s="327"/>
      <c r="AA540" s="327"/>
      <c r="AB540" s="327"/>
      <c r="AC540" s="327"/>
      <c r="AD540" s="327"/>
      <c r="AE540" s="327"/>
      <c r="AF540" s="327"/>
      <c r="AG540" s="327"/>
      <c r="AH540" s="327"/>
      <c r="AI540" s="327"/>
      <c r="AJ540" s="327"/>
    </row>
    <row r="541" spans="1:36" x14ac:dyDescent="0.25">
      <c r="A541" s="326"/>
      <c r="E541" s="327"/>
      <c r="F541" s="327"/>
      <c r="G541" s="327"/>
      <c r="H541" s="327"/>
      <c r="I541" s="327"/>
      <c r="J541" s="327"/>
      <c r="K541" s="327"/>
      <c r="L541" s="327"/>
      <c r="M541" s="327"/>
      <c r="N541" s="327"/>
      <c r="O541" s="327"/>
      <c r="P541" s="327"/>
      <c r="Q541" s="327"/>
      <c r="R541" s="327"/>
      <c r="S541" s="327"/>
      <c r="T541" s="327"/>
      <c r="U541" s="327"/>
      <c r="V541" s="327"/>
      <c r="W541" s="327"/>
      <c r="X541" s="327"/>
      <c r="Y541" s="327"/>
      <c r="Z541" s="327"/>
      <c r="AA541" s="327"/>
      <c r="AB541" s="327"/>
      <c r="AC541" s="327"/>
      <c r="AD541" s="327"/>
      <c r="AE541" s="327"/>
      <c r="AF541" s="327"/>
      <c r="AG541" s="327"/>
      <c r="AH541" s="327"/>
      <c r="AI541" s="327"/>
      <c r="AJ541" s="327"/>
    </row>
    <row r="542" spans="1:36" x14ac:dyDescent="0.25">
      <c r="A542" s="326"/>
      <c r="E542" s="327"/>
      <c r="F542" s="327"/>
      <c r="G542" s="327"/>
      <c r="H542" s="327"/>
      <c r="I542" s="327"/>
      <c r="J542" s="327"/>
      <c r="K542" s="327"/>
      <c r="L542" s="327"/>
      <c r="M542" s="327"/>
      <c r="N542" s="327"/>
      <c r="O542" s="327"/>
      <c r="P542" s="327"/>
      <c r="Q542" s="327"/>
      <c r="R542" s="327"/>
      <c r="S542" s="327"/>
      <c r="T542" s="327"/>
      <c r="U542" s="327"/>
      <c r="V542" s="327"/>
      <c r="W542" s="327"/>
      <c r="X542" s="327"/>
      <c r="Y542" s="327"/>
      <c r="Z542" s="327"/>
      <c r="AA542" s="327"/>
      <c r="AB542" s="327"/>
      <c r="AC542" s="327"/>
      <c r="AD542" s="327"/>
      <c r="AE542" s="327"/>
      <c r="AF542" s="327"/>
      <c r="AG542" s="327"/>
      <c r="AH542" s="327"/>
      <c r="AI542" s="327"/>
      <c r="AJ542" s="327"/>
    </row>
    <row r="543" spans="1:36" x14ac:dyDescent="0.25">
      <c r="A543" s="326"/>
      <c r="E543" s="327"/>
      <c r="F543" s="327"/>
      <c r="G543" s="327"/>
      <c r="H543" s="327"/>
      <c r="I543" s="327"/>
      <c r="J543" s="327"/>
      <c r="K543" s="327"/>
      <c r="L543" s="327"/>
      <c r="M543" s="327"/>
      <c r="N543" s="327"/>
      <c r="O543" s="327"/>
      <c r="P543" s="327"/>
      <c r="Q543" s="327"/>
      <c r="R543" s="327"/>
      <c r="S543" s="327"/>
      <c r="T543" s="327"/>
      <c r="U543" s="327"/>
      <c r="V543" s="327"/>
      <c r="W543" s="327"/>
      <c r="X543" s="327"/>
      <c r="Y543" s="327"/>
      <c r="Z543" s="327"/>
      <c r="AA543" s="327"/>
      <c r="AB543" s="327"/>
      <c r="AC543" s="327"/>
      <c r="AD543" s="327"/>
      <c r="AE543" s="327"/>
      <c r="AF543" s="327"/>
      <c r="AG543" s="327"/>
      <c r="AH543" s="327"/>
      <c r="AI543" s="327"/>
      <c r="AJ543" s="327"/>
    </row>
    <row r="544" spans="1:36" x14ac:dyDescent="0.25">
      <c r="A544" s="326"/>
      <c r="E544" s="327"/>
      <c r="F544" s="327"/>
      <c r="G544" s="327"/>
      <c r="H544" s="327"/>
      <c r="I544" s="327"/>
      <c r="J544" s="327"/>
      <c r="K544" s="327"/>
      <c r="L544" s="327"/>
      <c r="M544" s="327"/>
      <c r="N544" s="327"/>
      <c r="O544" s="327"/>
      <c r="P544" s="327"/>
      <c r="Q544" s="327"/>
      <c r="R544" s="327"/>
      <c r="S544" s="327"/>
      <c r="T544" s="327"/>
      <c r="U544" s="327"/>
      <c r="V544" s="327"/>
      <c r="W544" s="327"/>
      <c r="X544" s="327"/>
      <c r="Y544" s="327"/>
      <c r="Z544" s="327"/>
      <c r="AA544" s="327"/>
      <c r="AB544" s="327"/>
      <c r="AC544" s="327"/>
      <c r="AD544" s="327"/>
      <c r="AE544" s="327"/>
      <c r="AF544" s="327"/>
      <c r="AG544" s="327"/>
      <c r="AH544" s="327"/>
      <c r="AI544" s="327"/>
      <c r="AJ544" s="327"/>
    </row>
    <row r="545" spans="1:36" x14ac:dyDescent="0.25">
      <c r="A545" s="326"/>
      <c r="E545" s="327"/>
      <c r="F545" s="327"/>
      <c r="G545" s="327"/>
      <c r="H545" s="327"/>
      <c r="I545" s="327"/>
      <c r="J545" s="327"/>
      <c r="K545" s="327"/>
      <c r="L545" s="327"/>
      <c r="M545" s="327"/>
      <c r="N545" s="327"/>
      <c r="O545" s="327"/>
      <c r="P545" s="327"/>
      <c r="Q545" s="327"/>
      <c r="R545" s="327"/>
      <c r="S545" s="327"/>
      <c r="T545" s="327"/>
      <c r="U545" s="327"/>
      <c r="V545" s="327"/>
      <c r="W545" s="327"/>
      <c r="X545" s="327"/>
      <c r="Y545" s="327"/>
      <c r="Z545" s="327"/>
      <c r="AA545" s="327"/>
      <c r="AB545" s="327"/>
      <c r="AC545" s="327"/>
      <c r="AD545" s="327"/>
      <c r="AE545" s="327"/>
      <c r="AF545" s="327"/>
      <c r="AG545" s="327"/>
      <c r="AH545" s="327"/>
      <c r="AI545" s="327"/>
      <c r="AJ545" s="327"/>
    </row>
    <row r="546" spans="1:36" x14ac:dyDescent="0.25">
      <c r="A546" s="326"/>
      <c r="E546" s="327"/>
      <c r="F546" s="327"/>
      <c r="G546" s="327"/>
      <c r="H546" s="327"/>
      <c r="I546" s="327"/>
      <c r="J546" s="327"/>
      <c r="K546" s="327"/>
      <c r="L546" s="327"/>
      <c r="M546" s="327"/>
      <c r="N546" s="327"/>
      <c r="O546" s="327"/>
      <c r="P546" s="327"/>
      <c r="Q546" s="327"/>
      <c r="R546" s="327"/>
      <c r="S546" s="327"/>
      <c r="T546" s="327"/>
      <c r="U546" s="327"/>
      <c r="V546" s="327"/>
      <c r="W546" s="327"/>
      <c r="X546" s="327"/>
      <c r="Y546" s="327"/>
      <c r="Z546" s="327"/>
      <c r="AA546" s="327"/>
      <c r="AB546" s="327"/>
      <c r="AC546" s="327"/>
      <c r="AD546" s="327"/>
      <c r="AE546" s="327"/>
      <c r="AF546" s="327"/>
      <c r="AG546" s="327"/>
      <c r="AH546" s="327"/>
      <c r="AI546" s="327"/>
      <c r="AJ546" s="327"/>
    </row>
    <row r="547" spans="1:36" x14ac:dyDescent="0.25">
      <c r="A547" s="326"/>
      <c r="E547" s="327"/>
      <c r="F547" s="327"/>
      <c r="G547" s="327"/>
      <c r="H547" s="327"/>
      <c r="I547" s="327"/>
      <c r="J547" s="327"/>
      <c r="K547" s="327"/>
      <c r="L547" s="327"/>
      <c r="M547" s="327"/>
      <c r="N547" s="327"/>
      <c r="O547" s="327"/>
      <c r="P547" s="327"/>
      <c r="Q547" s="327"/>
      <c r="R547" s="327"/>
      <c r="S547" s="327"/>
      <c r="T547" s="327"/>
      <c r="U547" s="327"/>
      <c r="V547" s="327"/>
      <c r="W547" s="327"/>
      <c r="X547" s="327"/>
      <c r="Y547" s="327"/>
      <c r="Z547" s="327"/>
      <c r="AA547" s="327"/>
      <c r="AB547" s="327"/>
      <c r="AC547" s="327"/>
      <c r="AD547" s="327"/>
      <c r="AE547" s="327"/>
      <c r="AF547" s="327"/>
      <c r="AG547" s="327"/>
      <c r="AH547" s="327"/>
      <c r="AI547" s="327"/>
      <c r="AJ547" s="327"/>
    </row>
    <row r="548" spans="1:36" x14ac:dyDescent="0.25">
      <c r="A548" s="326"/>
      <c r="E548" s="327"/>
      <c r="F548" s="327"/>
      <c r="G548" s="327"/>
      <c r="H548" s="327"/>
      <c r="I548" s="327"/>
      <c r="J548" s="327"/>
      <c r="K548" s="327"/>
      <c r="L548" s="327"/>
      <c r="M548" s="327"/>
      <c r="N548" s="327"/>
      <c r="O548" s="327"/>
      <c r="P548" s="327"/>
      <c r="Q548" s="327"/>
      <c r="R548" s="327"/>
      <c r="S548" s="327"/>
      <c r="T548" s="327"/>
      <c r="U548" s="327"/>
      <c r="V548" s="327"/>
      <c r="W548" s="327"/>
      <c r="X548" s="327"/>
      <c r="Y548" s="327"/>
      <c r="Z548" s="327"/>
      <c r="AA548" s="327"/>
      <c r="AB548" s="327"/>
      <c r="AC548" s="327"/>
      <c r="AD548" s="327"/>
      <c r="AE548" s="327"/>
      <c r="AF548" s="327"/>
      <c r="AG548" s="327"/>
      <c r="AH548" s="327"/>
      <c r="AI548" s="327"/>
      <c r="AJ548" s="327"/>
    </row>
    <row r="549" spans="1:36" x14ac:dyDescent="0.25">
      <c r="A549" s="326"/>
      <c r="E549" s="327"/>
      <c r="F549" s="327"/>
      <c r="G549" s="327"/>
      <c r="H549" s="327"/>
      <c r="I549" s="327"/>
      <c r="J549" s="327"/>
      <c r="K549" s="327"/>
      <c r="L549" s="327"/>
      <c r="M549" s="327"/>
      <c r="N549" s="327"/>
      <c r="O549" s="327"/>
      <c r="P549" s="327"/>
      <c r="Q549" s="327"/>
      <c r="R549" s="327"/>
      <c r="S549" s="327"/>
      <c r="T549" s="327"/>
      <c r="U549" s="327"/>
      <c r="V549" s="327"/>
      <c r="W549" s="327"/>
      <c r="X549" s="327"/>
      <c r="Y549" s="327"/>
      <c r="Z549" s="327"/>
      <c r="AA549" s="327"/>
      <c r="AB549" s="327"/>
      <c r="AC549" s="327"/>
      <c r="AD549" s="327"/>
      <c r="AE549" s="327"/>
      <c r="AF549" s="327"/>
      <c r="AG549" s="327"/>
      <c r="AH549" s="327"/>
      <c r="AI549" s="327"/>
      <c r="AJ549" s="327"/>
    </row>
    <row r="550" spans="1:36" x14ac:dyDescent="0.25">
      <c r="A550" s="326"/>
      <c r="E550" s="327"/>
      <c r="F550" s="327"/>
      <c r="G550" s="327"/>
      <c r="H550" s="327"/>
      <c r="I550" s="327"/>
      <c r="J550" s="327"/>
      <c r="K550" s="327"/>
      <c r="L550" s="327"/>
      <c r="M550" s="327"/>
      <c r="N550" s="327"/>
      <c r="O550" s="327"/>
      <c r="P550" s="327"/>
      <c r="Q550" s="327"/>
      <c r="R550" s="327"/>
      <c r="S550" s="327"/>
      <c r="T550" s="327"/>
      <c r="U550" s="327"/>
      <c r="V550" s="327"/>
      <c r="W550" s="327"/>
      <c r="X550" s="327"/>
      <c r="Y550" s="327"/>
      <c r="Z550" s="327"/>
      <c r="AA550" s="327"/>
      <c r="AB550" s="327"/>
      <c r="AC550" s="327"/>
      <c r="AD550" s="327"/>
      <c r="AE550" s="327"/>
      <c r="AF550" s="327"/>
      <c r="AG550" s="327"/>
      <c r="AH550" s="327"/>
      <c r="AI550" s="327"/>
      <c r="AJ550" s="327"/>
    </row>
    <row r="551" spans="1:36" x14ac:dyDescent="0.25">
      <c r="A551" s="326"/>
      <c r="E551" s="327"/>
      <c r="F551" s="327"/>
      <c r="G551" s="327"/>
      <c r="H551" s="327"/>
      <c r="I551" s="327"/>
      <c r="J551" s="327"/>
      <c r="K551" s="327"/>
      <c r="L551" s="327"/>
      <c r="M551" s="327"/>
      <c r="N551" s="327"/>
      <c r="O551" s="327"/>
      <c r="P551" s="327"/>
      <c r="Q551" s="327"/>
      <c r="R551" s="327"/>
      <c r="S551" s="327"/>
      <c r="T551" s="327"/>
      <c r="U551" s="327"/>
      <c r="V551" s="327"/>
      <c r="W551" s="327"/>
      <c r="X551" s="327"/>
      <c r="Y551" s="327"/>
      <c r="Z551" s="327"/>
      <c r="AA551" s="327"/>
      <c r="AB551" s="327"/>
      <c r="AC551" s="327"/>
      <c r="AD551" s="327"/>
      <c r="AE551" s="327"/>
      <c r="AF551" s="327"/>
      <c r="AG551" s="327"/>
      <c r="AH551" s="327"/>
      <c r="AI551" s="327"/>
      <c r="AJ551" s="327"/>
    </row>
    <row r="552" spans="1:36" x14ac:dyDescent="0.25">
      <c r="A552" s="326"/>
      <c r="E552" s="327"/>
      <c r="F552" s="327"/>
      <c r="G552" s="327"/>
      <c r="H552" s="327"/>
      <c r="I552" s="327"/>
      <c r="J552" s="327"/>
      <c r="K552" s="327"/>
      <c r="L552" s="327"/>
      <c r="M552" s="327"/>
      <c r="N552" s="327"/>
      <c r="O552" s="327"/>
      <c r="P552" s="327"/>
      <c r="Q552" s="327"/>
      <c r="R552" s="327"/>
      <c r="S552" s="327"/>
      <c r="T552" s="327"/>
      <c r="U552" s="327"/>
      <c r="V552" s="327"/>
      <c r="W552" s="327"/>
      <c r="X552" s="327"/>
      <c r="Y552" s="327"/>
      <c r="Z552" s="327"/>
      <c r="AA552" s="327"/>
      <c r="AB552" s="327"/>
      <c r="AC552" s="327"/>
      <c r="AD552" s="327"/>
      <c r="AE552" s="327"/>
      <c r="AF552" s="327"/>
      <c r="AG552" s="327"/>
      <c r="AH552" s="327"/>
      <c r="AI552" s="327"/>
      <c r="AJ552" s="327"/>
    </row>
    <row r="553" spans="1:36" x14ac:dyDescent="0.25">
      <c r="A553" s="326"/>
      <c r="E553" s="327"/>
      <c r="F553" s="327"/>
      <c r="G553" s="327"/>
      <c r="H553" s="327"/>
      <c r="I553" s="327"/>
      <c r="J553" s="327"/>
      <c r="K553" s="327"/>
      <c r="L553" s="327"/>
      <c r="M553" s="327"/>
      <c r="N553" s="327"/>
      <c r="O553" s="327"/>
      <c r="P553" s="327"/>
      <c r="Q553" s="327"/>
      <c r="R553" s="327"/>
      <c r="S553" s="327"/>
      <c r="T553" s="327"/>
      <c r="U553" s="327"/>
      <c r="V553" s="327"/>
      <c r="W553" s="327"/>
      <c r="X553" s="327"/>
      <c r="Y553" s="327"/>
      <c r="Z553" s="327"/>
      <c r="AA553" s="327"/>
      <c r="AB553" s="327"/>
      <c r="AC553" s="327"/>
      <c r="AD553" s="327"/>
      <c r="AE553" s="327"/>
      <c r="AF553" s="327"/>
      <c r="AG553" s="327"/>
      <c r="AH553" s="327"/>
      <c r="AI553" s="327"/>
      <c r="AJ553" s="327"/>
    </row>
    <row r="554" spans="1:36" x14ac:dyDescent="0.25">
      <c r="E554" s="327"/>
      <c r="F554" s="327"/>
      <c r="G554" s="327"/>
      <c r="H554" s="327"/>
      <c r="I554" s="327"/>
      <c r="J554" s="327"/>
      <c r="K554" s="327"/>
      <c r="L554" s="327"/>
      <c r="M554" s="327"/>
      <c r="N554" s="327"/>
      <c r="O554" s="327"/>
      <c r="P554" s="327"/>
      <c r="Q554" s="327"/>
      <c r="R554" s="327"/>
      <c r="S554" s="327"/>
      <c r="T554" s="327"/>
      <c r="U554" s="327"/>
      <c r="V554" s="327"/>
      <c r="W554" s="327"/>
      <c r="X554" s="327"/>
      <c r="Y554" s="327"/>
      <c r="Z554" s="327"/>
      <c r="AA554" s="327"/>
      <c r="AB554" s="327"/>
      <c r="AC554" s="327"/>
      <c r="AD554" s="327"/>
      <c r="AE554" s="327"/>
      <c r="AF554" s="327"/>
      <c r="AG554" s="327"/>
      <c r="AH554" s="327"/>
      <c r="AI554" s="327"/>
      <c r="AJ554" s="327"/>
    </row>
    <row r="555" spans="1:36" x14ac:dyDescent="0.25">
      <c r="E555" s="327"/>
      <c r="F555" s="327"/>
      <c r="G555" s="327"/>
      <c r="H555" s="327"/>
      <c r="I555" s="327"/>
      <c r="J555" s="327"/>
      <c r="K555" s="327"/>
      <c r="L555" s="327"/>
      <c r="M555" s="327"/>
      <c r="N555" s="327"/>
      <c r="O555" s="327"/>
      <c r="P555" s="327"/>
      <c r="Q555" s="327"/>
      <c r="R555" s="327"/>
      <c r="S555" s="327"/>
      <c r="T555" s="327"/>
      <c r="U555" s="327"/>
      <c r="V555" s="327"/>
      <c r="W555" s="327"/>
      <c r="X555" s="327"/>
      <c r="Y555" s="327"/>
      <c r="Z555" s="327"/>
      <c r="AA555" s="327"/>
      <c r="AB555" s="327"/>
      <c r="AC555" s="327"/>
      <c r="AD555" s="327"/>
      <c r="AE555" s="327"/>
      <c r="AF555" s="327"/>
      <c r="AG555" s="327"/>
      <c r="AH555" s="327"/>
      <c r="AI555" s="327"/>
      <c r="AJ555" s="327"/>
    </row>
    <row r="556" spans="1:36" x14ac:dyDescent="0.25">
      <c r="E556" s="327"/>
      <c r="F556" s="327"/>
      <c r="G556" s="327"/>
      <c r="H556" s="327"/>
      <c r="I556" s="327"/>
      <c r="J556" s="327"/>
      <c r="K556" s="327"/>
      <c r="L556" s="327"/>
      <c r="M556" s="327"/>
      <c r="N556" s="327"/>
      <c r="O556" s="327"/>
      <c r="P556" s="327"/>
      <c r="Q556" s="327"/>
      <c r="R556" s="327"/>
      <c r="S556" s="327"/>
      <c r="T556" s="327"/>
      <c r="U556" s="327"/>
      <c r="V556" s="327"/>
      <c r="W556" s="327"/>
      <c r="X556" s="327"/>
      <c r="Y556" s="327"/>
      <c r="Z556" s="327"/>
      <c r="AA556" s="327"/>
      <c r="AB556" s="327"/>
      <c r="AC556" s="327"/>
      <c r="AD556" s="327"/>
      <c r="AE556" s="327"/>
      <c r="AF556" s="327"/>
      <c r="AG556" s="327"/>
      <c r="AH556" s="327"/>
      <c r="AI556" s="327"/>
      <c r="AJ556" s="327"/>
    </row>
    <row r="557" spans="1:36" x14ac:dyDescent="0.25">
      <c r="E557" s="327"/>
      <c r="F557" s="327"/>
      <c r="G557" s="327"/>
      <c r="H557" s="327"/>
      <c r="I557" s="327"/>
      <c r="J557" s="327"/>
      <c r="K557" s="327"/>
      <c r="L557" s="327"/>
      <c r="M557" s="327"/>
      <c r="N557" s="327"/>
      <c r="O557" s="327"/>
      <c r="P557" s="327"/>
      <c r="Q557" s="327"/>
      <c r="R557" s="327"/>
      <c r="S557" s="327"/>
      <c r="T557" s="327"/>
      <c r="U557" s="327"/>
      <c r="V557" s="327"/>
      <c r="W557" s="327"/>
      <c r="X557" s="327"/>
      <c r="Y557" s="327"/>
      <c r="Z557" s="327"/>
      <c r="AA557" s="327"/>
      <c r="AB557" s="327"/>
      <c r="AC557" s="327"/>
      <c r="AD557" s="327"/>
      <c r="AE557" s="327"/>
      <c r="AF557" s="327"/>
      <c r="AG557" s="327"/>
      <c r="AH557" s="327"/>
      <c r="AI557" s="327"/>
      <c r="AJ557" s="327"/>
    </row>
    <row r="558" spans="1:36" x14ac:dyDescent="0.25">
      <c r="E558" s="327"/>
      <c r="F558" s="327"/>
      <c r="G558" s="327"/>
      <c r="H558" s="327"/>
      <c r="I558" s="327"/>
      <c r="J558" s="327"/>
      <c r="K558" s="327"/>
      <c r="L558" s="327"/>
      <c r="M558" s="327"/>
      <c r="N558" s="327"/>
      <c r="O558" s="327"/>
      <c r="P558" s="327"/>
      <c r="Q558" s="327"/>
      <c r="R558" s="327"/>
      <c r="S558" s="327"/>
      <c r="T558" s="327"/>
      <c r="U558" s="327"/>
      <c r="V558" s="327"/>
      <c r="W558" s="327"/>
      <c r="X558" s="327"/>
      <c r="Y558" s="327"/>
      <c r="Z558" s="327"/>
      <c r="AA558" s="327"/>
      <c r="AB558" s="327"/>
      <c r="AC558" s="327"/>
      <c r="AD558" s="327"/>
      <c r="AE558" s="327"/>
      <c r="AF558" s="327"/>
      <c r="AG558" s="327"/>
      <c r="AH558" s="327"/>
      <c r="AI558" s="327"/>
      <c r="AJ558" s="327"/>
    </row>
    <row r="559" spans="1:36" x14ac:dyDescent="0.25">
      <c r="E559" s="327"/>
      <c r="F559" s="327"/>
      <c r="G559" s="327"/>
      <c r="H559" s="327"/>
      <c r="I559" s="327"/>
      <c r="J559" s="327"/>
      <c r="K559" s="327"/>
      <c r="L559" s="327"/>
      <c r="M559" s="327"/>
      <c r="N559" s="327"/>
      <c r="O559" s="327"/>
      <c r="P559" s="327"/>
      <c r="Q559" s="327"/>
      <c r="R559" s="327"/>
      <c r="S559" s="327"/>
      <c r="T559" s="327"/>
      <c r="U559" s="327"/>
      <c r="V559" s="327"/>
      <c r="W559" s="327"/>
      <c r="X559" s="327"/>
      <c r="Y559" s="327"/>
      <c r="Z559" s="327"/>
      <c r="AA559" s="327"/>
      <c r="AB559" s="327"/>
      <c r="AC559" s="327"/>
      <c r="AD559" s="327"/>
      <c r="AE559" s="327"/>
      <c r="AF559" s="327"/>
      <c r="AG559" s="327"/>
      <c r="AH559" s="327"/>
      <c r="AI559" s="327"/>
      <c r="AJ559" s="327"/>
    </row>
    <row r="560" spans="1:36" x14ac:dyDescent="0.25">
      <c r="E560" s="327"/>
      <c r="F560" s="327"/>
      <c r="G560" s="327"/>
      <c r="H560" s="327"/>
      <c r="I560" s="327"/>
      <c r="J560" s="327"/>
      <c r="K560" s="327"/>
      <c r="L560" s="327"/>
      <c r="M560" s="327"/>
      <c r="N560" s="327"/>
      <c r="O560" s="327"/>
      <c r="P560" s="327"/>
      <c r="Q560" s="327"/>
      <c r="R560" s="327"/>
      <c r="S560" s="327"/>
      <c r="T560" s="327"/>
      <c r="U560" s="327"/>
      <c r="V560" s="327"/>
      <c r="W560" s="327"/>
      <c r="X560" s="327"/>
      <c r="Y560" s="327"/>
      <c r="Z560" s="327"/>
      <c r="AA560" s="327"/>
      <c r="AB560" s="327"/>
      <c r="AC560" s="327"/>
      <c r="AD560" s="327"/>
      <c r="AE560" s="327"/>
      <c r="AF560" s="327"/>
      <c r="AG560" s="327"/>
      <c r="AH560" s="327"/>
      <c r="AI560" s="327"/>
      <c r="AJ560" s="327"/>
    </row>
    <row r="561" spans="1:36" x14ac:dyDescent="0.25">
      <c r="A561" s="325"/>
      <c r="E561" s="327"/>
      <c r="F561" s="327"/>
      <c r="G561" s="327"/>
      <c r="H561" s="327"/>
      <c r="I561" s="327"/>
      <c r="J561" s="327"/>
      <c r="K561" s="327"/>
      <c r="L561" s="327"/>
      <c r="M561" s="327"/>
      <c r="N561" s="327"/>
      <c r="O561" s="327"/>
      <c r="P561" s="327"/>
      <c r="Q561" s="327"/>
      <c r="R561" s="327"/>
      <c r="S561" s="327"/>
      <c r="T561" s="327"/>
      <c r="U561" s="327"/>
      <c r="V561" s="327"/>
      <c r="W561" s="327"/>
      <c r="X561" s="327"/>
      <c r="Y561" s="327"/>
      <c r="Z561" s="327"/>
      <c r="AA561" s="327"/>
      <c r="AB561" s="327"/>
      <c r="AC561" s="327"/>
      <c r="AD561" s="327"/>
      <c r="AE561" s="327"/>
      <c r="AF561" s="327"/>
      <c r="AG561" s="327"/>
      <c r="AH561" s="327"/>
      <c r="AI561" s="327"/>
      <c r="AJ561" s="327"/>
    </row>
    <row r="562" spans="1:36" x14ac:dyDescent="0.25">
      <c r="A562" s="326"/>
      <c r="E562" s="327"/>
      <c r="F562" s="327"/>
      <c r="G562" s="327"/>
      <c r="H562" s="327"/>
      <c r="I562" s="327"/>
      <c r="J562" s="327"/>
      <c r="K562" s="327"/>
      <c r="L562" s="327"/>
      <c r="M562" s="327"/>
      <c r="N562" s="327"/>
      <c r="O562" s="327"/>
      <c r="P562" s="327"/>
      <c r="Q562" s="327"/>
      <c r="R562" s="327"/>
      <c r="S562" s="327"/>
      <c r="T562" s="327"/>
      <c r="U562" s="327"/>
      <c r="V562" s="327"/>
      <c r="W562" s="327"/>
      <c r="X562" s="327"/>
      <c r="Y562" s="327"/>
      <c r="Z562" s="327"/>
      <c r="AA562" s="327"/>
      <c r="AB562" s="327"/>
      <c r="AC562" s="327"/>
      <c r="AD562" s="327"/>
      <c r="AE562" s="327"/>
      <c r="AF562" s="327"/>
      <c r="AG562" s="327"/>
      <c r="AH562" s="327"/>
      <c r="AI562" s="327"/>
      <c r="AJ562" s="327"/>
    </row>
    <row r="563" spans="1:36" x14ac:dyDescent="0.25">
      <c r="A563" s="326"/>
      <c r="E563" s="327"/>
      <c r="F563" s="327"/>
      <c r="G563" s="327"/>
      <c r="H563" s="327"/>
      <c r="I563" s="327"/>
      <c r="J563" s="327"/>
      <c r="K563" s="327"/>
      <c r="L563" s="327"/>
      <c r="M563" s="327"/>
      <c r="N563" s="327"/>
      <c r="O563" s="327"/>
      <c r="P563" s="327"/>
      <c r="Q563" s="327"/>
      <c r="R563" s="327"/>
      <c r="S563" s="327"/>
      <c r="T563" s="327"/>
      <c r="U563" s="327"/>
      <c r="V563" s="327"/>
      <c r="W563" s="327"/>
      <c r="X563" s="327"/>
      <c r="Y563" s="327"/>
      <c r="Z563" s="327"/>
      <c r="AA563" s="327"/>
      <c r="AB563" s="327"/>
      <c r="AC563" s="327"/>
      <c r="AD563" s="327"/>
      <c r="AE563" s="327"/>
      <c r="AF563" s="327"/>
      <c r="AG563" s="327"/>
      <c r="AH563" s="327"/>
      <c r="AI563" s="327"/>
      <c r="AJ563" s="327"/>
    </row>
    <row r="564" spans="1:36" x14ac:dyDescent="0.25">
      <c r="A564" s="326"/>
      <c r="E564" s="327"/>
      <c r="F564" s="327"/>
      <c r="G564" s="327"/>
      <c r="H564" s="327"/>
      <c r="I564" s="327"/>
      <c r="J564" s="327"/>
      <c r="K564" s="327"/>
      <c r="L564" s="327"/>
      <c r="M564" s="327"/>
      <c r="N564" s="327"/>
      <c r="O564" s="327"/>
      <c r="P564" s="327"/>
      <c r="Q564" s="327"/>
      <c r="R564" s="327"/>
      <c r="S564" s="327"/>
      <c r="T564" s="327"/>
      <c r="U564" s="327"/>
      <c r="V564" s="327"/>
      <c r="W564" s="327"/>
      <c r="X564" s="327"/>
      <c r="Y564" s="327"/>
      <c r="Z564" s="327"/>
      <c r="AA564" s="327"/>
      <c r="AB564" s="327"/>
      <c r="AC564" s="327"/>
      <c r="AD564" s="327"/>
      <c r="AE564" s="327"/>
      <c r="AF564" s="327"/>
      <c r="AG564" s="327"/>
      <c r="AH564" s="327"/>
      <c r="AI564" s="327"/>
      <c r="AJ564" s="327"/>
    </row>
    <row r="565" spans="1:36" x14ac:dyDescent="0.25">
      <c r="A565" s="326"/>
      <c r="E565" s="327"/>
      <c r="F565" s="327"/>
      <c r="G565" s="327"/>
      <c r="H565" s="327"/>
      <c r="I565" s="327"/>
      <c r="J565" s="327"/>
      <c r="K565" s="327"/>
      <c r="L565" s="327"/>
      <c r="M565" s="327"/>
      <c r="N565" s="327"/>
      <c r="O565" s="327"/>
      <c r="P565" s="327"/>
      <c r="Q565" s="327"/>
      <c r="R565" s="327"/>
      <c r="S565" s="327"/>
      <c r="T565" s="327"/>
      <c r="U565" s="327"/>
      <c r="V565" s="327"/>
      <c r="W565" s="327"/>
      <c r="X565" s="327"/>
      <c r="Y565" s="327"/>
      <c r="Z565" s="327"/>
      <c r="AA565" s="327"/>
      <c r="AB565" s="327"/>
      <c r="AC565" s="327"/>
      <c r="AD565" s="327"/>
      <c r="AE565" s="327"/>
      <c r="AF565" s="327"/>
      <c r="AG565" s="327"/>
      <c r="AH565" s="327"/>
      <c r="AI565" s="327"/>
      <c r="AJ565" s="327"/>
    </row>
    <row r="566" spans="1:36" x14ac:dyDescent="0.25">
      <c r="A566" s="326"/>
      <c r="E566" s="327"/>
      <c r="F566" s="327"/>
      <c r="G566" s="327"/>
      <c r="H566" s="327"/>
      <c r="I566" s="327"/>
      <c r="J566" s="327"/>
      <c r="K566" s="327"/>
      <c r="L566" s="327"/>
      <c r="M566" s="327"/>
      <c r="N566" s="327"/>
      <c r="O566" s="327"/>
      <c r="P566" s="327"/>
      <c r="Q566" s="327"/>
      <c r="R566" s="327"/>
      <c r="S566" s="327"/>
      <c r="T566" s="327"/>
      <c r="U566" s="327"/>
      <c r="V566" s="327"/>
      <c r="W566" s="327"/>
      <c r="X566" s="327"/>
      <c r="Y566" s="327"/>
      <c r="Z566" s="327"/>
      <c r="AA566" s="327"/>
      <c r="AB566" s="327"/>
      <c r="AC566" s="327"/>
      <c r="AD566" s="327"/>
      <c r="AE566" s="327"/>
      <c r="AF566" s="327"/>
      <c r="AG566" s="327"/>
      <c r="AH566" s="327"/>
      <c r="AI566" s="327"/>
      <c r="AJ566" s="327"/>
    </row>
    <row r="567" spans="1:36" x14ac:dyDescent="0.25">
      <c r="A567" s="326"/>
      <c r="E567" s="327"/>
      <c r="F567" s="327"/>
      <c r="G567" s="327"/>
      <c r="H567" s="327"/>
      <c r="I567" s="327"/>
      <c r="J567" s="327"/>
      <c r="K567" s="327"/>
      <c r="L567" s="327"/>
      <c r="M567" s="327"/>
      <c r="N567" s="327"/>
      <c r="O567" s="327"/>
      <c r="P567" s="327"/>
      <c r="Q567" s="327"/>
      <c r="R567" s="327"/>
      <c r="S567" s="327"/>
      <c r="T567" s="327"/>
      <c r="U567" s="327"/>
      <c r="V567" s="327"/>
      <c r="W567" s="327"/>
      <c r="X567" s="327"/>
      <c r="Y567" s="327"/>
      <c r="Z567" s="327"/>
      <c r="AA567" s="327"/>
      <c r="AB567" s="327"/>
      <c r="AC567" s="327"/>
      <c r="AD567" s="327"/>
      <c r="AE567" s="327"/>
      <c r="AF567" s="327"/>
      <c r="AG567" s="327"/>
      <c r="AH567" s="327"/>
      <c r="AI567" s="327"/>
      <c r="AJ567" s="327"/>
    </row>
    <row r="568" spans="1:36" x14ac:dyDescent="0.25">
      <c r="A568" s="326"/>
      <c r="E568" s="327"/>
      <c r="F568" s="327"/>
      <c r="G568" s="327"/>
      <c r="H568" s="327"/>
      <c r="I568" s="327"/>
      <c r="J568" s="327"/>
      <c r="K568" s="327"/>
      <c r="L568" s="327"/>
      <c r="M568" s="327"/>
      <c r="N568" s="327"/>
      <c r="O568" s="327"/>
      <c r="P568" s="327"/>
      <c r="Q568" s="327"/>
      <c r="R568" s="327"/>
      <c r="S568" s="327"/>
      <c r="T568" s="327"/>
      <c r="U568" s="327"/>
      <c r="V568" s="327"/>
      <c r="W568" s="327"/>
      <c r="X568" s="327"/>
      <c r="Y568" s="327"/>
      <c r="Z568" s="327"/>
      <c r="AA568" s="327"/>
      <c r="AB568" s="327"/>
      <c r="AC568" s="327"/>
      <c r="AD568" s="327"/>
      <c r="AE568" s="327"/>
      <c r="AF568" s="327"/>
      <c r="AG568" s="327"/>
      <c r="AH568" s="327"/>
      <c r="AI568" s="327"/>
      <c r="AJ568" s="327"/>
    </row>
    <row r="569" spans="1:36" x14ac:dyDescent="0.25">
      <c r="A569" s="326"/>
      <c r="E569" s="327"/>
      <c r="F569" s="327"/>
      <c r="G569" s="327"/>
      <c r="H569" s="327"/>
      <c r="I569" s="327"/>
      <c r="J569" s="327"/>
      <c r="K569" s="327"/>
      <c r="L569" s="327"/>
      <c r="M569" s="327"/>
      <c r="N569" s="327"/>
      <c r="O569" s="327"/>
      <c r="P569" s="327"/>
      <c r="Q569" s="327"/>
      <c r="R569" s="327"/>
      <c r="S569" s="327"/>
      <c r="T569" s="327"/>
      <c r="U569" s="327"/>
      <c r="V569" s="327"/>
      <c r="W569" s="327"/>
      <c r="X569" s="327"/>
      <c r="Y569" s="327"/>
      <c r="Z569" s="327"/>
      <c r="AA569" s="327"/>
      <c r="AB569" s="327"/>
      <c r="AC569" s="327"/>
      <c r="AD569" s="327"/>
      <c r="AE569" s="327"/>
      <c r="AF569" s="327"/>
      <c r="AG569" s="327"/>
      <c r="AH569" s="327"/>
      <c r="AI569" s="327"/>
      <c r="AJ569" s="327"/>
    </row>
    <row r="570" spans="1:36" x14ac:dyDescent="0.25">
      <c r="A570" s="326"/>
      <c r="E570" s="327"/>
      <c r="F570" s="327"/>
      <c r="G570" s="327"/>
      <c r="H570" s="327"/>
      <c r="I570" s="327"/>
      <c r="J570" s="327"/>
      <c r="K570" s="327"/>
      <c r="L570" s="327"/>
      <c r="M570" s="327"/>
      <c r="N570" s="327"/>
      <c r="O570" s="327"/>
      <c r="P570" s="327"/>
      <c r="Q570" s="327"/>
      <c r="R570" s="327"/>
      <c r="S570" s="327"/>
      <c r="T570" s="327"/>
      <c r="U570" s="327"/>
      <c r="V570" s="327"/>
      <c r="W570" s="327"/>
      <c r="X570" s="327"/>
      <c r="Y570" s="327"/>
      <c r="Z570" s="327"/>
      <c r="AA570" s="327"/>
      <c r="AB570" s="327"/>
      <c r="AC570" s="327"/>
      <c r="AD570" s="327"/>
      <c r="AE570" s="327"/>
      <c r="AF570" s="327"/>
      <c r="AG570" s="327"/>
      <c r="AH570" s="327"/>
      <c r="AI570" s="327"/>
      <c r="AJ570" s="327"/>
    </row>
    <row r="571" spans="1:36" x14ac:dyDescent="0.25">
      <c r="A571" s="326"/>
      <c r="E571" s="327"/>
      <c r="F571" s="327"/>
      <c r="G571" s="327"/>
      <c r="H571" s="327"/>
      <c r="I571" s="327"/>
      <c r="J571" s="327"/>
      <c r="K571" s="327"/>
      <c r="L571" s="327"/>
      <c r="M571" s="327"/>
      <c r="N571" s="327"/>
      <c r="O571" s="327"/>
      <c r="P571" s="327"/>
      <c r="Q571" s="327"/>
      <c r="R571" s="327"/>
      <c r="S571" s="327"/>
      <c r="T571" s="327"/>
      <c r="U571" s="327"/>
      <c r="V571" s="327"/>
      <c r="W571" s="327"/>
      <c r="X571" s="327"/>
      <c r="Y571" s="327"/>
      <c r="Z571" s="327"/>
      <c r="AA571" s="327"/>
      <c r="AB571" s="327"/>
      <c r="AC571" s="327"/>
      <c r="AD571" s="327"/>
      <c r="AE571" s="327"/>
      <c r="AF571" s="327"/>
      <c r="AG571" s="327"/>
      <c r="AH571" s="327"/>
      <c r="AI571" s="327"/>
      <c r="AJ571" s="327"/>
    </row>
    <row r="572" spans="1:36" x14ac:dyDescent="0.25">
      <c r="A572" s="326"/>
      <c r="E572" s="327"/>
      <c r="F572" s="327"/>
      <c r="G572" s="327"/>
      <c r="H572" s="327"/>
      <c r="I572" s="327"/>
      <c r="J572" s="327"/>
      <c r="K572" s="327"/>
      <c r="L572" s="327"/>
      <c r="M572" s="327"/>
      <c r="N572" s="327"/>
      <c r="O572" s="327"/>
      <c r="P572" s="327"/>
      <c r="Q572" s="327"/>
      <c r="R572" s="327"/>
      <c r="S572" s="327"/>
      <c r="T572" s="327"/>
      <c r="U572" s="327"/>
      <c r="V572" s="327"/>
      <c r="W572" s="327"/>
      <c r="X572" s="327"/>
      <c r="Y572" s="327"/>
      <c r="Z572" s="327"/>
      <c r="AA572" s="327"/>
      <c r="AB572" s="327"/>
      <c r="AC572" s="327"/>
      <c r="AD572" s="327"/>
      <c r="AE572" s="327"/>
      <c r="AF572" s="327"/>
      <c r="AG572" s="327"/>
      <c r="AH572" s="327"/>
      <c r="AI572" s="327"/>
      <c r="AJ572" s="327"/>
    </row>
    <row r="573" spans="1:36" x14ac:dyDescent="0.25">
      <c r="A573" s="326"/>
      <c r="E573" s="327"/>
      <c r="F573" s="327"/>
      <c r="G573" s="327"/>
      <c r="H573" s="327"/>
      <c r="I573" s="327"/>
      <c r="J573" s="327"/>
      <c r="K573" s="327"/>
      <c r="L573" s="327"/>
      <c r="M573" s="327"/>
      <c r="N573" s="327"/>
      <c r="O573" s="327"/>
      <c r="P573" s="327"/>
      <c r="Q573" s="327"/>
      <c r="R573" s="327"/>
      <c r="S573" s="327"/>
      <c r="T573" s="327"/>
      <c r="U573" s="327"/>
      <c r="V573" s="327"/>
      <c r="W573" s="327"/>
      <c r="X573" s="327"/>
      <c r="Y573" s="327"/>
      <c r="Z573" s="327"/>
      <c r="AA573" s="327"/>
      <c r="AB573" s="327"/>
      <c r="AC573" s="327"/>
      <c r="AD573" s="327"/>
      <c r="AE573" s="327"/>
      <c r="AF573" s="327"/>
      <c r="AG573" s="327"/>
      <c r="AH573" s="327"/>
      <c r="AI573" s="327"/>
      <c r="AJ573" s="327"/>
    </row>
    <row r="574" spans="1:36" x14ac:dyDescent="0.25">
      <c r="A574" s="326"/>
      <c r="E574" s="327"/>
      <c r="F574" s="327"/>
      <c r="G574" s="327"/>
      <c r="H574" s="327"/>
      <c r="I574" s="327"/>
      <c r="J574" s="327"/>
      <c r="K574" s="327"/>
      <c r="L574" s="327"/>
      <c r="M574" s="327"/>
      <c r="N574" s="327"/>
      <c r="O574" s="327"/>
      <c r="P574" s="327"/>
      <c r="Q574" s="327"/>
      <c r="R574" s="327"/>
      <c r="S574" s="327"/>
      <c r="T574" s="327"/>
      <c r="U574" s="327"/>
      <c r="V574" s="327"/>
      <c r="W574" s="327"/>
      <c r="X574" s="327"/>
      <c r="Y574" s="327"/>
      <c r="Z574" s="327"/>
      <c r="AA574" s="327"/>
      <c r="AB574" s="327"/>
      <c r="AC574" s="327"/>
      <c r="AD574" s="327"/>
      <c r="AE574" s="327"/>
      <c r="AF574" s="327"/>
      <c r="AG574" s="327"/>
      <c r="AH574" s="327"/>
      <c r="AI574" s="327"/>
      <c r="AJ574" s="327"/>
    </row>
    <row r="575" spans="1:36" x14ac:dyDescent="0.25">
      <c r="A575" s="326"/>
      <c r="E575" s="327"/>
      <c r="F575" s="327"/>
      <c r="G575" s="327"/>
      <c r="H575" s="327"/>
      <c r="I575" s="327"/>
      <c r="J575" s="327"/>
      <c r="K575" s="327"/>
      <c r="L575" s="327"/>
      <c r="M575" s="327"/>
      <c r="N575" s="327"/>
      <c r="O575" s="327"/>
      <c r="P575" s="327"/>
      <c r="Q575" s="327"/>
      <c r="R575" s="327"/>
      <c r="S575" s="327"/>
      <c r="T575" s="327"/>
      <c r="U575" s="327"/>
      <c r="V575" s="327"/>
      <c r="W575" s="327"/>
      <c r="X575" s="327"/>
      <c r="Y575" s="327"/>
      <c r="Z575" s="327"/>
      <c r="AA575" s="327"/>
      <c r="AB575" s="327"/>
      <c r="AC575" s="327"/>
      <c r="AD575" s="327"/>
      <c r="AE575" s="327"/>
      <c r="AF575" s="327"/>
      <c r="AG575" s="327"/>
      <c r="AH575" s="327"/>
      <c r="AI575" s="327"/>
      <c r="AJ575" s="327"/>
    </row>
    <row r="576" spans="1:36" x14ac:dyDescent="0.25">
      <c r="A576" s="326"/>
      <c r="E576" s="327"/>
      <c r="F576" s="327"/>
      <c r="G576" s="327"/>
      <c r="H576" s="327"/>
      <c r="I576" s="327"/>
      <c r="J576" s="327"/>
      <c r="K576" s="327"/>
      <c r="L576" s="327"/>
      <c r="M576" s="327"/>
      <c r="N576" s="327"/>
      <c r="O576" s="327"/>
      <c r="P576" s="327"/>
      <c r="Q576" s="327"/>
      <c r="R576" s="327"/>
      <c r="S576" s="327"/>
      <c r="T576" s="327"/>
      <c r="U576" s="327"/>
      <c r="V576" s="327"/>
      <c r="W576" s="327"/>
      <c r="X576" s="327"/>
      <c r="Y576" s="327"/>
      <c r="Z576" s="327"/>
      <c r="AA576" s="327"/>
      <c r="AB576" s="327"/>
      <c r="AC576" s="327"/>
      <c r="AD576" s="327"/>
      <c r="AE576" s="327"/>
      <c r="AF576" s="327"/>
      <c r="AG576" s="327"/>
      <c r="AH576" s="327"/>
      <c r="AI576" s="327"/>
      <c r="AJ576" s="327"/>
    </row>
    <row r="577" spans="1:36" x14ac:dyDescent="0.25">
      <c r="A577" s="326"/>
      <c r="E577" s="327"/>
      <c r="F577" s="327"/>
      <c r="G577" s="327"/>
      <c r="H577" s="327"/>
      <c r="I577" s="327"/>
      <c r="J577" s="327"/>
      <c r="K577" s="327"/>
      <c r="L577" s="327"/>
      <c r="M577" s="327"/>
      <c r="N577" s="327"/>
      <c r="O577" s="327"/>
      <c r="P577" s="327"/>
      <c r="Q577" s="327"/>
      <c r="R577" s="327"/>
      <c r="S577" s="327"/>
      <c r="T577" s="327"/>
      <c r="U577" s="327"/>
      <c r="V577" s="327"/>
      <c r="W577" s="327"/>
      <c r="X577" s="327"/>
      <c r="Y577" s="327"/>
      <c r="Z577" s="327"/>
      <c r="AA577" s="327"/>
      <c r="AB577" s="327"/>
      <c r="AC577" s="327"/>
      <c r="AD577" s="327"/>
      <c r="AE577" s="327"/>
      <c r="AF577" s="327"/>
      <c r="AG577" s="327"/>
      <c r="AH577" s="327"/>
      <c r="AI577" s="327"/>
      <c r="AJ577" s="327"/>
    </row>
    <row r="578" spans="1:36" x14ac:dyDescent="0.25">
      <c r="A578" s="326"/>
      <c r="E578" s="327"/>
      <c r="F578" s="327"/>
      <c r="G578" s="327"/>
      <c r="H578" s="327"/>
      <c r="I578" s="327"/>
      <c r="J578" s="327"/>
      <c r="K578" s="327"/>
      <c r="L578" s="327"/>
      <c r="M578" s="327"/>
      <c r="N578" s="327"/>
      <c r="O578" s="327"/>
      <c r="P578" s="327"/>
      <c r="Q578" s="327"/>
      <c r="R578" s="327"/>
      <c r="S578" s="327"/>
      <c r="T578" s="327"/>
      <c r="U578" s="327"/>
      <c r="V578" s="327"/>
      <c r="W578" s="327"/>
      <c r="X578" s="327"/>
      <c r="Y578" s="327"/>
      <c r="Z578" s="327"/>
      <c r="AA578" s="327"/>
      <c r="AB578" s="327"/>
      <c r="AC578" s="327"/>
      <c r="AD578" s="327"/>
      <c r="AE578" s="327"/>
      <c r="AF578" s="327"/>
      <c r="AG578" s="327"/>
      <c r="AH578" s="327"/>
      <c r="AI578" s="327"/>
      <c r="AJ578" s="327"/>
    </row>
    <row r="579" spans="1:36" x14ac:dyDescent="0.25">
      <c r="A579" s="326"/>
      <c r="E579" s="327"/>
      <c r="F579" s="327"/>
      <c r="G579" s="327"/>
      <c r="H579" s="327"/>
      <c r="I579" s="327"/>
      <c r="J579" s="327"/>
      <c r="K579" s="327"/>
      <c r="L579" s="327"/>
      <c r="M579" s="327"/>
      <c r="N579" s="327"/>
      <c r="O579" s="327"/>
      <c r="P579" s="327"/>
      <c r="Q579" s="327"/>
      <c r="R579" s="327"/>
      <c r="S579" s="327"/>
      <c r="T579" s="327"/>
      <c r="U579" s="327"/>
      <c r="V579" s="327"/>
      <c r="W579" s="327"/>
      <c r="X579" s="327"/>
      <c r="Y579" s="327"/>
      <c r="Z579" s="327"/>
      <c r="AA579" s="327"/>
      <c r="AB579" s="327"/>
      <c r="AC579" s="327"/>
      <c r="AD579" s="327"/>
      <c r="AE579" s="327"/>
      <c r="AF579" s="327"/>
      <c r="AG579" s="327"/>
      <c r="AH579" s="327"/>
      <c r="AI579" s="327"/>
      <c r="AJ579" s="327"/>
    </row>
    <row r="580" spans="1:36" x14ac:dyDescent="0.25">
      <c r="E580" s="327"/>
      <c r="F580" s="327"/>
      <c r="G580" s="327"/>
      <c r="H580" s="327"/>
      <c r="I580" s="327"/>
      <c r="J580" s="327"/>
      <c r="K580" s="327"/>
      <c r="L580" s="327"/>
      <c r="M580" s="327"/>
      <c r="N580" s="327"/>
      <c r="O580" s="327"/>
      <c r="P580" s="327"/>
      <c r="Q580" s="327"/>
      <c r="R580" s="327"/>
      <c r="S580" s="327"/>
      <c r="T580" s="327"/>
      <c r="U580" s="327"/>
      <c r="V580" s="327"/>
      <c r="W580" s="327"/>
      <c r="X580" s="327"/>
      <c r="Y580" s="327"/>
      <c r="Z580" s="327"/>
      <c r="AA580" s="327"/>
      <c r="AB580" s="327"/>
      <c r="AC580" s="327"/>
      <c r="AD580" s="327"/>
      <c r="AE580" s="327"/>
      <c r="AF580" s="327"/>
      <c r="AG580" s="327"/>
      <c r="AH580" s="327"/>
      <c r="AI580" s="327"/>
      <c r="AJ580" s="327"/>
    </row>
    <row r="581" spans="1:36" x14ac:dyDescent="0.25">
      <c r="E581" s="327"/>
      <c r="F581" s="327"/>
      <c r="G581" s="327"/>
      <c r="H581" s="327"/>
      <c r="I581" s="327"/>
      <c r="J581" s="327"/>
      <c r="K581" s="327"/>
      <c r="L581" s="327"/>
      <c r="M581" s="327"/>
      <c r="N581" s="327"/>
      <c r="O581" s="327"/>
      <c r="P581" s="327"/>
      <c r="Q581" s="327"/>
      <c r="R581" s="327"/>
      <c r="S581" s="327"/>
      <c r="T581" s="327"/>
      <c r="U581" s="327"/>
      <c r="V581" s="327"/>
      <c r="W581" s="327"/>
      <c r="X581" s="327"/>
      <c r="Y581" s="327"/>
      <c r="Z581" s="327"/>
      <c r="AA581" s="327"/>
      <c r="AB581" s="327"/>
      <c r="AC581" s="327"/>
      <c r="AD581" s="327"/>
      <c r="AE581" s="327"/>
      <c r="AF581" s="327"/>
      <c r="AG581" s="327"/>
      <c r="AH581" s="327"/>
      <c r="AI581" s="327"/>
      <c r="AJ581" s="327"/>
    </row>
    <row r="582" spans="1:36" x14ac:dyDescent="0.25">
      <c r="E582" s="327"/>
      <c r="F582" s="327"/>
      <c r="G582" s="327"/>
      <c r="H582" s="327"/>
      <c r="I582" s="327"/>
      <c r="J582" s="327"/>
      <c r="K582" s="327"/>
      <c r="L582" s="327"/>
      <c r="M582" s="327"/>
      <c r="N582" s="327"/>
      <c r="O582" s="327"/>
      <c r="P582" s="327"/>
      <c r="Q582" s="327"/>
      <c r="R582" s="327"/>
      <c r="S582" s="327"/>
      <c r="T582" s="327"/>
      <c r="U582" s="327"/>
      <c r="V582" s="327"/>
      <c r="W582" s="327"/>
      <c r="X582" s="327"/>
      <c r="Y582" s="327"/>
      <c r="Z582" s="327"/>
      <c r="AA582" s="327"/>
      <c r="AB582" s="327"/>
      <c r="AC582" s="327"/>
      <c r="AD582" s="327"/>
      <c r="AE582" s="327"/>
      <c r="AF582" s="327"/>
      <c r="AG582" s="327"/>
      <c r="AH582" s="327"/>
      <c r="AI582" s="327"/>
      <c r="AJ582" s="327"/>
    </row>
    <row r="583" spans="1:36" x14ac:dyDescent="0.25">
      <c r="E583" s="327"/>
      <c r="F583" s="327"/>
      <c r="G583" s="327"/>
      <c r="H583" s="327"/>
      <c r="I583" s="327"/>
      <c r="J583" s="327"/>
      <c r="K583" s="327"/>
      <c r="L583" s="327"/>
      <c r="M583" s="327"/>
      <c r="N583" s="327"/>
      <c r="O583" s="327"/>
      <c r="P583" s="327"/>
      <c r="Q583" s="327"/>
      <c r="R583" s="327"/>
      <c r="S583" s="327"/>
      <c r="T583" s="327"/>
      <c r="U583" s="327"/>
      <c r="V583" s="327"/>
      <c r="W583" s="327"/>
      <c r="X583" s="327"/>
      <c r="Y583" s="327"/>
      <c r="Z583" s="327"/>
      <c r="AA583" s="327"/>
      <c r="AB583" s="327"/>
      <c r="AC583" s="327"/>
      <c r="AD583" s="327"/>
      <c r="AE583" s="327"/>
      <c r="AF583" s="327"/>
      <c r="AG583" s="327"/>
      <c r="AH583" s="327"/>
      <c r="AI583" s="327"/>
      <c r="AJ583" s="327"/>
    </row>
    <row r="584" spans="1:36" x14ac:dyDescent="0.25">
      <c r="E584" s="327"/>
      <c r="F584" s="327"/>
      <c r="G584" s="327"/>
      <c r="H584" s="327"/>
      <c r="I584" s="327"/>
      <c r="J584" s="327"/>
      <c r="K584" s="327"/>
      <c r="L584" s="327"/>
      <c r="M584" s="327"/>
      <c r="N584" s="327"/>
      <c r="O584" s="327"/>
      <c r="P584" s="327"/>
      <c r="Q584" s="327"/>
      <c r="R584" s="327"/>
      <c r="S584" s="327"/>
      <c r="T584" s="327"/>
      <c r="U584" s="327"/>
      <c r="V584" s="327"/>
      <c r="W584" s="327"/>
      <c r="X584" s="327"/>
      <c r="Y584" s="327"/>
      <c r="Z584" s="327"/>
      <c r="AA584" s="327"/>
      <c r="AB584" s="327"/>
      <c r="AC584" s="327"/>
      <c r="AD584" s="327"/>
      <c r="AE584" s="327"/>
      <c r="AF584" s="327"/>
      <c r="AG584" s="327"/>
      <c r="AH584" s="327"/>
      <c r="AI584" s="327"/>
      <c r="AJ584" s="327"/>
    </row>
    <row r="585" spans="1:36" x14ac:dyDescent="0.25">
      <c r="E585" s="327"/>
      <c r="F585" s="327"/>
      <c r="G585" s="327"/>
      <c r="H585" s="327"/>
      <c r="I585" s="327"/>
      <c r="J585" s="327"/>
      <c r="K585" s="327"/>
      <c r="L585" s="327"/>
      <c r="M585" s="327"/>
      <c r="N585" s="327"/>
      <c r="O585" s="327"/>
      <c r="P585" s="327"/>
      <c r="Q585" s="327"/>
      <c r="R585" s="327"/>
      <c r="S585" s="327"/>
      <c r="T585" s="327"/>
      <c r="U585" s="327"/>
      <c r="V585" s="327"/>
      <c r="W585" s="327"/>
      <c r="X585" s="327"/>
      <c r="Y585" s="327"/>
      <c r="Z585" s="327"/>
      <c r="AA585" s="327"/>
      <c r="AB585" s="327"/>
      <c r="AC585" s="327"/>
      <c r="AD585" s="327"/>
      <c r="AE585" s="327"/>
      <c r="AF585" s="327"/>
      <c r="AG585" s="327"/>
      <c r="AH585" s="327"/>
      <c r="AI585" s="327"/>
      <c r="AJ585" s="327"/>
    </row>
    <row r="586" spans="1:36" x14ac:dyDescent="0.25">
      <c r="E586" s="327"/>
      <c r="F586" s="327"/>
      <c r="G586" s="327"/>
      <c r="H586" s="327"/>
      <c r="I586" s="327"/>
      <c r="J586" s="327"/>
      <c r="K586" s="327"/>
      <c r="L586" s="327"/>
      <c r="M586" s="327"/>
      <c r="N586" s="327"/>
      <c r="O586" s="327"/>
      <c r="P586" s="327"/>
      <c r="Q586" s="327"/>
      <c r="R586" s="327"/>
      <c r="S586" s="327"/>
      <c r="T586" s="327"/>
      <c r="U586" s="327"/>
      <c r="V586" s="327"/>
      <c r="W586" s="327"/>
      <c r="X586" s="327"/>
      <c r="Y586" s="327"/>
      <c r="Z586" s="327"/>
      <c r="AA586" s="327"/>
      <c r="AB586" s="327"/>
      <c r="AC586" s="327"/>
      <c r="AD586" s="327"/>
      <c r="AE586" s="327"/>
      <c r="AF586" s="327"/>
      <c r="AG586" s="327"/>
      <c r="AH586" s="327"/>
      <c r="AI586" s="327"/>
      <c r="AJ586" s="327"/>
    </row>
    <row r="587" spans="1:36" x14ac:dyDescent="0.25">
      <c r="A587" s="325"/>
      <c r="E587" s="327"/>
      <c r="F587" s="327"/>
      <c r="G587" s="327"/>
      <c r="H587" s="327"/>
      <c r="I587" s="327"/>
      <c r="J587" s="327"/>
      <c r="K587" s="327"/>
      <c r="L587" s="327"/>
      <c r="M587" s="327"/>
      <c r="N587" s="327"/>
      <c r="O587" s="327"/>
      <c r="P587" s="327"/>
      <c r="Q587" s="327"/>
      <c r="R587" s="327"/>
      <c r="S587" s="327"/>
      <c r="T587" s="327"/>
      <c r="U587" s="327"/>
      <c r="V587" s="327"/>
      <c r="W587" s="327"/>
      <c r="X587" s="327"/>
      <c r="Y587" s="327"/>
      <c r="Z587" s="327"/>
      <c r="AA587" s="327"/>
      <c r="AB587" s="327"/>
      <c r="AC587" s="327"/>
      <c r="AD587" s="327"/>
      <c r="AE587" s="327"/>
      <c r="AF587" s="327"/>
      <c r="AG587" s="327"/>
      <c r="AH587" s="327"/>
      <c r="AI587" s="327"/>
      <c r="AJ587" s="327"/>
    </row>
    <row r="588" spans="1:36" x14ac:dyDescent="0.25">
      <c r="A588" s="326"/>
      <c r="E588" s="327"/>
      <c r="F588" s="327"/>
      <c r="G588" s="327"/>
      <c r="H588" s="327"/>
      <c r="I588" s="327"/>
      <c r="J588" s="327"/>
      <c r="K588" s="327"/>
      <c r="L588" s="327"/>
      <c r="M588" s="327"/>
      <c r="N588" s="327"/>
      <c r="O588" s="327"/>
      <c r="P588" s="327"/>
      <c r="Q588" s="327"/>
      <c r="R588" s="327"/>
      <c r="S588" s="327"/>
      <c r="T588" s="327"/>
      <c r="U588" s="327"/>
      <c r="V588" s="327"/>
      <c r="W588" s="327"/>
      <c r="X588" s="327"/>
      <c r="Y588" s="327"/>
      <c r="Z588" s="327"/>
      <c r="AA588" s="327"/>
      <c r="AB588" s="327"/>
      <c r="AC588" s="327"/>
      <c r="AD588" s="327"/>
      <c r="AE588" s="327"/>
      <c r="AF588" s="327"/>
      <c r="AG588" s="327"/>
      <c r="AH588" s="327"/>
      <c r="AI588" s="327"/>
      <c r="AJ588" s="327"/>
    </row>
    <row r="589" spans="1:36" x14ac:dyDescent="0.25">
      <c r="A589" s="326"/>
      <c r="E589" s="327"/>
      <c r="F589" s="327"/>
      <c r="G589" s="327"/>
      <c r="H589" s="327"/>
      <c r="I589" s="327"/>
      <c r="J589" s="327"/>
      <c r="K589" s="327"/>
      <c r="L589" s="327"/>
      <c r="M589" s="327"/>
      <c r="N589" s="327"/>
      <c r="O589" s="327"/>
      <c r="P589" s="327"/>
      <c r="Q589" s="327"/>
      <c r="R589" s="327"/>
      <c r="S589" s="327"/>
      <c r="T589" s="327"/>
      <c r="U589" s="327"/>
      <c r="V589" s="327"/>
      <c r="W589" s="327"/>
      <c r="X589" s="327"/>
      <c r="Y589" s="327"/>
      <c r="Z589" s="327"/>
      <c r="AA589" s="327"/>
      <c r="AB589" s="327"/>
      <c r="AC589" s="327"/>
      <c r="AD589" s="327"/>
      <c r="AE589" s="327"/>
      <c r="AF589" s="327"/>
      <c r="AG589" s="327"/>
      <c r="AH589" s="327"/>
      <c r="AI589" s="327"/>
      <c r="AJ589" s="327"/>
    </row>
    <row r="590" spans="1:36" x14ac:dyDescent="0.25">
      <c r="A590" s="326"/>
      <c r="E590" s="327"/>
      <c r="F590" s="327"/>
      <c r="G590" s="327"/>
      <c r="H590" s="327"/>
      <c r="I590" s="327"/>
      <c r="J590" s="327"/>
      <c r="K590" s="327"/>
      <c r="L590" s="327"/>
      <c r="M590" s="327"/>
      <c r="N590" s="327"/>
      <c r="O590" s="327"/>
      <c r="P590" s="327"/>
      <c r="Q590" s="327"/>
      <c r="R590" s="327"/>
      <c r="S590" s="327"/>
      <c r="T590" s="327"/>
      <c r="U590" s="327"/>
      <c r="V590" s="327"/>
      <c r="W590" s="327"/>
      <c r="X590" s="327"/>
      <c r="Y590" s="327"/>
      <c r="Z590" s="327"/>
      <c r="AA590" s="327"/>
      <c r="AB590" s="327"/>
      <c r="AC590" s="327"/>
      <c r="AD590" s="327"/>
      <c r="AE590" s="327"/>
      <c r="AF590" s="327"/>
      <c r="AG590" s="327"/>
      <c r="AH590" s="327"/>
      <c r="AI590" s="327"/>
      <c r="AJ590" s="327"/>
    </row>
    <row r="591" spans="1:36" x14ac:dyDescent="0.25">
      <c r="A591" s="326"/>
      <c r="E591" s="327"/>
      <c r="F591" s="327"/>
      <c r="G591" s="327"/>
      <c r="H591" s="327"/>
      <c r="I591" s="327"/>
      <c r="J591" s="327"/>
      <c r="K591" s="327"/>
      <c r="L591" s="327"/>
      <c r="M591" s="327"/>
      <c r="N591" s="327"/>
      <c r="O591" s="327"/>
      <c r="P591" s="327"/>
      <c r="Q591" s="327"/>
      <c r="R591" s="327"/>
      <c r="S591" s="327"/>
      <c r="T591" s="327"/>
      <c r="U591" s="327"/>
      <c r="V591" s="327"/>
      <c r="W591" s="327"/>
      <c r="X591" s="327"/>
      <c r="Y591" s="327"/>
      <c r="Z591" s="327"/>
      <c r="AA591" s="327"/>
      <c r="AB591" s="327"/>
      <c r="AC591" s="327"/>
      <c r="AD591" s="327"/>
      <c r="AE591" s="327"/>
      <c r="AF591" s="327"/>
      <c r="AG591" s="327"/>
      <c r="AH591" s="327"/>
      <c r="AI591" s="327"/>
      <c r="AJ591" s="327"/>
    </row>
    <row r="592" spans="1:36" x14ac:dyDescent="0.25">
      <c r="A592" s="326"/>
      <c r="E592" s="327"/>
      <c r="F592" s="327"/>
      <c r="G592" s="327"/>
      <c r="H592" s="327"/>
      <c r="I592" s="327"/>
      <c r="J592" s="327"/>
      <c r="K592" s="327"/>
      <c r="L592" s="327"/>
      <c r="M592" s="327"/>
      <c r="N592" s="327"/>
      <c r="O592" s="327"/>
      <c r="P592" s="327"/>
      <c r="Q592" s="327"/>
      <c r="R592" s="327"/>
      <c r="S592" s="327"/>
      <c r="T592" s="327"/>
      <c r="U592" s="327"/>
      <c r="V592" s="327"/>
      <c r="W592" s="327"/>
      <c r="X592" s="327"/>
      <c r="Y592" s="327"/>
      <c r="Z592" s="327"/>
      <c r="AA592" s="327"/>
      <c r="AB592" s="327"/>
      <c r="AC592" s="327"/>
      <c r="AD592" s="327"/>
      <c r="AE592" s="327"/>
      <c r="AF592" s="327"/>
      <c r="AG592" s="327"/>
      <c r="AH592" s="327"/>
      <c r="AI592" s="327"/>
      <c r="AJ592" s="327"/>
    </row>
    <row r="593" spans="1:36" x14ac:dyDescent="0.25">
      <c r="A593" s="326"/>
      <c r="E593" s="327"/>
      <c r="F593" s="327"/>
      <c r="G593" s="327"/>
      <c r="H593" s="327"/>
      <c r="I593" s="327"/>
      <c r="J593" s="327"/>
      <c r="K593" s="327"/>
      <c r="L593" s="327"/>
      <c r="M593" s="327"/>
      <c r="N593" s="327"/>
      <c r="O593" s="327"/>
      <c r="P593" s="327"/>
      <c r="Q593" s="327"/>
      <c r="R593" s="327"/>
      <c r="S593" s="327"/>
      <c r="T593" s="327"/>
      <c r="U593" s="327"/>
      <c r="V593" s="327"/>
      <c r="W593" s="327"/>
      <c r="X593" s="327"/>
      <c r="Y593" s="327"/>
      <c r="Z593" s="327"/>
      <c r="AA593" s="327"/>
      <c r="AB593" s="327"/>
      <c r="AC593" s="327"/>
      <c r="AD593" s="327"/>
      <c r="AE593" s="327"/>
      <c r="AF593" s="327"/>
      <c r="AG593" s="327"/>
      <c r="AH593" s="327"/>
      <c r="AI593" s="327"/>
      <c r="AJ593" s="327"/>
    </row>
    <row r="594" spans="1:36" x14ac:dyDescent="0.25">
      <c r="A594" s="326"/>
      <c r="E594" s="327"/>
      <c r="F594" s="327"/>
      <c r="G594" s="327"/>
      <c r="H594" s="327"/>
      <c r="I594" s="327"/>
      <c r="J594" s="327"/>
      <c r="K594" s="327"/>
      <c r="L594" s="327"/>
      <c r="M594" s="327"/>
      <c r="N594" s="327"/>
      <c r="O594" s="327"/>
      <c r="P594" s="327"/>
      <c r="Q594" s="327"/>
      <c r="R594" s="327"/>
      <c r="S594" s="327"/>
      <c r="T594" s="327"/>
      <c r="U594" s="327"/>
      <c r="V594" s="327"/>
      <c r="W594" s="327"/>
      <c r="X594" s="327"/>
      <c r="Y594" s="327"/>
      <c r="Z594" s="327"/>
      <c r="AA594" s="327"/>
      <c r="AB594" s="327"/>
      <c r="AC594" s="327"/>
      <c r="AD594" s="327"/>
      <c r="AE594" s="327"/>
      <c r="AF594" s="327"/>
      <c r="AG594" s="327"/>
      <c r="AH594" s="327"/>
      <c r="AI594" s="327"/>
      <c r="AJ594" s="327"/>
    </row>
    <row r="595" spans="1:36" x14ac:dyDescent="0.25">
      <c r="A595" s="326"/>
      <c r="E595" s="327"/>
      <c r="F595" s="327"/>
      <c r="G595" s="327"/>
      <c r="H595" s="327"/>
      <c r="I595" s="327"/>
      <c r="J595" s="327"/>
      <c r="K595" s="327"/>
      <c r="L595" s="327"/>
      <c r="M595" s="327"/>
      <c r="N595" s="327"/>
      <c r="O595" s="327"/>
      <c r="P595" s="327"/>
      <c r="Q595" s="327"/>
      <c r="R595" s="327"/>
      <c r="S595" s="327"/>
      <c r="T595" s="327"/>
      <c r="U595" s="327"/>
      <c r="V595" s="327"/>
      <c r="W595" s="327"/>
      <c r="X595" s="327"/>
      <c r="Y595" s="327"/>
      <c r="Z595" s="327"/>
      <c r="AA595" s="327"/>
      <c r="AB595" s="327"/>
      <c r="AC595" s="327"/>
      <c r="AD595" s="327"/>
      <c r="AE595" s="327"/>
      <c r="AF595" s="327"/>
      <c r="AG595" s="327"/>
      <c r="AH595" s="327"/>
      <c r="AI595" s="327"/>
      <c r="AJ595" s="327"/>
    </row>
    <row r="596" spans="1:36" x14ac:dyDescent="0.25">
      <c r="A596" s="326"/>
      <c r="E596" s="327"/>
      <c r="F596" s="327"/>
      <c r="G596" s="327"/>
      <c r="H596" s="327"/>
      <c r="I596" s="327"/>
      <c r="J596" s="327"/>
      <c r="K596" s="327"/>
      <c r="L596" s="327"/>
      <c r="M596" s="327"/>
      <c r="N596" s="327"/>
      <c r="O596" s="327"/>
      <c r="P596" s="327"/>
      <c r="Q596" s="327"/>
      <c r="R596" s="327"/>
      <c r="S596" s="327"/>
      <c r="T596" s="327"/>
      <c r="U596" s="327"/>
      <c r="V596" s="327"/>
      <c r="W596" s="327"/>
      <c r="X596" s="327"/>
      <c r="Y596" s="327"/>
      <c r="Z596" s="327"/>
      <c r="AA596" s="327"/>
      <c r="AB596" s="327"/>
      <c r="AC596" s="327"/>
      <c r="AD596" s="327"/>
      <c r="AE596" s="327"/>
      <c r="AF596" s="327"/>
      <c r="AG596" s="327"/>
      <c r="AH596" s="327"/>
      <c r="AI596" s="327"/>
      <c r="AJ596" s="327"/>
    </row>
    <row r="597" spans="1:36" x14ac:dyDescent="0.25">
      <c r="A597" s="326"/>
      <c r="E597" s="327"/>
      <c r="F597" s="327"/>
      <c r="G597" s="327"/>
      <c r="H597" s="327"/>
      <c r="I597" s="327"/>
      <c r="J597" s="327"/>
      <c r="K597" s="327"/>
      <c r="L597" s="327"/>
      <c r="M597" s="327"/>
      <c r="N597" s="327"/>
      <c r="O597" s="327"/>
      <c r="P597" s="327"/>
      <c r="Q597" s="327"/>
      <c r="R597" s="327"/>
      <c r="S597" s="327"/>
      <c r="T597" s="327"/>
      <c r="U597" s="327"/>
      <c r="V597" s="327"/>
      <c r="W597" s="327"/>
      <c r="X597" s="327"/>
      <c r="Y597" s="327"/>
      <c r="Z597" s="327"/>
      <c r="AA597" s="327"/>
      <c r="AB597" s="327"/>
      <c r="AC597" s="327"/>
      <c r="AD597" s="327"/>
      <c r="AE597" s="327"/>
      <c r="AF597" s="327"/>
      <c r="AG597" s="327"/>
      <c r="AH597" s="327"/>
      <c r="AI597" s="327"/>
      <c r="AJ597" s="327"/>
    </row>
    <row r="598" spans="1:36" x14ac:dyDescent="0.25">
      <c r="A598" s="326"/>
      <c r="E598" s="327"/>
      <c r="F598" s="327"/>
      <c r="G598" s="327"/>
      <c r="H598" s="327"/>
      <c r="I598" s="327"/>
      <c r="J598" s="327"/>
      <c r="K598" s="327"/>
      <c r="L598" s="327"/>
      <c r="M598" s="327"/>
      <c r="N598" s="327"/>
      <c r="O598" s="327"/>
      <c r="P598" s="327"/>
      <c r="Q598" s="327"/>
      <c r="R598" s="327"/>
      <c r="S598" s="327"/>
      <c r="T598" s="327"/>
      <c r="U598" s="327"/>
      <c r="V598" s="327"/>
      <c r="W598" s="327"/>
      <c r="X598" s="327"/>
      <c r="Y598" s="327"/>
      <c r="Z598" s="327"/>
      <c r="AA598" s="327"/>
      <c r="AB598" s="327"/>
      <c r="AC598" s="327"/>
      <c r="AD598" s="327"/>
      <c r="AE598" s="327"/>
      <c r="AF598" s="327"/>
      <c r="AG598" s="327"/>
      <c r="AH598" s="327"/>
      <c r="AI598" s="327"/>
      <c r="AJ598" s="327"/>
    </row>
    <row r="599" spans="1:36" x14ac:dyDescent="0.25">
      <c r="A599" s="326"/>
      <c r="E599" s="327"/>
      <c r="F599" s="327"/>
      <c r="G599" s="327"/>
      <c r="H599" s="327"/>
      <c r="I599" s="327"/>
      <c r="J599" s="327"/>
      <c r="K599" s="327"/>
      <c r="L599" s="327"/>
      <c r="M599" s="327"/>
      <c r="N599" s="327"/>
      <c r="O599" s="327"/>
      <c r="P599" s="327"/>
      <c r="Q599" s="327"/>
      <c r="R599" s="327"/>
      <c r="S599" s="327"/>
      <c r="T599" s="327"/>
      <c r="U599" s="327"/>
      <c r="V599" s="327"/>
      <c r="W599" s="327"/>
      <c r="X599" s="327"/>
      <c r="Y599" s="327"/>
      <c r="Z599" s="327"/>
      <c r="AA599" s="327"/>
      <c r="AB599" s="327"/>
      <c r="AC599" s="327"/>
      <c r="AD599" s="327"/>
      <c r="AE599" s="327"/>
      <c r="AF599" s="327"/>
      <c r="AG599" s="327"/>
      <c r="AH599" s="327"/>
      <c r="AI599" s="327"/>
      <c r="AJ599" s="327"/>
    </row>
    <row r="600" spans="1:36" x14ac:dyDescent="0.25">
      <c r="A600" s="326"/>
      <c r="E600" s="327"/>
      <c r="F600" s="327"/>
      <c r="G600" s="327"/>
      <c r="H600" s="327"/>
      <c r="I600" s="327"/>
      <c r="J600" s="327"/>
      <c r="K600" s="327"/>
      <c r="L600" s="327"/>
      <c r="M600" s="327"/>
      <c r="N600" s="327"/>
      <c r="O600" s="327"/>
      <c r="P600" s="327"/>
      <c r="Q600" s="327"/>
      <c r="R600" s="327"/>
      <c r="S600" s="327"/>
      <c r="T600" s="327"/>
      <c r="U600" s="327"/>
      <c r="V600" s="327"/>
      <c r="W600" s="327"/>
      <c r="X600" s="327"/>
      <c r="Y600" s="327"/>
      <c r="Z600" s="327"/>
      <c r="AA600" s="327"/>
      <c r="AB600" s="327"/>
      <c r="AC600" s="327"/>
      <c r="AD600" s="327"/>
      <c r="AE600" s="327"/>
      <c r="AF600" s="327"/>
      <c r="AG600" s="327"/>
      <c r="AH600" s="327"/>
      <c r="AI600" s="327"/>
      <c r="AJ600" s="327"/>
    </row>
    <row r="601" spans="1:36" x14ac:dyDescent="0.25">
      <c r="A601" s="326"/>
      <c r="E601" s="327"/>
      <c r="F601" s="327"/>
      <c r="G601" s="327"/>
      <c r="H601" s="327"/>
      <c r="I601" s="327"/>
      <c r="J601" s="327"/>
      <c r="K601" s="327"/>
      <c r="L601" s="327"/>
      <c r="M601" s="327"/>
      <c r="N601" s="327"/>
      <c r="O601" s="327"/>
      <c r="P601" s="327"/>
      <c r="Q601" s="327"/>
      <c r="R601" s="327"/>
      <c r="S601" s="327"/>
      <c r="T601" s="327"/>
      <c r="U601" s="327"/>
      <c r="V601" s="327"/>
      <c r="W601" s="327"/>
      <c r="X601" s="327"/>
      <c r="Y601" s="327"/>
      <c r="Z601" s="327"/>
      <c r="AA601" s="327"/>
      <c r="AB601" s="327"/>
      <c r="AC601" s="327"/>
      <c r="AD601" s="327"/>
      <c r="AE601" s="327"/>
      <c r="AF601" s="327"/>
      <c r="AG601" s="327"/>
      <c r="AH601" s="327"/>
      <c r="AI601" s="327"/>
      <c r="AJ601" s="327"/>
    </row>
    <row r="602" spans="1:36" x14ac:dyDescent="0.25">
      <c r="A602" s="326"/>
      <c r="E602" s="327"/>
      <c r="F602" s="327"/>
      <c r="G602" s="327"/>
      <c r="H602" s="327"/>
      <c r="I602" s="327"/>
      <c r="J602" s="327"/>
      <c r="K602" s="327"/>
      <c r="L602" s="327"/>
      <c r="M602" s="327"/>
      <c r="N602" s="327"/>
      <c r="O602" s="327"/>
      <c r="P602" s="327"/>
      <c r="Q602" s="327"/>
      <c r="R602" s="327"/>
      <c r="S602" s="327"/>
      <c r="T602" s="327"/>
      <c r="U602" s="327"/>
      <c r="V602" s="327"/>
      <c r="W602" s="327"/>
      <c r="X602" s="327"/>
      <c r="Y602" s="327"/>
      <c r="Z602" s="327"/>
      <c r="AA602" s="327"/>
      <c r="AB602" s="327"/>
      <c r="AC602" s="327"/>
      <c r="AD602" s="327"/>
      <c r="AE602" s="327"/>
      <c r="AF602" s="327"/>
      <c r="AG602" s="327"/>
      <c r="AH602" s="327"/>
      <c r="AI602" s="327"/>
      <c r="AJ602" s="327"/>
    </row>
    <row r="603" spans="1:36" x14ac:dyDescent="0.25">
      <c r="A603" s="326"/>
      <c r="E603" s="327"/>
      <c r="F603" s="327"/>
      <c r="G603" s="327"/>
      <c r="H603" s="327"/>
      <c r="I603" s="327"/>
      <c r="J603" s="327"/>
      <c r="K603" s="327"/>
      <c r="L603" s="327"/>
      <c r="M603" s="327"/>
      <c r="N603" s="327"/>
      <c r="O603" s="327"/>
      <c r="P603" s="327"/>
      <c r="Q603" s="327"/>
      <c r="R603" s="327"/>
      <c r="S603" s="327"/>
      <c r="T603" s="327"/>
      <c r="U603" s="327"/>
      <c r="V603" s="327"/>
      <c r="W603" s="327"/>
      <c r="X603" s="327"/>
      <c r="Y603" s="327"/>
      <c r="Z603" s="327"/>
      <c r="AA603" s="327"/>
      <c r="AB603" s="327"/>
      <c r="AC603" s="327"/>
      <c r="AD603" s="327"/>
      <c r="AE603" s="327"/>
      <c r="AF603" s="327"/>
      <c r="AG603" s="327"/>
      <c r="AH603" s="327"/>
      <c r="AI603" s="327"/>
      <c r="AJ603" s="327"/>
    </row>
    <row r="604" spans="1:36" x14ac:dyDescent="0.25">
      <c r="A604" s="326"/>
      <c r="E604" s="327"/>
      <c r="F604" s="327"/>
      <c r="G604" s="327"/>
      <c r="H604" s="327"/>
      <c r="I604" s="327"/>
      <c r="J604" s="327"/>
      <c r="K604" s="327"/>
      <c r="L604" s="327"/>
      <c r="M604" s="327"/>
      <c r="N604" s="327"/>
      <c r="O604" s="327"/>
      <c r="P604" s="327"/>
      <c r="Q604" s="327"/>
      <c r="R604" s="327"/>
      <c r="S604" s="327"/>
      <c r="T604" s="327"/>
      <c r="U604" s="327"/>
      <c r="V604" s="327"/>
      <c r="W604" s="327"/>
      <c r="X604" s="327"/>
      <c r="Y604" s="327"/>
      <c r="Z604" s="327"/>
      <c r="AA604" s="327"/>
      <c r="AB604" s="327"/>
      <c r="AC604" s="327"/>
      <c r="AD604" s="327"/>
      <c r="AE604" s="327"/>
      <c r="AF604" s="327"/>
      <c r="AG604" s="327"/>
      <c r="AH604" s="327"/>
      <c r="AI604" s="327"/>
      <c r="AJ604" s="327"/>
    </row>
    <row r="605" spans="1:36" x14ac:dyDescent="0.25">
      <c r="A605" s="326"/>
      <c r="E605" s="327"/>
      <c r="F605" s="327"/>
      <c r="G605" s="327"/>
      <c r="H605" s="327"/>
      <c r="I605" s="327"/>
      <c r="J605" s="327"/>
      <c r="K605" s="327"/>
      <c r="L605" s="327"/>
      <c r="M605" s="327"/>
      <c r="N605" s="327"/>
      <c r="O605" s="327"/>
      <c r="P605" s="327"/>
      <c r="Q605" s="327"/>
      <c r="R605" s="327"/>
      <c r="S605" s="327"/>
      <c r="T605" s="327"/>
      <c r="U605" s="327"/>
      <c r="V605" s="327"/>
      <c r="W605" s="327"/>
      <c r="X605" s="327"/>
      <c r="Y605" s="327"/>
      <c r="Z605" s="327"/>
      <c r="AA605" s="327"/>
      <c r="AB605" s="327"/>
      <c r="AC605" s="327"/>
      <c r="AD605" s="327"/>
      <c r="AE605" s="327"/>
      <c r="AF605" s="327"/>
      <c r="AG605" s="327"/>
      <c r="AH605" s="327"/>
      <c r="AI605" s="327"/>
      <c r="AJ605" s="327"/>
    </row>
    <row r="606" spans="1:36" x14ac:dyDescent="0.25">
      <c r="E606" s="327"/>
      <c r="F606" s="327"/>
      <c r="G606" s="327"/>
      <c r="H606" s="327"/>
      <c r="I606" s="327"/>
      <c r="J606" s="327"/>
      <c r="K606" s="327"/>
      <c r="L606" s="327"/>
      <c r="M606" s="327"/>
      <c r="N606" s="327"/>
      <c r="O606" s="327"/>
      <c r="P606" s="327"/>
      <c r="Q606" s="327"/>
      <c r="R606" s="327"/>
      <c r="S606" s="327"/>
      <c r="T606" s="327"/>
      <c r="U606" s="327"/>
      <c r="V606" s="327"/>
      <c r="W606" s="327"/>
      <c r="X606" s="327"/>
      <c r="Y606" s="327"/>
      <c r="Z606" s="327"/>
      <c r="AA606" s="327"/>
      <c r="AB606" s="327"/>
      <c r="AC606" s="327"/>
      <c r="AD606" s="327"/>
      <c r="AE606" s="327"/>
      <c r="AF606" s="327"/>
      <c r="AG606" s="327"/>
      <c r="AH606" s="327"/>
      <c r="AI606" s="327"/>
      <c r="AJ606" s="327"/>
    </row>
    <row r="607" spans="1:36" x14ac:dyDescent="0.25">
      <c r="E607" s="327"/>
      <c r="F607" s="327"/>
      <c r="G607" s="327"/>
      <c r="H607" s="327"/>
      <c r="I607" s="327"/>
      <c r="J607" s="327"/>
      <c r="K607" s="327"/>
      <c r="L607" s="327"/>
      <c r="M607" s="327"/>
      <c r="N607" s="327"/>
      <c r="O607" s="327"/>
      <c r="P607" s="327"/>
      <c r="Q607" s="327"/>
      <c r="R607" s="327"/>
      <c r="S607" s="327"/>
      <c r="T607" s="327"/>
      <c r="U607" s="327"/>
      <c r="V607" s="327"/>
      <c r="W607" s="327"/>
      <c r="X607" s="327"/>
      <c r="Y607" s="327"/>
      <c r="Z607" s="327"/>
      <c r="AA607" s="327"/>
      <c r="AB607" s="327"/>
      <c r="AC607" s="327"/>
      <c r="AD607" s="327"/>
      <c r="AE607" s="327"/>
      <c r="AF607" s="327"/>
      <c r="AG607" s="327"/>
      <c r="AH607" s="327"/>
      <c r="AI607" s="327"/>
      <c r="AJ607" s="327"/>
    </row>
    <row r="608" spans="1:36" x14ac:dyDescent="0.25">
      <c r="E608" s="327"/>
      <c r="F608" s="327"/>
      <c r="G608" s="327"/>
      <c r="H608" s="327"/>
      <c r="I608" s="327"/>
      <c r="J608" s="327"/>
      <c r="K608" s="327"/>
      <c r="L608" s="327"/>
      <c r="M608" s="327"/>
      <c r="N608" s="327"/>
      <c r="O608" s="327"/>
      <c r="P608" s="327"/>
      <c r="Q608" s="327"/>
      <c r="R608" s="327"/>
      <c r="S608" s="327"/>
      <c r="T608" s="327"/>
      <c r="U608" s="327"/>
      <c r="V608" s="327"/>
      <c r="W608" s="327"/>
      <c r="X608" s="327"/>
      <c r="Y608" s="327"/>
      <c r="Z608" s="327"/>
      <c r="AA608" s="327"/>
      <c r="AB608" s="327"/>
      <c r="AC608" s="327"/>
      <c r="AD608" s="327"/>
      <c r="AE608" s="327"/>
      <c r="AF608" s="327"/>
      <c r="AG608" s="327"/>
      <c r="AH608" s="327"/>
      <c r="AI608" s="327"/>
      <c r="AJ608" s="327"/>
    </row>
    <row r="609" spans="1:36" x14ac:dyDescent="0.25">
      <c r="E609" s="327"/>
      <c r="F609" s="327"/>
      <c r="G609" s="327"/>
      <c r="H609" s="327"/>
      <c r="I609" s="327"/>
      <c r="J609" s="327"/>
      <c r="K609" s="327"/>
      <c r="L609" s="327"/>
      <c r="M609" s="327"/>
      <c r="N609" s="327"/>
      <c r="O609" s="327"/>
      <c r="P609" s="327"/>
      <c r="Q609" s="327"/>
      <c r="R609" s="327"/>
      <c r="S609" s="327"/>
      <c r="T609" s="327"/>
      <c r="U609" s="327"/>
      <c r="V609" s="327"/>
      <c r="W609" s="327"/>
      <c r="X609" s="327"/>
      <c r="Y609" s="327"/>
      <c r="Z609" s="327"/>
      <c r="AA609" s="327"/>
      <c r="AB609" s="327"/>
      <c r="AC609" s="327"/>
      <c r="AD609" s="327"/>
      <c r="AE609" s="327"/>
      <c r="AF609" s="327"/>
      <c r="AG609" s="327"/>
      <c r="AH609" s="327"/>
      <c r="AI609" s="327"/>
      <c r="AJ609" s="327"/>
    </row>
    <row r="610" spans="1:36" x14ac:dyDescent="0.25">
      <c r="E610" s="327"/>
      <c r="F610" s="327"/>
      <c r="G610" s="327"/>
      <c r="H610" s="327"/>
      <c r="I610" s="327"/>
      <c r="J610" s="327"/>
      <c r="K610" s="327"/>
      <c r="L610" s="327"/>
      <c r="M610" s="327"/>
      <c r="N610" s="327"/>
      <c r="O610" s="327"/>
      <c r="P610" s="327"/>
      <c r="Q610" s="327"/>
      <c r="R610" s="327"/>
      <c r="S610" s="327"/>
      <c r="T610" s="327"/>
      <c r="U610" s="327"/>
      <c r="V610" s="327"/>
      <c r="W610" s="327"/>
      <c r="X610" s="327"/>
      <c r="Y610" s="327"/>
      <c r="Z610" s="327"/>
      <c r="AA610" s="327"/>
      <c r="AB610" s="327"/>
      <c r="AC610" s="327"/>
      <c r="AD610" s="327"/>
      <c r="AE610" s="327"/>
      <c r="AF610" s="327"/>
      <c r="AG610" s="327"/>
      <c r="AH610" s="327"/>
      <c r="AI610" s="327"/>
      <c r="AJ610" s="327"/>
    </row>
    <row r="611" spans="1:36" x14ac:dyDescent="0.25">
      <c r="E611" s="327"/>
      <c r="F611" s="327"/>
      <c r="G611" s="327"/>
      <c r="H611" s="327"/>
      <c r="I611" s="327"/>
      <c r="J611" s="327"/>
      <c r="K611" s="327"/>
      <c r="L611" s="327"/>
      <c r="M611" s="327"/>
      <c r="N611" s="327"/>
      <c r="O611" s="327"/>
      <c r="P611" s="327"/>
      <c r="Q611" s="327"/>
      <c r="R611" s="327"/>
      <c r="S611" s="327"/>
      <c r="T611" s="327"/>
      <c r="U611" s="327"/>
      <c r="V611" s="327"/>
      <c r="W611" s="327"/>
      <c r="X611" s="327"/>
      <c r="Y611" s="327"/>
      <c r="Z611" s="327"/>
      <c r="AA611" s="327"/>
      <c r="AB611" s="327"/>
      <c r="AC611" s="327"/>
      <c r="AD611" s="327"/>
      <c r="AE611" s="327"/>
      <c r="AF611" s="327"/>
      <c r="AG611" s="327"/>
      <c r="AH611" s="327"/>
      <c r="AI611" s="327"/>
      <c r="AJ611" s="327"/>
    </row>
    <row r="612" spans="1:36" x14ac:dyDescent="0.25">
      <c r="E612" s="327"/>
      <c r="F612" s="327"/>
      <c r="G612" s="327"/>
      <c r="H612" s="327"/>
      <c r="I612" s="327"/>
      <c r="J612" s="327"/>
      <c r="K612" s="327"/>
      <c r="L612" s="327"/>
      <c r="M612" s="327"/>
      <c r="N612" s="327"/>
      <c r="O612" s="327"/>
      <c r="P612" s="327"/>
      <c r="Q612" s="327"/>
      <c r="R612" s="327"/>
      <c r="S612" s="327"/>
      <c r="T612" s="327"/>
      <c r="U612" s="327"/>
      <c r="V612" s="327"/>
      <c r="W612" s="327"/>
      <c r="X612" s="327"/>
      <c r="Y612" s="327"/>
      <c r="Z612" s="327"/>
      <c r="AA612" s="327"/>
      <c r="AB612" s="327"/>
      <c r="AC612" s="327"/>
      <c r="AD612" s="327"/>
      <c r="AE612" s="327"/>
      <c r="AF612" s="327"/>
      <c r="AG612" s="327"/>
      <c r="AH612" s="327"/>
      <c r="AI612" s="327"/>
      <c r="AJ612" s="327"/>
    </row>
    <row r="613" spans="1:36" x14ac:dyDescent="0.25">
      <c r="A613" s="325"/>
      <c r="E613" s="327"/>
      <c r="F613" s="327"/>
      <c r="G613" s="327"/>
      <c r="H613" s="327"/>
      <c r="I613" s="327"/>
      <c r="J613" s="327"/>
      <c r="K613" s="327"/>
      <c r="L613" s="327"/>
      <c r="M613" s="327"/>
      <c r="N613" s="327"/>
      <c r="O613" s="327"/>
      <c r="P613" s="327"/>
      <c r="Q613" s="327"/>
      <c r="R613" s="327"/>
      <c r="S613" s="327"/>
      <c r="T613" s="327"/>
      <c r="U613" s="327"/>
      <c r="V613" s="327"/>
      <c r="W613" s="327"/>
      <c r="X613" s="327"/>
      <c r="Y613" s="327"/>
      <c r="Z613" s="327"/>
      <c r="AA613" s="327"/>
      <c r="AB613" s="327"/>
      <c r="AC613" s="327"/>
      <c r="AD613" s="327"/>
      <c r="AE613" s="327"/>
      <c r="AF613" s="327"/>
      <c r="AG613" s="327"/>
      <c r="AH613" s="327"/>
      <c r="AI613" s="327"/>
      <c r="AJ613" s="327"/>
    </row>
    <row r="614" spans="1:36" x14ac:dyDescent="0.25">
      <c r="A614" s="326"/>
      <c r="E614" s="327"/>
      <c r="F614" s="327"/>
      <c r="G614" s="327"/>
      <c r="H614" s="327"/>
      <c r="I614" s="327"/>
      <c r="J614" s="327"/>
      <c r="K614" s="327"/>
      <c r="L614" s="327"/>
      <c r="M614" s="327"/>
      <c r="N614" s="327"/>
      <c r="O614" s="327"/>
      <c r="P614" s="327"/>
      <c r="Q614" s="327"/>
      <c r="R614" s="327"/>
      <c r="S614" s="327"/>
      <c r="T614" s="327"/>
      <c r="U614" s="327"/>
      <c r="V614" s="327"/>
      <c r="W614" s="327"/>
      <c r="X614" s="327"/>
      <c r="Y614" s="327"/>
      <c r="Z614" s="327"/>
      <c r="AA614" s="327"/>
      <c r="AB614" s="327"/>
      <c r="AC614" s="327"/>
      <c r="AD614" s="327"/>
      <c r="AE614" s="327"/>
      <c r="AF614" s="327"/>
      <c r="AG614" s="327"/>
      <c r="AH614" s="327"/>
      <c r="AI614" s="327"/>
      <c r="AJ614" s="327"/>
    </row>
    <row r="615" spans="1:36" x14ac:dyDescent="0.25">
      <c r="A615" s="326"/>
      <c r="E615" s="327"/>
      <c r="F615" s="327"/>
      <c r="G615" s="327"/>
      <c r="H615" s="327"/>
      <c r="I615" s="327"/>
      <c r="J615" s="327"/>
      <c r="K615" s="327"/>
      <c r="L615" s="327"/>
      <c r="M615" s="327"/>
      <c r="N615" s="327"/>
      <c r="O615" s="327"/>
      <c r="P615" s="327"/>
      <c r="Q615" s="327"/>
      <c r="R615" s="327"/>
      <c r="S615" s="327"/>
      <c r="T615" s="327"/>
      <c r="U615" s="327"/>
      <c r="V615" s="327"/>
      <c r="W615" s="327"/>
      <c r="X615" s="327"/>
      <c r="Y615" s="327"/>
      <c r="Z615" s="327"/>
      <c r="AA615" s="327"/>
      <c r="AB615" s="327"/>
      <c r="AC615" s="327"/>
      <c r="AD615" s="327"/>
      <c r="AE615" s="327"/>
      <c r="AF615" s="327"/>
      <c r="AG615" s="327"/>
      <c r="AH615" s="327"/>
      <c r="AI615" s="327"/>
      <c r="AJ615" s="327"/>
    </row>
    <row r="616" spans="1:36" x14ac:dyDescent="0.25">
      <c r="A616" s="326"/>
      <c r="E616" s="327"/>
      <c r="F616" s="327"/>
      <c r="G616" s="327"/>
      <c r="H616" s="327"/>
      <c r="I616" s="327"/>
      <c r="J616" s="327"/>
      <c r="K616" s="327"/>
      <c r="L616" s="327"/>
      <c r="M616" s="327"/>
      <c r="N616" s="327"/>
      <c r="O616" s="327"/>
      <c r="P616" s="327"/>
      <c r="Q616" s="327"/>
      <c r="R616" s="327"/>
      <c r="S616" s="327"/>
      <c r="T616" s="327"/>
      <c r="U616" s="327"/>
      <c r="V616" s="327"/>
      <c r="W616" s="327"/>
      <c r="X616" s="327"/>
      <c r="Y616" s="327"/>
      <c r="Z616" s="327"/>
      <c r="AA616" s="327"/>
      <c r="AB616" s="327"/>
      <c r="AC616" s="327"/>
      <c r="AD616" s="327"/>
      <c r="AE616" s="327"/>
      <c r="AF616" s="327"/>
      <c r="AG616" s="327"/>
      <c r="AH616" s="327"/>
      <c r="AI616" s="327"/>
      <c r="AJ616" s="327"/>
    </row>
    <row r="617" spans="1:36" x14ac:dyDescent="0.25">
      <c r="A617" s="326"/>
      <c r="E617" s="327"/>
      <c r="F617" s="327"/>
      <c r="G617" s="327"/>
      <c r="H617" s="327"/>
      <c r="I617" s="327"/>
      <c r="J617" s="327"/>
      <c r="K617" s="327"/>
      <c r="L617" s="327"/>
      <c r="M617" s="327"/>
      <c r="N617" s="327"/>
      <c r="O617" s="327"/>
      <c r="P617" s="327"/>
      <c r="Q617" s="327"/>
      <c r="R617" s="327"/>
      <c r="S617" s="327"/>
      <c r="T617" s="327"/>
      <c r="U617" s="327"/>
      <c r="V617" s="327"/>
      <c r="W617" s="327"/>
      <c r="X617" s="327"/>
      <c r="Y617" s="327"/>
      <c r="Z617" s="327"/>
      <c r="AA617" s="327"/>
      <c r="AB617" s="327"/>
      <c r="AC617" s="327"/>
      <c r="AD617" s="327"/>
      <c r="AE617" s="327"/>
      <c r="AF617" s="327"/>
      <c r="AG617" s="327"/>
      <c r="AH617" s="327"/>
      <c r="AI617" s="327"/>
      <c r="AJ617" s="327"/>
    </row>
    <row r="618" spans="1:36" x14ac:dyDescent="0.25">
      <c r="A618" s="326"/>
      <c r="E618" s="327"/>
      <c r="F618" s="327"/>
      <c r="G618" s="327"/>
      <c r="H618" s="327"/>
      <c r="I618" s="327"/>
      <c r="J618" s="327"/>
      <c r="K618" s="327"/>
      <c r="L618" s="327"/>
      <c r="M618" s="327"/>
      <c r="N618" s="327"/>
      <c r="O618" s="327"/>
      <c r="P618" s="327"/>
      <c r="Q618" s="327"/>
      <c r="R618" s="327"/>
      <c r="S618" s="327"/>
      <c r="T618" s="327"/>
      <c r="U618" s="327"/>
      <c r="V618" s="327"/>
      <c r="W618" s="327"/>
      <c r="X618" s="327"/>
      <c r="Y618" s="327"/>
      <c r="Z618" s="327"/>
      <c r="AA618" s="327"/>
      <c r="AB618" s="327"/>
      <c r="AC618" s="327"/>
      <c r="AD618" s="327"/>
      <c r="AE618" s="327"/>
      <c r="AF618" s="327"/>
      <c r="AG618" s="327"/>
      <c r="AH618" s="327"/>
      <c r="AI618" s="327"/>
      <c r="AJ618" s="327"/>
    </row>
    <row r="619" spans="1:36" x14ac:dyDescent="0.25">
      <c r="A619" s="326"/>
      <c r="E619" s="327"/>
      <c r="F619" s="327"/>
      <c r="G619" s="327"/>
      <c r="H619" s="327"/>
      <c r="I619" s="327"/>
      <c r="J619" s="327"/>
      <c r="K619" s="327"/>
      <c r="L619" s="327"/>
      <c r="M619" s="327"/>
      <c r="N619" s="327"/>
      <c r="O619" s="327"/>
      <c r="P619" s="327"/>
      <c r="Q619" s="327"/>
      <c r="R619" s="327"/>
      <c r="S619" s="327"/>
      <c r="T619" s="327"/>
      <c r="U619" s="327"/>
      <c r="V619" s="327"/>
      <c r="W619" s="327"/>
      <c r="X619" s="327"/>
      <c r="Y619" s="327"/>
      <c r="Z619" s="327"/>
      <c r="AA619" s="327"/>
      <c r="AB619" s="327"/>
      <c r="AC619" s="327"/>
      <c r="AD619" s="327"/>
      <c r="AE619" s="327"/>
      <c r="AF619" s="327"/>
      <c r="AG619" s="327"/>
      <c r="AH619" s="327"/>
      <c r="AI619" s="327"/>
      <c r="AJ619" s="327"/>
    </row>
    <row r="620" spans="1:36" x14ac:dyDescent="0.25">
      <c r="A620" s="326"/>
      <c r="E620" s="327"/>
      <c r="F620" s="327"/>
      <c r="G620" s="327"/>
      <c r="H620" s="327"/>
      <c r="I620" s="327"/>
      <c r="J620" s="327"/>
      <c r="K620" s="327"/>
      <c r="L620" s="327"/>
      <c r="M620" s="327"/>
      <c r="N620" s="327"/>
      <c r="O620" s="327"/>
      <c r="P620" s="327"/>
      <c r="Q620" s="327"/>
      <c r="R620" s="327"/>
      <c r="S620" s="327"/>
      <c r="T620" s="327"/>
      <c r="U620" s="327"/>
      <c r="V620" s="327"/>
      <c r="W620" s="327"/>
      <c r="X620" s="327"/>
      <c r="Y620" s="327"/>
      <c r="Z620" s="327"/>
      <c r="AA620" s="327"/>
      <c r="AB620" s="327"/>
      <c r="AC620" s="327"/>
      <c r="AD620" s="327"/>
      <c r="AE620" s="327"/>
      <c r="AF620" s="327"/>
      <c r="AG620" s="327"/>
      <c r="AH620" s="327"/>
      <c r="AI620" s="327"/>
      <c r="AJ620" s="327"/>
    </row>
    <row r="621" spans="1:36" x14ac:dyDescent="0.25">
      <c r="A621" s="326"/>
      <c r="E621" s="327"/>
      <c r="F621" s="327"/>
      <c r="G621" s="327"/>
      <c r="H621" s="327"/>
      <c r="I621" s="327"/>
      <c r="J621" s="327"/>
      <c r="K621" s="327"/>
      <c r="L621" s="327"/>
      <c r="M621" s="327"/>
      <c r="N621" s="327"/>
      <c r="O621" s="327"/>
      <c r="P621" s="327"/>
      <c r="Q621" s="327"/>
      <c r="R621" s="327"/>
      <c r="S621" s="327"/>
      <c r="T621" s="327"/>
      <c r="U621" s="327"/>
      <c r="V621" s="327"/>
      <c r="W621" s="327"/>
      <c r="X621" s="327"/>
      <c r="Y621" s="327"/>
      <c r="Z621" s="327"/>
      <c r="AA621" s="327"/>
      <c r="AB621" s="327"/>
      <c r="AC621" s="327"/>
      <c r="AD621" s="327"/>
      <c r="AE621" s="327"/>
      <c r="AF621" s="327"/>
      <c r="AG621" s="327"/>
      <c r="AH621" s="327"/>
      <c r="AI621" s="327"/>
      <c r="AJ621" s="327"/>
    </row>
    <row r="622" spans="1:36" x14ac:dyDescent="0.25">
      <c r="A622" s="326"/>
      <c r="E622" s="327"/>
      <c r="F622" s="327"/>
      <c r="G622" s="327"/>
      <c r="H622" s="327"/>
      <c r="I622" s="327"/>
      <c r="J622" s="327"/>
      <c r="K622" s="327"/>
      <c r="L622" s="327"/>
      <c r="M622" s="327"/>
      <c r="N622" s="327"/>
      <c r="O622" s="327"/>
      <c r="P622" s="327"/>
      <c r="Q622" s="327"/>
      <c r="R622" s="327"/>
      <c r="S622" s="327"/>
      <c r="T622" s="327"/>
      <c r="U622" s="327"/>
      <c r="V622" s="327"/>
      <c r="W622" s="327"/>
      <c r="X622" s="327"/>
      <c r="Y622" s="327"/>
      <c r="Z622" s="327"/>
      <c r="AA622" s="327"/>
      <c r="AB622" s="327"/>
      <c r="AC622" s="327"/>
      <c r="AD622" s="327"/>
      <c r="AE622" s="327"/>
      <c r="AF622" s="327"/>
      <c r="AG622" s="327"/>
      <c r="AH622" s="327"/>
      <c r="AI622" s="327"/>
      <c r="AJ622" s="327"/>
    </row>
    <row r="623" spans="1:36" x14ac:dyDescent="0.25">
      <c r="A623" s="326"/>
      <c r="E623" s="327"/>
      <c r="F623" s="327"/>
      <c r="G623" s="327"/>
      <c r="H623" s="327"/>
      <c r="I623" s="327"/>
      <c r="J623" s="327"/>
      <c r="K623" s="327"/>
      <c r="L623" s="327"/>
      <c r="M623" s="327"/>
      <c r="N623" s="327"/>
      <c r="O623" s="327"/>
      <c r="P623" s="327"/>
      <c r="Q623" s="327"/>
      <c r="R623" s="327"/>
      <c r="S623" s="327"/>
      <c r="T623" s="327"/>
      <c r="U623" s="327"/>
      <c r="V623" s="327"/>
      <c r="W623" s="327"/>
      <c r="X623" s="327"/>
      <c r="Y623" s="327"/>
      <c r="Z623" s="327"/>
      <c r="AA623" s="327"/>
      <c r="AB623" s="327"/>
      <c r="AC623" s="327"/>
      <c r="AD623" s="327"/>
      <c r="AE623" s="327"/>
      <c r="AF623" s="327"/>
      <c r="AG623" s="327"/>
      <c r="AH623" s="327"/>
      <c r="AI623" s="327"/>
      <c r="AJ623" s="327"/>
    </row>
    <row r="624" spans="1:36" x14ac:dyDescent="0.25">
      <c r="A624" s="326"/>
      <c r="E624" s="327"/>
      <c r="F624" s="327"/>
      <c r="G624" s="327"/>
      <c r="H624" s="327"/>
      <c r="I624" s="327"/>
      <c r="J624" s="327"/>
      <c r="K624" s="327"/>
      <c r="L624" s="327"/>
      <c r="M624" s="327"/>
      <c r="N624" s="327"/>
      <c r="O624" s="327"/>
      <c r="P624" s="327"/>
      <c r="Q624" s="327"/>
      <c r="R624" s="327"/>
      <c r="S624" s="327"/>
      <c r="T624" s="327"/>
      <c r="U624" s="327"/>
      <c r="V624" s="327"/>
      <c r="W624" s="327"/>
      <c r="X624" s="327"/>
      <c r="Y624" s="327"/>
      <c r="Z624" s="327"/>
      <c r="AA624" s="327"/>
      <c r="AB624" s="327"/>
      <c r="AC624" s="327"/>
      <c r="AD624" s="327"/>
      <c r="AE624" s="327"/>
      <c r="AF624" s="327"/>
      <c r="AG624" s="327"/>
      <c r="AH624" s="327"/>
      <c r="AI624" s="327"/>
      <c r="AJ624" s="327"/>
    </row>
    <row r="625" spans="1:36" x14ac:dyDescent="0.25">
      <c r="A625" s="326"/>
      <c r="E625" s="327"/>
      <c r="F625" s="327"/>
      <c r="G625" s="327"/>
      <c r="H625" s="327"/>
      <c r="I625" s="327"/>
      <c r="J625" s="327"/>
      <c r="K625" s="327"/>
      <c r="L625" s="327"/>
      <c r="M625" s="327"/>
      <c r="N625" s="327"/>
      <c r="O625" s="327"/>
      <c r="P625" s="327"/>
      <c r="Q625" s="327"/>
      <c r="R625" s="327"/>
      <c r="S625" s="327"/>
      <c r="T625" s="327"/>
      <c r="U625" s="327"/>
      <c r="V625" s="327"/>
      <c r="W625" s="327"/>
      <c r="X625" s="327"/>
      <c r="Y625" s="327"/>
      <c r="Z625" s="327"/>
      <c r="AA625" s="327"/>
      <c r="AB625" s="327"/>
      <c r="AC625" s="327"/>
      <c r="AD625" s="327"/>
      <c r="AE625" s="327"/>
      <c r="AF625" s="327"/>
      <c r="AG625" s="327"/>
      <c r="AH625" s="327"/>
      <c r="AI625" s="327"/>
      <c r="AJ625" s="327"/>
    </row>
    <row r="626" spans="1:36" x14ac:dyDescent="0.25">
      <c r="A626" s="326"/>
      <c r="E626" s="327"/>
      <c r="F626" s="327"/>
      <c r="G626" s="327"/>
      <c r="H626" s="327"/>
      <c r="I626" s="327"/>
      <c r="J626" s="327"/>
      <c r="K626" s="327"/>
      <c r="L626" s="327"/>
      <c r="M626" s="327"/>
      <c r="N626" s="327"/>
      <c r="O626" s="327"/>
      <c r="P626" s="327"/>
      <c r="Q626" s="327"/>
      <c r="R626" s="327"/>
      <c r="S626" s="327"/>
      <c r="T626" s="327"/>
      <c r="U626" s="327"/>
      <c r="V626" s="327"/>
      <c r="W626" s="327"/>
      <c r="X626" s="327"/>
      <c r="Y626" s="327"/>
      <c r="Z626" s="327"/>
      <c r="AA626" s="327"/>
      <c r="AB626" s="327"/>
      <c r="AC626" s="327"/>
      <c r="AD626" s="327"/>
      <c r="AE626" s="327"/>
      <c r="AF626" s="327"/>
      <c r="AG626" s="327"/>
      <c r="AH626" s="327"/>
      <c r="AI626" s="327"/>
      <c r="AJ626" s="327"/>
    </row>
    <row r="627" spans="1:36" x14ac:dyDescent="0.25">
      <c r="A627" s="326"/>
      <c r="E627" s="327"/>
      <c r="F627" s="327"/>
      <c r="G627" s="327"/>
      <c r="H627" s="327"/>
      <c r="I627" s="327"/>
      <c r="J627" s="327"/>
      <c r="K627" s="327"/>
      <c r="L627" s="327"/>
      <c r="M627" s="327"/>
      <c r="N627" s="327"/>
      <c r="O627" s="327"/>
      <c r="P627" s="327"/>
      <c r="Q627" s="327"/>
      <c r="R627" s="327"/>
      <c r="S627" s="327"/>
      <c r="T627" s="327"/>
      <c r="U627" s="327"/>
      <c r="V627" s="327"/>
      <c r="W627" s="327"/>
      <c r="X627" s="327"/>
      <c r="Y627" s="327"/>
      <c r="Z627" s="327"/>
      <c r="AA627" s="327"/>
      <c r="AB627" s="327"/>
      <c r="AC627" s="327"/>
      <c r="AD627" s="327"/>
      <c r="AE627" s="327"/>
      <c r="AF627" s="327"/>
      <c r="AG627" s="327"/>
      <c r="AH627" s="327"/>
      <c r="AI627" s="327"/>
      <c r="AJ627" s="327"/>
    </row>
    <row r="628" spans="1:36" x14ac:dyDescent="0.25">
      <c r="A628" s="326"/>
      <c r="E628" s="327"/>
      <c r="F628" s="327"/>
      <c r="G628" s="327"/>
      <c r="H628" s="327"/>
      <c r="I628" s="327"/>
      <c r="J628" s="327"/>
      <c r="K628" s="327"/>
      <c r="L628" s="327"/>
      <c r="M628" s="327"/>
      <c r="N628" s="327"/>
      <c r="O628" s="327"/>
      <c r="P628" s="327"/>
      <c r="Q628" s="327"/>
      <c r="R628" s="327"/>
      <c r="S628" s="327"/>
      <c r="T628" s="327"/>
      <c r="U628" s="327"/>
      <c r="V628" s="327"/>
      <c r="W628" s="327"/>
      <c r="X628" s="327"/>
      <c r="Y628" s="327"/>
      <c r="Z628" s="327"/>
      <c r="AA628" s="327"/>
      <c r="AB628" s="327"/>
      <c r="AC628" s="327"/>
      <c r="AD628" s="327"/>
      <c r="AE628" s="327"/>
      <c r="AF628" s="327"/>
      <c r="AG628" s="327"/>
      <c r="AH628" s="327"/>
      <c r="AI628" s="327"/>
      <c r="AJ628" s="327"/>
    </row>
    <row r="629" spans="1:36" x14ac:dyDescent="0.25">
      <c r="A629" s="326"/>
      <c r="E629" s="327"/>
      <c r="F629" s="327"/>
      <c r="G629" s="327"/>
      <c r="H629" s="327"/>
      <c r="I629" s="327"/>
      <c r="J629" s="327"/>
      <c r="K629" s="327"/>
      <c r="L629" s="327"/>
      <c r="M629" s="327"/>
      <c r="N629" s="327"/>
      <c r="O629" s="327"/>
      <c r="P629" s="327"/>
      <c r="Q629" s="327"/>
      <c r="R629" s="327"/>
      <c r="S629" s="327"/>
      <c r="T629" s="327"/>
      <c r="U629" s="327"/>
      <c r="V629" s="327"/>
      <c r="W629" s="327"/>
      <c r="X629" s="327"/>
      <c r="Y629" s="327"/>
      <c r="Z629" s="327"/>
      <c r="AA629" s="327"/>
      <c r="AB629" s="327"/>
      <c r="AC629" s="327"/>
      <c r="AD629" s="327"/>
      <c r="AE629" s="327"/>
      <c r="AF629" s="327"/>
      <c r="AG629" s="327"/>
      <c r="AH629" s="327"/>
      <c r="AI629" s="327"/>
      <c r="AJ629" s="327"/>
    </row>
    <row r="630" spans="1:36" x14ac:dyDescent="0.25">
      <c r="A630" s="326"/>
      <c r="E630" s="327"/>
      <c r="F630" s="327"/>
      <c r="G630" s="327"/>
      <c r="H630" s="327"/>
      <c r="I630" s="327"/>
      <c r="J630" s="327"/>
      <c r="K630" s="327"/>
      <c r="L630" s="327"/>
      <c r="M630" s="327"/>
      <c r="N630" s="327"/>
      <c r="O630" s="327"/>
      <c r="P630" s="327"/>
      <c r="Q630" s="327"/>
      <c r="R630" s="327"/>
      <c r="S630" s="327"/>
      <c r="T630" s="327"/>
      <c r="U630" s="327"/>
      <c r="V630" s="327"/>
      <c r="W630" s="327"/>
      <c r="X630" s="327"/>
      <c r="Y630" s="327"/>
      <c r="Z630" s="327"/>
      <c r="AA630" s="327"/>
      <c r="AB630" s="327"/>
      <c r="AC630" s="327"/>
      <c r="AD630" s="327"/>
      <c r="AE630" s="327"/>
      <c r="AF630" s="327"/>
      <c r="AG630" s="327"/>
      <c r="AH630" s="327"/>
      <c r="AI630" s="327"/>
      <c r="AJ630" s="327"/>
    </row>
    <row r="631" spans="1:36" x14ac:dyDescent="0.25">
      <c r="A631" s="326"/>
      <c r="E631" s="327"/>
      <c r="F631" s="327"/>
      <c r="G631" s="327"/>
      <c r="H631" s="327"/>
      <c r="I631" s="327"/>
      <c r="J631" s="327"/>
      <c r="K631" s="327"/>
      <c r="L631" s="327"/>
      <c r="M631" s="327"/>
      <c r="N631" s="327"/>
      <c r="O631" s="327"/>
      <c r="P631" s="327"/>
      <c r="Q631" s="327"/>
      <c r="R631" s="327"/>
      <c r="S631" s="327"/>
      <c r="T631" s="327"/>
      <c r="U631" s="327"/>
      <c r="V631" s="327"/>
      <c r="W631" s="327"/>
      <c r="X631" s="327"/>
      <c r="Y631" s="327"/>
      <c r="Z631" s="327"/>
      <c r="AA631" s="327"/>
      <c r="AB631" s="327"/>
      <c r="AC631" s="327"/>
      <c r="AD631" s="327"/>
      <c r="AE631" s="327"/>
      <c r="AF631" s="327"/>
      <c r="AG631" s="327"/>
      <c r="AH631" s="327"/>
      <c r="AI631" s="327"/>
      <c r="AJ631" s="327"/>
    </row>
    <row r="632" spans="1:36" x14ac:dyDescent="0.25">
      <c r="E632" s="327"/>
      <c r="F632" s="327"/>
      <c r="G632" s="327"/>
      <c r="H632" s="327"/>
      <c r="I632" s="327"/>
      <c r="J632" s="327"/>
      <c r="K632" s="327"/>
      <c r="L632" s="327"/>
      <c r="M632" s="327"/>
      <c r="N632" s="327"/>
      <c r="O632" s="327"/>
      <c r="P632" s="327"/>
      <c r="Q632" s="327"/>
      <c r="R632" s="327"/>
      <c r="S632" s="327"/>
      <c r="T632" s="327"/>
      <c r="U632" s="327"/>
      <c r="V632" s="327"/>
      <c r="W632" s="327"/>
      <c r="X632" s="327"/>
      <c r="Y632" s="327"/>
      <c r="Z632" s="327"/>
      <c r="AA632" s="327"/>
      <c r="AB632" s="327"/>
      <c r="AC632" s="327"/>
      <c r="AD632" s="327"/>
      <c r="AE632" s="327"/>
      <c r="AF632" s="327"/>
      <c r="AG632" s="327"/>
      <c r="AH632" s="327"/>
      <c r="AI632" s="327"/>
      <c r="AJ632" s="327"/>
    </row>
    <row r="633" spans="1:36" x14ac:dyDescent="0.25">
      <c r="E633" s="327"/>
      <c r="F633" s="327"/>
      <c r="G633" s="327"/>
      <c r="H633" s="327"/>
      <c r="I633" s="327"/>
      <c r="J633" s="327"/>
      <c r="K633" s="327"/>
      <c r="L633" s="327"/>
      <c r="M633" s="327"/>
      <c r="N633" s="327"/>
      <c r="O633" s="327"/>
      <c r="P633" s="327"/>
      <c r="Q633" s="327"/>
      <c r="R633" s="327"/>
      <c r="S633" s="327"/>
      <c r="T633" s="327"/>
      <c r="U633" s="327"/>
      <c r="V633" s="327"/>
      <c r="W633" s="327"/>
      <c r="X633" s="327"/>
      <c r="Y633" s="327"/>
      <c r="Z633" s="327"/>
      <c r="AA633" s="327"/>
      <c r="AB633" s="327"/>
      <c r="AC633" s="327"/>
      <c r="AD633" s="327"/>
      <c r="AE633" s="327"/>
      <c r="AF633" s="327"/>
      <c r="AG633" s="327"/>
      <c r="AH633" s="327"/>
      <c r="AI633" s="327"/>
      <c r="AJ633" s="327"/>
    </row>
    <row r="639" spans="1:36" x14ac:dyDescent="0.25">
      <c r="A639" s="325"/>
    </row>
    <row r="640" spans="1:36" x14ac:dyDescent="0.25">
      <c r="A640" s="326"/>
    </row>
    <row r="641" spans="1:1" x14ac:dyDescent="0.25">
      <c r="A641" s="326"/>
    </row>
    <row r="642" spans="1:1" x14ac:dyDescent="0.25">
      <c r="A642" s="326"/>
    </row>
    <row r="643" spans="1:1" x14ac:dyDescent="0.25">
      <c r="A643" s="326"/>
    </row>
    <row r="644" spans="1:1" x14ac:dyDescent="0.25">
      <c r="A644" s="326"/>
    </row>
    <row r="645" spans="1:1" x14ac:dyDescent="0.25">
      <c r="A645" s="326"/>
    </row>
    <row r="646" spans="1:1" x14ac:dyDescent="0.25">
      <c r="A646" s="326"/>
    </row>
    <row r="647" spans="1:1" x14ac:dyDescent="0.25">
      <c r="A647" s="326"/>
    </row>
    <row r="648" spans="1:1" x14ac:dyDescent="0.25">
      <c r="A648" s="326"/>
    </row>
    <row r="649" spans="1:1" x14ac:dyDescent="0.25">
      <c r="A649" s="326"/>
    </row>
    <row r="650" spans="1:1" x14ac:dyDescent="0.25">
      <c r="A650" s="326"/>
    </row>
    <row r="651" spans="1:1" x14ac:dyDescent="0.25">
      <c r="A651" s="326"/>
    </row>
    <row r="652" spans="1:1" x14ac:dyDescent="0.25">
      <c r="A652" s="326"/>
    </row>
    <row r="653" spans="1:1" x14ac:dyDescent="0.25">
      <c r="A653" s="326"/>
    </row>
    <row r="654" spans="1:1" x14ac:dyDescent="0.25">
      <c r="A654" s="326"/>
    </row>
    <row r="655" spans="1:1" x14ac:dyDescent="0.25">
      <c r="A655" s="326"/>
    </row>
    <row r="656" spans="1:1" x14ac:dyDescent="0.25">
      <c r="A656" s="326"/>
    </row>
    <row r="657" spans="1:1" x14ac:dyDescent="0.25">
      <c r="A657" s="326"/>
    </row>
    <row r="665" spans="1:1" x14ac:dyDescent="0.25">
      <c r="A665" s="325"/>
    </row>
    <row r="666" spans="1:1" x14ac:dyDescent="0.25">
      <c r="A666" s="326"/>
    </row>
    <row r="667" spans="1:1" x14ac:dyDescent="0.25">
      <c r="A667" s="326"/>
    </row>
    <row r="668" spans="1:1" x14ac:dyDescent="0.25">
      <c r="A668" s="326"/>
    </row>
    <row r="669" spans="1:1" x14ac:dyDescent="0.25">
      <c r="A669" s="326"/>
    </row>
    <row r="670" spans="1:1" x14ac:dyDescent="0.25">
      <c r="A670" s="326"/>
    </row>
    <row r="671" spans="1:1" x14ac:dyDescent="0.25">
      <c r="A671" s="326"/>
    </row>
    <row r="672" spans="1:1" x14ac:dyDescent="0.25">
      <c r="A672" s="326"/>
    </row>
    <row r="673" spans="1:1" x14ac:dyDescent="0.25">
      <c r="A673" s="326"/>
    </row>
    <row r="674" spans="1:1" x14ac:dyDescent="0.25">
      <c r="A674" s="326"/>
    </row>
    <row r="675" spans="1:1" x14ac:dyDescent="0.25">
      <c r="A675" s="326"/>
    </row>
    <row r="676" spans="1:1" x14ac:dyDescent="0.25">
      <c r="A676" s="326"/>
    </row>
    <row r="677" spans="1:1" x14ac:dyDescent="0.25">
      <c r="A677" s="326"/>
    </row>
    <row r="678" spans="1:1" x14ac:dyDescent="0.25">
      <c r="A678" s="326"/>
    </row>
    <row r="679" spans="1:1" x14ac:dyDescent="0.25">
      <c r="A679" s="326"/>
    </row>
    <row r="680" spans="1:1" x14ac:dyDescent="0.25">
      <c r="A680" s="326"/>
    </row>
    <row r="681" spans="1:1" x14ac:dyDescent="0.25">
      <c r="A681" s="326"/>
    </row>
    <row r="682" spans="1:1" x14ac:dyDescent="0.25">
      <c r="A682" s="326"/>
    </row>
    <row r="683" spans="1:1" x14ac:dyDescent="0.25">
      <c r="A683" s="326"/>
    </row>
    <row r="691" spans="1:1" x14ac:dyDescent="0.25">
      <c r="A691" s="325"/>
    </row>
    <row r="692" spans="1:1" x14ac:dyDescent="0.25">
      <c r="A692" s="326"/>
    </row>
    <row r="693" spans="1:1" x14ac:dyDescent="0.25">
      <c r="A693" s="326"/>
    </row>
    <row r="694" spans="1:1" x14ac:dyDescent="0.25">
      <c r="A694" s="326"/>
    </row>
    <row r="695" spans="1:1" x14ac:dyDescent="0.25">
      <c r="A695" s="326"/>
    </row>
    <row r="696" spans="1:1" x14ac:dyDescent="0.25">
      <c r="A696" s="326"/>
    </row>
    <row r="697" spans="1:1" x14ac:dyDescent="0.25">
      <c r="A697" s="326"/>
    </row>
    <row r="698" spans="1:1" x14ac:dyDescent="0.25">
      <c r="A698" s="326"/>
    </row>
    <row r="699" spans="1:1" x14ac:dyDescent="0.25">
      <c r="A699" s="326"/>
    </row>
    <row r="700" spans="1:1" x14ac:dyDescent="0.25">
      <c r="A700" s="326"/>
    </row>
    <row r="701" spans="1:1" x14ac:dyDescent="0.25">
      <c r="A701" s="326"/>
    </row>
    <row r="702" spans="1:1" x14ac:dyDescent="0.25">
      <c r="A702" s="326"/>
    </row>
    <row r="703" spans="1:1" x14ac:dyDescent="0.25">
      <c r="A703" s="326"/>
    </row>
    <row r="704" spans="1:1" x14ac:dyDescent="0.25">
      <c r="A704" s="326"/>
    </row>
    <row r="705" spans="1:1" x14ac:dyDescent="0.25">
      <c r="A705" s="326"/>
    </row>
    <row r="706" spans="1:1" x14ac:dyDescent="0.25">
      <c r="A706" s="326"/>
    </row>
    <row r="707" spans="1:1" x14ac:dyDescent="0.25">
      <c r="A707" s="326"/>
    </row>
    <row r="708" spans="1:1" x14ac:dyDescent="0.25">
      <c r="A708" s="326"/>
    </row>
    <row r="709" spans="1:1" x14ac:dyDescent="0.25">
      <c r="A709" s="326"/>
    </row>
    <row r="717" spans="1:1" x14ac:dyDescent="0.25">
      <c r="A717" s="325"/>
    </row>
    <row r="718" spans="1:1" x14ac:dyDescent="0.25">
      <c r="A718" s="326"/>
    </row>
    <row r="719" spans="1:1" x14ac:dyDescent="0.25">
      <c r="A719" s="326"/>
    </row>
    <row r="720" spans="1:1" x14ac:dyDescent="0.25">
      <c r="A720" s="326"/>
    </row>
    <row r="721" spans="1:1" x14ac:dyDescent="0.25">
      <c r="A721" s="326"/>
    </row>
    <row r="722" spans="1:1" x14ac:dyDescent="0.25">
      <c r="A722" s="326"/>
    </row>
    <row r="723" spans="1:1" x14ac:dyDescent="0.25">
      <c r="A723" s="326"/>
    </row>
    <row r="724" spans="1:1" x14ac:dyDescent="0.25">
      <c r="A724" s="326"/>
    </row>
    <row r="725" spans="1:1" x14ac:dyDescent="0.25">
      <c r="A725" s="326"/>
    </row>
    <row r="726" spans="1:1" x14ac:dyDescent="0.25">
      <c r="A726" s="326"/>
    </row>
    <row r="727" spans="1:1" x14ac:dyDescent="0.25">
      <c r="A727" s="326"/>
    </row>
    <row r="728" spans="1:1" x14ac:dyDescent="0.25">
      <c r="A728" s="326"/>
    </row>
    <row r="729" spans="1:1" x14ac:dyDescent="0.25">
      <c r="A729" s="326"/>
    </row>
    <row r="730" spans="1:1" x14ac:dyDescent="0.25">
      <c r="A730" s="326"/>
    </row>
    <row r="731" spans="1:1" x14ac:dyDescent="0.25">
      <c r="A731" s="326"/>
    </row>
    <row r="732" spans="1:1" x14ac:dyDescent="0.25">
      <c r="A732" s="326"/>
    </row>
    <row r="733" spans="1:1" x14ac:dyDescent="0.25">
      <c r="A733" s="326"/>
    </row>
    <row r="734" spans="1:1" x14ac:dyDescent="0.25">
      <c r="A734" s="326"/>
    </row>
    <row r="735" spans="1:1" x14ac:dyDescent="0.25">
      <c r="A735" s="326"/>
    </row>
    <row r="743" spans="1:1" x14ac:dyDescent="0.25">
      <c r="A743" s="325"/>
    </row>
    <row r="744" spans="1:1" x14ac:dyDescent="0.25">
      <c r="A744" s="326"/>
    </row>
    <row r="745" spans="1:1" x14ac:dyDescent="0.25">
      <c r="A745" s="326"/>
    </row>
    <row r="746" spans="1:1" x14ac:dyDescent="0.25">
      <c r="A746" s="326"/>
    </row>
    <row r="747" spans="1:1" x14ac:dyDescent="0.25">
      <c r="A747" s="326"/>
    </row>
    <row r="748" spans="1:1" x14ac:dyDescent="0.25">
      <c r="A748" s="326"/>
    </row>
    <row r="749" spans="1:1" x14ac:dyDescent="0.25">
      <c r="A749" s="326"/>
    </row>
    <row r="750" spans="1:1" x14ac:dyDescent="0.25">
      <c r="A750" s="326"/>
    </row>
    <row r="751" spans="1:1" x14ac:dyDescent="0.25">
      <c r="A751" s="326"/>
    </row>
    <row r="752" spans="1:1" x14ac:dyDescent="0.25">
      <c r="A752" s="326"/>
    </row>
    <row r="753" spans="1:1" x14ac:dyDescent="0.25">
      <c r="A753" s="326"/>
    </row>
    <row r="754" spans="1:1" x14ac:dyDescent="0.25">
      <c r="A754" s="326"/>
    </row>
    <row r="755" spans="1:1" x14ac:dyDescent="0.25">
      <c r="A755" s="326"/>
    </row>
    <row r="756" spans="1:1" x14ac:dyDescent="0.25">
      <c r="A756" s="326"/>
    </row>
    <row r="757" spans="1:1" x14ac:dyDescent="0.25">
      <c r="A757" s="326"/>
    </row>
    <row r="758" spans="1:1" x14ac:dyDescent="0.25">
      <c r="A758" s="326"/>
    </row>
    <row r="759" spans="1:1" x14ac:dyDescent="0.25">
      <c r="A759" s="326"/>
    </row>
    <row r="760" spans="1:1" x14ac:dyDescent="0.25">
      <c r="A760" s="326"/>
    </row>
    <row r="761" spans="1:1" x14ac:dyDescent="0.25">
      <c r="A761" s="326"/>
    </row>
    <row r="769" spans="1:1" x14ac:dyDescent="0.25">
      <c r="A769" s="325"/>
    </row>
    <row r="770" spans="1:1" x14ac:dyDescent="0.25">
      <c r="A770" s="326"/>
    </row>
    <row r="771" spans="1:1" x14ac:dyDescent="0.25">
      <c r="A771" s="326"/>
    </row>
    <row r="772" spans="1:1" x14ac:dyDescent="0.25">
      <c r="A772" s="326"/>
    </row>
    <row r="773" spans="1:1" x14ac:dyDescent="0.25">
      <c r="A773" s="326"/>
    </row>
    <row r="774" spans="1:1" x14ac:dyDescent="0.25">
      <c r="A774" s="326"/>
    </row>
    <row r="775" spans="1:1" x14ac:dyDescent="0.25">
      <c r="A775" s="326"/>
    </row>
    <row r="776" spans="1:1" x14ac:dyDescent="0.25">
      <c r="A776" s="326"/>
    </row>
    <row r="777" spans="1:1" x14ac:dyDescent="0.25">
      <c r="A777" s="326"/>
    </row>
    <row r="778" spans="1:1" x14ac:dyDescent="0.25">
      <c r="A778" s="326"/>
    </row>
    <row r="779" spans="1:1" x14ac:dyDescent="0.25">
      <c r="A779" s="326"/>
    </row>
    <row r="780" spans="1:1" x14ac:dyDescent="0.25">
      <c r="A780" s="326"/>
    </row>
    <row r="781" spans="1:1" x14ac:dyDescent="0.25">
      <c r="A781" s="326"/>
    </row>
    <row r="782" spans="1:1" x14ac:dyDescent="0.25">
      <c r="A782" s="326"/>
    </row>
    <row r="783" spans="1:1" x14ac:dyDescent="0.25">
      <c r="A783" s="326"/>
    </row>
    <row r="784" spans="1:1" x14ac:dyDescent="0.25">
      <c r="A784" s="326"/>
    </row>
    <row r="785" spans="1:1" x14ac:dyDescent="0.25">
      <c r="A785" s="326"/>
    </row>
    <row r="786" spans="1:1" x14ac:dyDescent="0.25">
      <c r="A786" s="326"/>
    </row>
    <row r="787" spans="1:1" x14ac:dyDescent="0.25">
      <c r="A787" s="326"/>
    </row>
    <row r="795" spans="1:1" x14ac:dyDescent="0.25">
      <c r="A795" s="325"/>
    </row>
    <row r="796" spans="1:1" x14ac:dyDescent="0.25">
      <c r="A796" s="326"/>
    </row>
    <row r="797" spans="1:1" x14ac:dyDescent="0.25">
      <c r="A797" s="326"/>
    </row>
    <row r="798" spans="1:1" x14ac:dyDescent="0.25">
      <c r="A798" s="326"/>
    </row>
    <row r="799" spans="1:1" x14ac:dyDescent="0.25">
      <c r="A799" s="326"/>
    </row>
    <row r="800" spans="1:1" x14ac:dyDescent="0.25">
      <c r="A800" s="326"/>
    </row>
    <row r="801" spans="1:1" x14ac:dyDescent="0.25">
      <c r="A801" s="326"/>
    </row>
    <row r="802" spans="1:1" x14ac:dyDescent="0.25">
      <c r="A802" s="326"/>
    </row>
    <row r="803" spans="1:1" x14ac:dyDescent="0.25">
      <c r="A803" s="326"/>
    </row>
    <row r="804" spans="1:1" x14ac:dyDescent="0.25">
      <c r="A804" s="326"/>
    </row>
    <row r="805" spans="1:1" x14ac:dyDescent="0.25">
      <c r="A805" s="326"/>
    </row>
    <row r="806" spans="1:1" x14ac:dyDescent="0.25">
      <c r="A806" s="326"/>
    </row>
    <row r="807" spans="1:1" x14ac:dyDescent="0.25">
      <c r="A807" s="326"/>
    </row>
    <row r="808" spans="1:1" x14ac:dyDescent="0.25">
      <c r="A808" s="326"/>
    </row>
    <row r="809" spans="1:1" x14ac:dyDescent="0.25">
      <c r="A809" s="326"/>
    </row>
    <row r="810" spans="1:1" x14ac:dyDescent="0.25">
      <c r="A810" s="326"/>
    </row>
    <row r="811" spans="1:1" x14ac:dyDescent="0.25">
      <c r="A811" s="326"/>
    </row>
    <row r="812" spans="1:1" x14ac:dyDescent="0.25">
      <c r="A812" s="326"/>
    </row>
    <row r="813" spans="1:1" x14ac:dyDescent="0.25">
      <c r="A813" s="326"/>
    </row>
    <row r="821" spans="1:1" x14ac:dyDescent="0.25">
      <c r="A821" s="325"/>
    </row>
    <row r="822" spans="1:1" x14ac:dyDescent="0.25">
      <c r="A822" s="326"/>
    </row>
    <row r="823" spans="1:1" x14ac:dyDescent="0.25">
      <c r="A823" s="326"/>
    </row>
    <row r="824" spans="1:1" x14ac:dyDescent="0.25">
      <c r="A824" s="326"/>
    </row>
    <row r="825" spans="1:1" x14ac:dyDescent="0.25">
      <c r="A825" s="326"/>
    </row>
    <row r="826" spans="1:1" x14ac:dyDescent="0.25">
      <c r="A826" s="326"/>
    </row>
    <row r="998" spans="3:36" x14ac:dyDescent="0.25">
      <c r="D998" s="330"/>
      <c r="K998" s="210"/>
      <c r="L998" s="210"/>
      <c r="M998" s="210"/>
      <c r="N998" s="210"/>
      <c r="O998" s="210"/>
      <c r="P998" s="210"/>
      <c r="Q998" s="210"/>
      <c r="R998" s="210"/>
      <c r="S998" s="210"/>
      <c r="T998" s="210"/>
      <c r="U998" s="210"/>
      <c r="V998" s="210"/>
      <c r="W998" s="210"/>
      <c r="X998" s="210"/>
      <c r="Y998" s="210"/>
      <c r="Z998" s="210"/>
      <c r="AA998" s="210"/>
      <c r="AB998" s="210"/>
      <c r="AC998" s="210"/>
      <c r="AD998" s="210"/>
      <c r="AE998" s="210"/>
      <c r="AF998" s="210"/>
      <c r="AG998" s="210"/>
      <c r="AH998" s="210"/>
      <c r="AI998" s="210"/>
      <c r="AJ998" s="210"/>
    </row>
    <row r="999" spans="3:36" x14ac:dyDescent="0.25">
      <c r="C999" s="330"/>
    </row>
    <row r="1000" spans="3:36" x14ac:dyDescent="0.25">
      <c r="AE1000" s="210"/>
      <c r="AF1000" s="210"/>
      <c r="AG1000" s="210"/>
      <c r="AH1000" s="210"/>
      <c r="AI1000" s="210"/>
      <c r="AJ1000" s="210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E173"/>
  <sheetViews>
    <sheetView topLeftCell="A154" workbookViewId="0">
      <selection activeCell="A164" sqref="A164"/>
    </sheetView>
  </sheetViews>
  <sheetFormatPr defaultRowHeight="13.2" x14ac:dyDescent="0.25"/>
  <cols>
    <col min="11" max="11" width="10.6640625" style="393" bestFit="1" customWidth="1"/>
    <col min="12" max="12" width="12" style="239" customWidth="1"/>
    <col min="13" max="13" width="11.5546875" style="393" customWidth="1"/>
    <col min="15" max="19" width="9.33203125" bestFit="1" customWidth="1"/>
    <col min="29" max="29" width="13.5546875" style="239" customWidth="1"/>
    <col min="30" max="30" width="10.109375" style="239" bestFit="1" customWidth="1"/>
    <col min="31" max="33" width="9.33203125" bestFit="1" customWidth="1"/>
    <col min="34" max="34" width="12" style="239" customWidth="1"/>
    <col min="35" max="35" width="9.33203125" bestFit="1" customWidth="1"/>
    <col min="37" max="39" width="9.33203125" bestFit="1" customWidth="1"/>
  </cols>
  <sheetData>
    <row r="1" spans="1:213" x14ac:dyDescent="0.25">
      <c r="A1" t="s">
        <v>197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s="393" t="s">
        <v>207</v>
      </c>
      <c r="L1" s="239" t="s">
        <v>208</v>
      </c>
      <c r="M1" s="393" t="s">
        <v>209</v>
      </c>
      <c r="N1" t="s">
        <v>210</v>
      </c>
      <c r="O1" t="s">
        <v>211</v>
      </c>
      <c r="P1" t="s">
        <v>212</v>
      </c>
      <c r="Q1" t="s">
        <v>213</v>
      </c>
      <c r="R1" t="s">
        <v>214</v>
      </c>
      <c r="S1" t="s">
        <v>215</v>
      </c>
      <c r="T1" t="s">
        <v>216</v>
      </c>
      <c r="U1" t="s">
        <v>217</v>
      </c>
      <c r="V1" t="s">
        <v>218</v>
      </c>
      <c r="W1" t="s">
        <v>219</v>
      </c>
      <c r="X1" t="s">
        <v>220</v>
      </c>
      <c r="Y1" t="s">
        <v>221</v>
      </c>
      <c r="Z1" t="s">
        <v>222</v>
      </c>
      <c r="AA1" t="s">
        <v>223</v>
      </c>
      <c r="AB1" t="s">
        <v>224</v>
      </c>
      <c r="AC1" s="239" t="s">
        <v>225</v>
      </c>
      <c r="AD1" s="239" t="s">
        <v>226</v>
      </c>
      <c r="AE1" t="s">
        <v>227</v>
      </c>
      <c r="AF1" t="s">
        <v>228</v>
      </c>
      <c r="AG1" t="s">
        <v>229</v>
      </c>
      <c r="AH1" s="239" t="s">
        <v>230</v>
      </c>
      <c r="AI1" t="s">
        <v>231</v>
      </c>
      <c r="AJ1" t="s">
        <v>232</v>
      </c>
      <c r="AK1" t="s">
        <v>233</v>
      </c>
      <c r="AL1" t="s">
        <v>234</v>
      </c>
      <c r="AM1" t="s">
        <v>235</v>
      </c>
      <c r="GS1" t="s">
        <v>236</v>
      </c>
      <c r="GT1">
        <f>'Extendible Collars'!GT6</f>
        <v>0</v>
      </c>
      <c r="GU1" t="s">
        <v>258</v>
      </c>
      <c r="GV1" t="s">
        <v>237</v>
      </c>
      <c r="GW1" t="s">
        <v>20</v>
      </c>
      <c r="GX1">
        <f>'Extendible Collars'!GS6</f>
        <v>0</v>
      </c>
      <c r="GY1" t="s">
        <v>256</v>
      </c>
      <c r="GZ1" t="s">
        <v>257</v>
      </c>
      <c r="HA1" t="s">
        <v>245</v>
      </c>
      <c r="HB1" t="s">
        <v>238</v>
      </c>
      <c r="HC1">
        <f>'Extendible Collars'!GV6</f>
        <v>0</v>
      </c>
      <c r="HD1">
        <f>'Extendible Collars'!$V$7/6</f>
        <v>119193.26484203339</v>
      </c>
      <c r="HE1">
        <f>'Extendible Collars'!$E$7</f>
        <v>36637</v>
      </c>
    </row>
    <row r="2" spans="1:213" x14ac:dyDescent="0.25">
      <c r="A2" t="s">
        <v>236</v>
      </c>
      <c r="B2" t="str">
        <f>'Basis Options'!C7</f>
        <v>EY1230</v>
      </c>
      <c r="C2" t="s">
        <v>258</v>
      </c>
      <c r="D2" t="s">
        <v>237</v>
      </c>
      <c r="E2" t="s">
        <v>20</v>
      </c>
      <c r="F2" t="str">
        <f>'Basis Options'!A7</f>
        <v>ELPASMER</v>
      </c>
      <c r="G2" t="s">
        <v>272</v>
      </c>
      <c r="H2" t="s">
        <v>257</v>
      </c>
      <c r="I2" t="s">
        <v>245</v>
      </c>
      <c r="J2" t="s">
        <v>238</v>
      </c>
      <c r="K2" s="393">
        <f>'Basis Options'!G7</f>
        <v>36647</v>
      </c>
      <c r="L2" s="239">
        <f>'Basis Options'!U7</f>
        <v>13910.634470018347</v>
      </c>
      <c r="M2" s="393">
        <f>'Basis Options'!Q7</f>
        <v>36643</v>
      </c>
      <c r="N2" t="str">
        <f>'Basis Options'!F7</f>
        <v>C</v>
      </c>
      <c r="O2">
        <f>'Basis Options'!I7</f>
        <v>0.25</v>
      </c>
      <c r="P2">
        <v>0</v>
      </c>
      <c r="Q2">
        <v>0</v>
      </c>
      <c r="R2">
        <v>0</v>
      </c>
      <c r="S2">
        <v>0</v>
      </c>
      <c r="T2" t="s">
        <v>256</v>
      </c>
      <c r="U2" t="str">
        <f>IF('Basis Options'!D7="NGI/CHI. GATE","""NGI/CHI. GATE""",TRIM('Basis Options'!D7))</f>
        <v>IF-TRANSCO/Z6</v>
      </c>
      <c r="V2" t="s">
        <v>256</v>
      </c>
      <c r="W2" t="s">
        <v>135</v>
      </c>
      <c r="X2" t="s">
        <v>256</v>
      </c>
      <c r="Y2" t="s">
        <v>238</v>
      </c>
      <c r="Z2" t="s">
        <v>239</v>
      </c>
      <c r="AA2" t="s">
        <v>256</v>
      </c>
      <c r="AB2" t="s">
        <v>1</v>
      </c>
      <c r="AC2" s="239">
        <f>'Basis Options'!H7</f>
        <v>300000</v>
      </c>
      <c r="AD2" s="239">
        <f>'Basis Options'!W7</f>
        <v>407.52815298893256</v>
      </c>
      <c r="AE2">
        <v>0</v>
      </c>
      <c r="AF2">
        <v>0</v>
      </c>
      <c r="AG2">
        <v>0</v>
      </c>
      <c r="AH2" s="239">
        <f>'Basis Options'!BC7</f>
        <v>1383.4191930314082</v>
      </c>
      <c r="AI2">
        <v>226</v>
      </c>
      <c r="AJ2" t="s">
        <v>259</v>
      </c>
      <c r="AK2">
        <v>0</v>
      </c>
      <c r="AL2">
        <v>0</v>
      </c>
      <c r="AM2">
        <v>0</v>
      </c>
    </row>
    <row r="3" spans="1:213" x14ac:dyDescent="0.25">
      <c r="A3" t="s">
        <v>236</v>
      </c>
      <c r="B3" t="str">
        <f>'Basis Options'!C8</f>
        <v>NA9501.1</v>
      </c>
      <c r="C3" t="s">
        <v>258</v>
      </c>
      <c r="D3" t="s">
        <v>237</v>
      </c>
      <c r="E3" t="s">
        <v>20</v>
      </c>
      <c r="F3" t="str">
        <f>'Basis Options'!A8</f>
        <v>LT-TRANS-EA</v>
      </c>
      <c r="G3" t="s">
        <v>272</v>
      </c>
      <c r="H3" t="s">
        <v>257</v>
      </c>
      <c r="I3" t="s">
        <v>245</v>
      </c>
      <c r="J3" t="s">
        <v>238</v>
      </c>
      <c r="K3" s="393">
        <f>'Basis Options'!G8</f>
        <v>36647</v>
      </c>
      <c r="L3" s="239">
        <f>'Basis Options'!U8</f>
        <v>3645.2271834287903</v>
      </c>
      <c r="M3" s="393">
        <f>'Basis Options'!Q8</f>
        <v>36643</v>
      </c>
      <c r="N3" t="str">
        <f>'Basis Options'!F8</f>
        <v>C</v>
      </c>
      <c r="O3">
        <f>'Basis Options'!I8</f>
        <v>0.16</v>
      </c>
      <c r="P3">
        <v>0</v>
      </c>
      <c r="Q3">
        <v>0</v>
      </c>
      <c r="R3">
        <v>0</v>
      </c>
      <c r="S3">
        <v>0</v>
      </c>
      <c r="T3" t="s">
        <v>256</v>
      </c>
      <c r="U3" t="str">
        <f>IF('Basis Options'!D8="NGI/CHI. GATE","""NGI/CHI. GATE""",TRIM('Basis Options'!D8))</f>
        <v>IF-CGT/APPALAC</v>
      </c>
      <c r="V3" t="s">
        <v>256</v>
      </c>
      <c r="W3" t="s">
        <v>135</v>
      </c>
      <c r="X3" t="s">
        <v>256</v>
      </c>
      <c r="Y3" t="s">
        <v>238</v>
      </c>
      <c r="Z3" t="s">
        <v>239</v>
      </c>
      <c r="AA3" t="s">
        <v>256</v>
      </c>
      <c r="AB3" t="s">
        <v>1</v>
      </c>
      <c r="AC3" s="239">
        <f>'Basis Options'!H8</f>
        <v>310000</v>
      </c>
      <c r="AD3" s="239">
        <f>'Basis Options'!W8</f>
        <v>729.90402359282598</v>
      </c>
      <c r="AE3">
        <v>0</v>
      </c>
      <c r="AF3">
        <v>0</v>
      </c>
      <c r="AG3">
        <v>0</v>
      </c>
      <c r="AH3" s="239">
        <f>'Basis Options'!BC8</f>
        <v>903.37381758400898</v>
      </c>
      <c r="AI3">
        <v>226</v>
      </c>
      <c r="AJ3" t="s">
        <v>259</v>
      </c>
      <c r="AK3">
        <v>0</v>
      </c>
      <c r="AL3">
        <v>0</v>
      </c>
      <c r="AM3">
        <v>0</v>
      </c>
    </row>
    <row r="4" spans="1:213" x14ac:dyDescent="0.25">
      <c r="A4" t="s">
        <v>236</v>
      </c>
      <c r="B4" t="str">
        <f>'Basis Options'!C9</f>
        <v>W2420</v>
      </c>
      <c r="C4" t="s">
        <v>258</v>
      </c>
      <c r="D4" t="s">
        <v>237</v>
      </c>
      <c r="E4" t="s">
        <v>20</v>
      </c>
      <c r="F4" t="str">
        <f>'Basis Options'!A9</f>
        <v>RELIANTENESER</v>
      </c>
      <c r="G4" t="s">
        <v>272</v>
      </c>
      <c r="H4" t="s">
        <v>257</v>
      </c>
      <c r="I4" t="s">
        <v>245</v>
      </c>
      <c r="J4" t="s">
        <v>238</v>
      </c>
      <c r="K4" s="393">
        <f>'Basis Options'!G9</f>
        <v>36647</v>
      </c>
      <c r="L4" s="239">
        <f>'Basis Options'!U9</f>
        <v>2582.8724904280734</v>
      </c>
      <c r="M4" s="393">
        <f>'Basis Options'!Q9</f>
        <v>36643</v>
      </c>
      <c r="N4" t="str">
        <f>'Basis Options'!F9</f>
        <v>P</v>
      </c>
      <c r="O4">
        <f>'Basis Options'!I9</f>
        <v>-0.4</v>
      </c>
      <c r="P4">
        <v>0</v>
      </c>
      <c r="Q4">
        <v>0</v>
      </c>
      <c r="R4">
        <v>0</v>
      </c>
      <c r="S4">
        <v>0</v>
      </c>
      <c r="T4" t="s">
        <v>256</v>
      </c>
      <c r="U4" t="str">
        <f>IF('Basis Options'!D9="NGI/CHI. GATE","""NGI/CHI. GATE""",TRIM('Basis Options'!D9))</f>
        <v>IF-NWPL_ROCKY_M</v>
      </c>
      <c r="V4" t="s">
        <v>256</v>
      </c>
      <c r="W4" t="s">
        <v>135</v>
      </c>
      <c r="X4" t="s">
        <v>256</v>
      </c>
      <c r="Y4" t="s">
        <v>238</v>
      </c>
      <c r="Z4" t="s">
        <v>239</v>
      </c>
      <c r="AA4" t="s">
        <v>256</v>
      </c>
      <c r="AB4" t="s">
        <v>1</v>
      </c>
      <c r="AC4" s="239">
        <f>'Basis Options'!H9</f>
        <v>310000</v>
      </c>
      <c r="AD4" s="239">
        <f>'Basis Options'!W9</f>
        <v>1622.6848005001011</v>
      </c>
      <c r="AE4">
        <v>0</v>
      </c>
      <c r="AF4">
        <v>0</v>
      </c>
      <c r="AG4">
        <v>0</v>
      </c>
      <c r="AH4" s="239">
        <f>'Basis Options'!BC9</f>
        <v>1571.8976074713705</v>
      </c>
      <c r="AI4">
        <v>226</v>
      </c>
      <c r="AJ4" t="s">
        <v>259</v>
      </c>
      <c r="AK4">
        <v>0</v>
      </c>
      <c r="AL4">
        <v>0</v>
      </c>
      <c r="AM4">
        <v>0</v>
      </c>
    </row>
    <row r="5" spans="1:213" x14ac:dyDescent="0.25">
      <c r="A5" t="s">
        <v>236</v>
      </c>
      <c r="B5" t="str">
        <f>'Basis Options'!C10</f>
        <v>N33626.2</v>
      </c>
      <c r="C5" t="s">
        <v>258</v>
      </c>
      <c r="D5" t="s">
        <v>237</v>
      </c>
      <c r="E5" t="s">
        <v>20</v>
      </c>
      <c r="F5" t="str">
        <f>'Basis Options'!A10</f>
        <v>STATOILENETRA</v>
      </c>
      <c r="G5" t="s">
        <v>272</v>
      </c>
      <c r="H5" t="s">
        <v>257</v>
      </c>
      <c r="I5" t="s">
        <v>245</v>
      </c>
      <c r="J5" t="s">
        <v>238</v>
      </c>
      <c r="K5" s="393">
        <f>'Basis Options'!G10</f>
        <v>36647</v>
      </c>
      <c r="L5" s="239">
        <f>'Basis Options'!U10</f>
        <v>7055.2784195395943</v>
      </c>
      <c r="M5" s="393">
        <f>'Basis Options'!Q10</f>
        <v>36643</v>
      </c>
      <c r="N5" t="str">
        <f>'Basis Options'!F10</f>
        <v>C</v>
      </c>
      <c r="O5">
        <f>'Basis Options'!I10</f>
        <v>0.16</v>
      </c>
      <c r="P5">
        <v>0</v>
      </c>
      <c r="Q5">
        <v>0</v>
      </c>
      <c r="R5">
        <v>0</v>
      </c>
      <c r="S5">
        <v>0</v>
      </c>
      <c r="T5" t="s">
        <v>256</v>
      </c>
      <c r="U5" t="str">
        <f>IF('Basis Options'!D10="NGI/CHI. GATE","""NGI/CHI. GATE""",TRIM('Basis Options'!D10))</f>
        <v>IF-CGT/APPALAC</v>
      </c>
      <c r="V5" t="s">
        <v>256</v>
      </c>
      <c r="W5" t="s">
        <v>135</v>
      </c>
      <c r="X5" t="s">
        <v>256</v>
      </c>
      <c r="Y5" t="s">
        <v>238</v>
      </c>
      <c r="Z5" t="s">
        <v>239</v>
      </c>
      <c r="AA5" t="s">
        <v>256</v>
      </c>
      <c r="AB5" t="s">
        <v>1</v>
      </c>
      <c r="AC5" s="239">
        <f>'Basis Options'!H10</f>
        <v>600000</v>
      </c>
      <c r="AD5" s="239">
        <f>'Basis Options'!W10</f>
        <v>1412.7174650183879</v>
      </c>
      <c r="AE5">
        <v>0</v>
      </c>
      <c r="AF5">
        <v>0</v>
      </c>
      <c r="AG5">
        <v>0</v>
      </c>
      <c r="AH5" s="239">
        <f>'Basis Options'!BC10</f>
        <v>1748.4654533884041</v>
      </c>
      <c r="AI5">
        <v>226</v>
      </c>
      <c r="AJ5" t="s">
        <v>259</v>
      </c>
      <c r="AK5">
        <v>0</v>
      </c>
      <c r="AL5">
        <v>0</v>
      </c>
      <c r="AM5">
        <v>0</v>
      </c>
    </row>
    <row r="6" spans="1:213" x14ac:dyDescent="0.25">
      <c r="A6" t="s">
        <v>236</v>
      </c>
      <c r="B6" t="str">
        <f>'Basis Options'!C11</f>
        <v>W1882</v>
      </c>
      <c r="C6" t="s">
        <v>258</v>
      </c>
      <c r="D6" t="s">
        <v>237</v>
      </c>
      <c r="E6" t="s">
        <v>20</v>
      </c>
      <c r="F6" t="str">
        <f>'Basis Options'!A11</f>
        <v>STATOILENETRA</v>
      </c>
      <c r="G6" t="s">
        <v>272</v>
      </c>
      <c r="H6" t="s">
        <v>257</v>
      </c>
      <c r="I6" t="s">
        <v>245</v>
      </c>
      <c r="J6" t="s">
        <v>238</v>
      </c>
      <c r="K6" s="393">
        <f>'Basis Options'!G11</f>
        <v>36647</v>
      </c>
      <c r="L6" s="239">
        <f>'Basis Options'!U11</f>
        <v>5812.8942998912198</v>
      </c>
      <c r="M6" s="393">
        <f>'Basis Options'!Q11</f>
        <v>36643</v>
      </c>
      <c r="N6" t="str">
        <f>'Basis Options'!F11</f>
        <v>C</v>
      </c>
      <c r="O6">
        <f>'Basis Options'!I11</f>
        <v>0.3</v>
      </c>
      <c r="P6">
        <v>0</v>
      </c>
      <c r="Q6">
        <v>0</v>
      </c>
      <c r="R6">
        <v>0</v>
      </c>
      <c r="S6">
        <v>0</v>
      </c>
      <c r="T6" t="s">
        <v>256</v>
      </c>
      <c r="U6" t="str">
        <f>IF('Basis Options'!D11="NGI/CHI. GATE","""NGI/CHI. GATE""",TRIM('Basis Options'!D11))</f>
        <v>IF-TRANSCO/Z6</v>
      </c>
      <c r="V6" t="s">
        <v>256</v>
      </c>
      <c r="W6" t="s">
        <v>135</v>
      </c>
      <c r="X6" t="s">
        <v>256</v>
      </c>
      <c r="Y6" t="s">
        <v>238</v>
      </c>
      <c r="Z6" t="s">
        <v>239</v>
      </c>
      <c r="AA6" t="s">
        <v>256</v>
      </c>
      <c r="AB6" t="s">
        <v>1</v>
      </c>
      <c r="AC6" s="239">
        <f>'Basis Options'!H11</f>
        <v>500000</v>
      </c>
      <c r="AD6" s="239">
        <f>'Basis Options'!W11</f>
        <v>1560.9007558594458</v>
      </c>
      <c r="AE6">
        <v>0</v>
      </c>
      <c r="AF6">
        <v>0</v>
      </c>
      <c r="AG6">
        <v>0</v>
      </c>
      <c r="AH6" s="239">
        <f>'Basis Options'!BC11</f>
        <v>1159.7649469258713</v>
      </c>
      <c r="AI6">
        <v>226</v>
      </c>
      <c r="AJ6" t="s">
        <v>259</v>
      </c>
      <c r="AK6">
        <v>0</v>
      </c>
      <c r="AL6">
        <v>0</v>
      </c>
      <c r="AM6">
        <v>0</v>
      </c>
    </row>
    <row r="7" spans="1:213" x14ac:dyDescent="0.25">
      <c r="A7" t="s">
        <v>236</v>
      </c>
      <c r="B7" t="str">
        <f>'Basis Options'!C12</f>
        <v>EY1230</v>
      </c>
      <c r="C7" t="s">
        <v>258</v>
      </c>
      <c r="D7" t="s">
        <v>237</v>
      </c>
      <c r="E7" t="s">
        <v>20</v>
      </c>
      <c r="F7" t="str">
        <f>'Basis Options'!A12</f>
        <v>ELPASMER</v>
      </c>
      <c r="G7" t="s">
        <v>272</v>
      </c>
      <c r="H7" t="s">
        <v>257</v>
      </c>
      <c r="I7" t="s">
        <v>245</v>
      </c>
      <c r="J7" t="s">
        <v>238</v>
      </c>
      <c r="K7" s="393">
        <f>'Basis Options'!G12</f>
        <v>36678</v>
      </c>
      <c r="L7" s="239">
        <f>'Basis Options'!U12</f>
        <v>19194.123844804475</v>
      </c>
      <c r="M7" s="393">
        <f>'Basis Options'!Q12</f>
        <v>36676</v>
      </c>
      <c r="N7" t="str">
        <f>'Basis Options'!F12</f>
        <v>C</v>
      </c>
      <c r="O7">
        <f>'Basis Options'!I12</f>
        <v>0.25</v>
      </c>
      <c r="P7">
        <v>0</v>
      </c>
      <c r="Q7">
        <v>0</v>
      </c>
      <c r="R7">
        <v>0</v>
      </c>
      <c r="S7">
        <v>0</v>
      </c>
      <c r="T7" t="s">
        <v>256</v>
      </c>
      <c r="U7" t="str">
        <f>IF('Basis Options'!D12="NGI/CHI. GATE","""NGI/CHI. GATE""",TRIM('Basis Options'!D12))</f>
        <v>IF-TRANSCO/Z6</v>
      </c>
      <c r="V7" t="s">
        <v>256</v>
      </c>
      <c r="W7" t="s">
        <v>135</v>
      </c>
      <c r="X7" t="s">
        <v>256</v>
      </c>
      <c r="Y7" t="s">
        <v>238</v>
      </c>
      <c r="Z7" t="s">
        <v>239</v>
      </c>
      <c r="AA7" t="s">
        <v>256</v>
      </c>
      <c r="AB7" t="s">
        <v>1</v>
      </c>
      <c r="AC7" s="239">
        <f>'Basis Options'!H12</f>
        <v>300000</v>
      </c>
      <c r="AD7" s="239">
        <f>'Basis Options'!W12</f>
        <v>1293.5739230819163</v>
      </c>
      <c r="AE7">
        <v>0</v>
      </c>
      <c r="AF7">
        <v>0</v>
      </c>
      <c r="AG7">
        <v>0</v>
      </c>
      <c r="AH7" s="239">
        <f>'Basis Options'!BC12</f>
        <v>4155.1685830343667</v>
      </c>
      <c r="AI7">
        <v>226</v>
      </c>
      <c r="AJ7" t="s">
        <v>259</v>
      </c>
      <c r="AK7">
        <v>0</v>
      </c>
      <c r="AL7">
        <v>0</v>
      </c>
      <c r="AM7">
        <v>0</v>
      </c>
    </row>
    <row r="8" spans="1:213" x14ac:dyDescent="0.25">
      <c r="A8" t="s">
        <v>236</v>
      </c>
      <c r="B8" t="str">
        <f>'Basis Options'!C13</f>
        <v>NA9501.1</v>
      </c>
      <c r="C8" t="s">
        <v>258</v>
      </c>
      <c r="D8" t="s">
        <v>237</v>
      </c>
      <c r="E8" t="s">
        <v>20</v>
      </c>
      <c r="F8" t="str">
        <f>'Basis Options'!A13</f>
        <v>LT-TRANS-EA</v>
      </c>
      <c r="G8" t="s">
        <v>272</v>
      </c>
      <c r="H8" t="s">
        <v>257</v>
      </c>
      <c r="I8" t="s">
        <v>245</v>
      </c>
      <c r="J8" t="s">
        <v>238</v>
      </c>
      <c r="K8" s="393">
        <f>'Basis Options'!G13</f>
        <v>36678</v>
      </c>
      <c r="L8" s="239">
        <f>'Basis Options'!U13</f>
        <v>6434.8869912155878</v>
      </c>
      <c r="M8" s="393">
        <f>'Basis Options'!Q13</f>
        <v>36676</v>
      </c>
      <c r="N8" t="str">
        <f>'Basis Options'!F13</f>
        <v>C</v>
      </c>
      <c r="O8">
        <f>'Basis Options'!I13</f>
        <v>0.16</v>
      </c>
      <c r="P8">
        <v>0</v>
      </c>
      <c r="Q8">
        <v>0</v>
      </c>
      <c r="R8">
        <v>0</v>
      </c>
      <c r="S8">
        <v>0</v>
      </c>
      <c r="T8" t="s">
        <v>256</v>
      </c>
      <c r="U8" t="str">
        <f>IF('Basis Options'!D13="NGI/CHI. GATE","""NGI/CHI. GATE""",TRIM('Basis Options'!D13))</f>
        <v>IF-CGT/APPALAC</v>
      </c>
      <c r="V8" t="s">
        <v>256</v>
      </c>
      <c r="W8" t="s">
        <v>135</v>
      </c>
      <c r="X8" t="s">
        <v>256</v>
      </c>
      <c r="Y8" t="s">
        <v>238</v>
      </c>
      <c r="Z8" t="s">
        <v>239</v>
      </c>
      <c r="AA8" t="s">
        <v>256</v>
      </c>
      <c r="AB8" t="s">
        <v>1</v>
      </c>
      <c r="AC8" s="239">
        <f>'Basis Options'!H13</f>
        <v>300000</v>
      </c>
      <c r="AD8" s="239">
        <f>'Basis Options'!W13</f>
        <v>1372.7460719402006</v>
      </c>
      <c r="AE8">
        <v>0</v>
      </c>
      <c r="AF8">
        <v>0</v>
      </c>
      <c r="AG8">
        <v>0</v>
      </c>
      <c r="AH8" s="239">
        <f>'Basis Options'!BC13</f>
        <v>114.39969842545906</v>
      </c>
      <c r="AI8">
        <v>226</v>
      </c>
      <c r="AJ8" t="s">
        <v>259</v>
      </c>
      <c r="AK8">
        <v>0</v>
      </c>
      <c r="AL8">
        <v>0</v>
      </c>
      <c r="AM8">
        <v>0</v>
      </c>
    </row>
    <row r="9" spans="1:213" x14ac:dyDescent="0.25">
      <c r="A9" t="s">
        <v>236</v>
      </c>
      <c r="B9" t="str">
        <f>'Basis Options'!C14</f>
        <v>W2420</v>
      </c>
      <c r="C9" t="s">
        <v>258</v>
      </c>
      <c r="D9" t="s">
        <v>237</v>
      </c>
      <c r="E9" t="s">
        <v>20</v>
      </c>
      <c r="F9" t="str">
        <f>'Basis Options'!A14</f>
        <v>RELIANTENESER</v>
      </c>
      <c r="G9" t="s">
        <v>272</v>
      </c>
      <c r="H9" t="s">
        <v>257</v>
      </c>
      <c r="I9" t="s">
        <v>245</v>
      </c>
      <c r="J9" t="s">
        <v>238</v>
      </c>
      <c r="K9" s="393">
        <f>'Basis Options'!G14</f>
        <v>36678</v>
      </c>
      <c r="L9" s="239">
        <f>'Basis Options'!U14</f>
        <v>7589.8667157806794</v>
      </c>
      <c r="M9" s="393">
        <f>'Basis Options'!Q14</f>
        <v>36676</v>
      </c>
      <c r="N9" t="str">
        <f>'Basis Options'!F14</f>
        <v>P</v>
      </c>
      <c r="O9">
        <f>'Basis Options'!I14</f>
        <v>-0.4</v>
      </c>
      <c r="P9">
        <v>0</v>
      </c>
      <c r="Q9">
        <v>0</v>
      </c>
      <c r="R9">
        <v>0</v>
      </c>
      <c r="S9">
        <v>0</v>
      </c>
      <c r="T9" t="s">
        <v>256</v>
      </c>
      <c r="U9" t="str">
        <f>IF('Basis Options'!D14="NGI/CHI. GATE","""NGI/CHI. GATE""",TRIM('Basis Options'!D14))</f>
        <v>IF-NWPL_ROCKY_M</v>
      </c>
      <c r="V9" t="s">
        <v>256</v>
      </c>
      <c r="W9" t="s">
        <v>135</v>
      </c>
      <c r="X9" t="s">
        <v>256</v>
      </c>
      <c r="Y9" t="s">
        <v>238</v>
      </c>
      <c r="Z9" t="s">
        <v>239</v>
      </c>
      <c r="AA9" t="s">
        <v>256</v>
      </c>
      <c r="AB9" t="s">
        <v>1</v>
      </c>
      <c r="AC9" s="239">
        <f>'Basis Options'!H14</f>
        <v>300000</v>
      </c>
      <c r="AD9" s="239">
        <f>'Basis Options'!W14</f>
        <v>3583.7707281594485</v>
      </c>
      <c r="AE9">
        <v>0</v>
      </c>
      <c r="AF9">
        <v>0</v>
      </c>
      <c r="AG9">
        <v>0</v>
      </c>
      <c r="AH9" s="239">
        <f>'Basis Options'!BC14</f>
        <v>2342.5724319391638</v>
      </c>
      <c r="AI9">
        <v>226</v>
      </c>
      <c r="AJ9" t="s">
        <v>259</v>
      </c>
      <c r="AK9">
        <v>0</v>
      </c>
      <c r="AL9">
        <v>0</v>
      </c>
      <c r="AM9">
        <v>0</v>
      </c>
    </row>
    <row r="10" spans="1:213" x14ac:dyDescent="0.25">
      <c r="A10" t="s">
        <v>236</v>
      </c>
      <c r="B10" t="str">
        <f>'Basis Options'!C15</f>
        <v>N33626.2</v>
      </c>
      <c r="C10" t="s">
        <v>258</v>
      </c>
      <c r="D10" t="s">
        <v>237</v>
      </c>
      <c r="E10" t="s">
        <v>20</v>
      </c>
      <c r="F10" t="str">
        <f>'Basis Options'!A15</f>
        <v>STATOILENETRA</v>
      </c>
      <c r="G10" t="s">
        <v>272</v>
      </c>
      <c r="H10" t="s">
        <v>257</v>
      </c>
      <c r="I10" t="s">
        <v>245</v>
      </c>
      <c r="J10" t="s">
        <v>238</v>
      </c>
      <c r="K10" s="393">
        <f>'Basis Options'!G15</f>
        <v>36678</v>
      </c>
      <c r="L10" s="239">
        <f>'Basis Options'!U15</f>
        <v>12869.773982431176</v>
      </c>
      <c r="M10" s="393">
        <f>'Basis Options'!Q15</f>
        <v>36676</v>
      </c>
      <c r="N10" t="str">
        <f>'Basis Options'!F15</f>
        <v>C</v>
      </c>
      <c r="O10">
        <f>'Basis Options'!I15</f>
        <v>0.16</v>
      </c>
      <c r="P10">
        <v>0</v>
      </c>
      <c r="Q10">
        <v>0</v>
      </c>
      <c r="R10">
        <v>0</v>
      </c>
      <c r="S10">
        <v>0</v>
      </c>
      <c r="T10" t="s">
        <v>256</v>
      </c>
      <c r="U10" t="str">
        <f>IF('Basis Options'!D15="NGI/CHI. GATE","""NGI/CHI. GATE""",TRIM('Basis Options'!D15))</f>
        <v>IF-CGT/APPALAC</v>
      </c>
      <c r="V10" t="s">
        <v>256</v>
      </c>
      <c r="W10" t="s">
        <v>135</v>
      </c>
      <c r="X10" t="s">
        <v>256</v>
      </c>
      <c r="Y10" t="s">
        <v>238</v>
      </c>
      <c r="Z10" t="s">
        <v>239</v>
      </c>
      <c r="AA10" t="s">
        <v>256</v>
      </c>
      <c r="AB10" t="s">
        <v>1</v>
      </c>
      <c r="AC10" s="239">
        <f>'Basis Options'!H15</f>
        <v>600000</v>
      </c>
      <c r="AD10" s="239">
        <f>'Basis Options'!W15</f>
        <v>2745.4921438804013</v>
      </c>
      <c r="AE10">
        <v>0</v>
      </c>
      <c r="AF10">
        <v>0</v>
      </c>
      <c r="AG10">
        <v>0</v>
      </c>
      <c r="AH10" s="239">
        <f>'Basis Options'!BC15</f>
        <v>228.79939685091813</v>
      </c>
      <c r="AI10">
        <v>226</v>
      </c>
      <c r="AJ10" t="s">
        <v>259</v>
      </c>
      <c r="AK10">
        <v>0</v>
      </c>
      <c r="AL10">
        <v>0</v>
      </c>
      <c r="AM10">
        <v>0</v>
      </c>
    </row>
    <row r="11" spans="1:213" x14ac:dyDescent="0.25">
      <c r="A11" t="s">
        <v>236</v>
      </c>
      <c r="B11" t="str">
        <f>'Basis Options'!C16</f>
        <v>W1882</v>
      </c>
      <c r="C11" t="s">
        <v>258</v>
      </c>
      <c r="D11" t="s">
        <v>237</v>
      </c>
      <c r="E11" t="s">
        <v>20</v>
      </c>
      <c r="F11" t="str">
        <f>'Basis Options'!A16</f>
        <v>STATOILENETRA</v>
      </c>
      <c r="G11" t="s">
        <v>272</v>
      </c>
      <c r="H11" t="s">
        <v>257</v>
      </c>
      <c r="I11" t="s">
        <v>245</v>
      </c>
      <c r="J11" t="s">
        <v>238</v>
      </c>
      <c r="K11" s="393">
        <f>'Basis Options'!G16</f>
        <v>36678</v>
      </c>
      <c r="L11" s="239">
        <f>'Basis Options'!U16</f>
        <v>15470.480736137459</v>
      </c>
      <c r="M11" s="393">
        <f>'Basis Options'!Q16</f>
        <v>36676</v>
      </c>
      <c r="N11" t="str">
        <f>'Basis Options'!F16</f>
        <v>C</v>
      </c>
      <c r="O11">
        <f>'Basis Options'!I16</f>
        <v>0.3</v>
      </c>
      <c r="P11">
        <v>0</v>
      </c>
      <c r="Q11">
        <v>0</v>
      </c>
      <c r="R11">
        <v>0</v>
      </c>
      <c r="S11">
        <v>0</v>
      </c>
      <c r="T11" t="s">
        <v>256</v>
      </c>
      <c r="U11" t="str">
        <f>IF('Basis Options'!D16="NGI/CHI. GATE","""NGI/CHI. GATE""",TRIM('Basis Options'!D16))</f>
        <v>IF-TRANSCO/Z6</v>
      </c>
      <c r="V11" t="s">
        <v>256</v>
      </c>
      <c r="W11" t="s">
        <v>135</v>
      </c>
      <c r="X11" t="s">
        <v>256</v>
      </c>
      <c r="Y11" t="s">
        <v>238</v>
      </c>
      <c r="Z11" t="s">
        <v>239</v>
      </c>
      <c r="AA11" t="s">
        <v>256</v>
      </c>
      <c r="AB11" t="s">
        <v>1</v>
      </c>
      <c r="AC11" s="239">
        <f>'Basis Options'!H16</f>
        <v>500000</v>
      </c>
      <c r="AD11" s="239">
        <f>'Basis Options'!W16</f>
        <v>3007.5232449735049</v>
      </c>
      <c r="AE11">
        <v>0</v>
      </c>
      <c r="AF11">
        <v>0</v>
      </c>
      <c r="AG11">
        <v>0</v>
      </c>
      <c r="AH11" s="239">
        <f>'Basis Options'!BC16</f>
        <v>4579.14215152406</v>
      </c>
      <c r="AI11">
        <v>226</v>
      </c>
      <c r="AJ11" t="s">
        <v>259</v>
      </c>
      <c r="AK11">
        <v>0</v>
      </c>
      <c r="AL11">
        <v>0</v>
      </c>
      <c r="AM11">
        <v>0</v>
      </c>
    </row>
    <row r="12" spans="1:213" x14ac:dyDescent="0.25">
      <c r="A12" t="s">
        <v>236</v>
      </c>
      <c r="B12" t="str">
        <f>'Basis Options'!C17</f>
        <v>EY1230</v>
      </c>
      <c r="C12" t="s">
        <v>258</v>
      </c>
      <c r="D12" t="s">
        <v>237</v>
      </c>
      <c r="E12" t="s">
        <v>20</v>
      </c>
      <c r="F12" t="str">
        <f>'Basis Options'!A17</f>
        <v>ELPASMER</v>
      </c>
      <c r="G12" t="s">
        <v>272</v>
      </c>
      <c r="H12" t="s">
        <v>257</v>
      </c>
      <c r="I12" t="s">
        <v>245</v>
      </c>
      <c r="J12" t="s">
        <v>238</v>
      </c>
      <c r="K12" s="393">
        <f>'Basis Options'!G17</f>
        <v>36708</v>
      </c>
      <c r="L12" s="239">
        <f>'Basis Options'!U17</f>
        <v>30093.266544420418</v>
      </c>
      <c r="M12" s="393">
        <f>'Basis Options'!Q17</f>
        <v>36706</v>
      </c>
      <c r="N12" t="str">
        <f>'Basis Options'!F17</f>
        <v>C</v>
      </c>
      <c r="O12">
        <f>'Basis Options'!I17</f>
        <v>0.25</v>
      </c>
      <c r="P12">
        <v>0</v>
      </c>
      <c r="Q12">
        <v>0</v>
      </c>
      <c r="R12">
        <v>0</v>
      </c>
      <c r="S12">
        <v>0</v>
      </c>
      <c r="T12" t="s">
        <v>256</v>
      </c>
      <c r="U12" t="str">
        <f>IF('Basis Options'!D17="NGI/CHI. GATE","""NGI/CHI. GATE""",TRIM('Basis Options'!D17))</f>
        <v>IF-TRANSCO/Z6</v>
      </c>
      <c r="V12" t="s">
        <v>256</v>
      </c>
      <c r="W12" t="s">
        <v>135</v>
      </c>
      <c r="X12" t="s">
        <v>256</v>
      </c>
      <c r="Y12" t="s">
        <v>238</v>
      </c>
      <c r="Z12" t="s">
        <v>239</v>
      </c>
      <c r="AA12" t="s">
        <v>256</v>
      </c>
      <c r="AB12" t="s">
        <v>1</v>
      </c>
      <c r="AC12" s="239">
        <f>'Basis Options'!H17</f>
        <v>300000</v>
      </c>
      <c r="AD12" s="239">
        <f>'Basis Options'!W17</f>
        <v>1427.7339475889748</v>
      </c>
      <c r="AE12">
        <v>0</v>
      </c>
      <c r="AF12">
        <v>0</v>
      </c>
      <c r="AG12">
        <v>0</v>
      </c>
      <c r="AH12" s="239">
        <f>'Basis Options'!BC17</f>
        <v>3869.8465013366585</v>
      </c>
      <c r="AI12">
        <v>226</v>
      </c>
      <c r="AJ12" t="s">
        <v>259</v>
      </c>
      <c r="AK12">
        <v>0</v>
      </c>
      <c r="AL12">
        <v>0</v>
      </c>
      <c r="AM12">
        <v>0</v>
      </c>
    </row>
    <row r="13" spans="1:213" x14ac:dyDescent="0.25">
      <c r="A13" t="s">
        <v>236</v>
      </c>
      <c r="B13" t="str">
        <f>'Basis Options'!C18</f>
        <v>NA9501.1</v>
      </c>
      <c r="C13" t="s">
        <v>258</v>
      </c>
      <c r="D13" t="s">
        <v>237</v>
      </c>
      <c r="E13" t="s">
        <v>20</v>
      </c>
      <c r="F13" t="str">
        <f>'Basis Options'!A18</f>
        <v>LT-TRANS-EA</v>
      </c>
      <c r="G13" t="s">
        <v>272</v>
      </c>
      <c r="H13" t="s">
        <v>257</v>
      </c>
      <c r="I13" t="s">
        <v>245</v>
      </c>
      <c r="J13" t="s">
        <v>238</v>
      </c>
      <c r="K13" s="393">
        <f>'Basis Options'!G18</f>
        <v>36708</v>
      </c>
      <c r="L13" s="239">
        <f>'Basis Options'!U18</f>
        <v>8893.6099588564721</v>
      </c>
      <c r="M13" s="393">
        <f>'Basis Options'!Q18</f>
        <v>36706</v>
      </c>
      <c r="N13" t="str">
        <f>'Basis Options'!F18</f>
        <v>C</v>
      </c>
      <c r="O13">
        <f>'Basis Options'!I18</f>
        <v>0.16</v>
      </c>
      <c r="P13">
        <v>0</v>
      </c>
      <c r="Q13">
        <v>0</v>
      </c>
      <c r="R13">
        <v>0</v>
      </c>
      <c r="S13">
        <v>0</v>
      </c>
      <c r="T13" t="s">
        <v>256</v>
      </c>
      <c r="U13" t="str">
        <f>IF('Basis Options'!D18="NGI/CHI. GATE","""NGI/CHI. GATE""",TRIM('Basis Options'!D18))</f>
        <v>IF-CGT/APPALAC</v>
      </c>
      <c r="V13" t="s">
        <v>256</v>
      </c>
      <c r="W13" t="s">
        <v>135</v>
      </c>
      <c r="X13" t="s">
        <v>256</v>
      </c>
      <c r="Y13" t="s">
        <v>238</v>
      </c>
      <c r="Z13" t="s">
        <v>239</v>
      </c>
      <c r="AA13" t="s">
        <v>256</v>
      </c>
      <c r="AB13" t="s">
        <v>1</v>
      </c>
      <c r="AC13" s="239">
        <f>'Basis Options'!H18</f>
        <v>310000</v>
      </c>
      <c r="AD13" s="239">
        <f>'Basis Options'!W18</f>
        <v>1900.6465503773361</v>
      </c>
      <c r="AE13">
        <v>0</v>
      </c>
      <c r="AF13">
        <v>0</v>
      </c>
      <c r="AG13">
        <v>0</v>
      </c>
      <c r="AH13" s="239">
        <f>'Basis Options'!BC18</f>
        <v>148.83098049592081</v>
      </c>
      <c r="AI13">
        <v>226</v>
      </c>
      <c r="AJ13" t="s">
        <v>259</v>
      </c>
      <c r="AK13">
        <v>0</v>
      </c>
      <c r="AL13">
        <v>0</v>
      </c>
      <c r="AM13">
        <v>0</v>
      </c>
    </row>
    <row r="14" spans="1:213" x14ac:dyDescent="0.25">
      <c r="A14" t="s">
        <v>236</v>
      </c>
      <c r="B14" t="str">
        <f>'Basis Options'!C19</f>
        <v>W2420</v>
      </c>
      <c r="C14" t="s">
        <v>258</v>
      </c>
      <c r="D14" t="s">
        <v>237</v>
      </c>
      <c r="E14" t="s">
        <v>20</v>
      </c>
      <c r="F14" t="str">
        <f>'Basis Options'!A19</f>
        <v>RELIANTENESER</v>
      </c>
      <c r="G14" t="s">
        <v>272</v>
      </c>
      <c r="H14" t="s">
        <v>257</v>
      </c>
      <c r="I14" t="s">
        <v>245</v>
      </c>
      <c r="J14" t="s">
        <v>238</v>
      </c>
      <c r="K14" s="393">
        <f>'Basis Options'!G19</f>
        <v>36708</v>
      </c>
      <c r="L14" s="239">
        <f>'Basis Options'!U19</f>
        <v>10903.339641190763</v>
      </c>
      <c r="M14" s="393">
        <f>'Basis Options'!Q19</f>
        <v>36706</v>
      </c>
      <c r="N14" t="str">
        <f>'Basis Options'!F19</f>
        <v>P</v>
      </c>
      <c r="O14">
        <f>'Basis Options'!I19</f>
        <v>-0.4</v>
      </c>
      <c r="P14">
        <v>0</v>
      </c>
      <c r="Q14">
        <v>0</v>
      </c>
      <c r="R14">
        <v>0</v>
      </c>
      <c r="S14">
        <v>0</v>
      </c>
      <c r="T14" t="s">
        <v>256</v>
      </c>
      <c r="U14" t="str">
        <f>IF('Basis Options'!D19="NGI/CHI. GATE","""NGI/CHI. GATE""",TRIM('Basis Options'!D19))</f>
        <v>IF-NWPL_ROCKY_M</v>
      </c>
      <c r="V14" t="s">
        <v>256</v>
      </c>
      <c r="W14" t="s">
        <v>135</v>
      </c>
      <c r="X14" t="s">
        <v>256</v>
      </c>
      <c r="Y14" t="s">
        <v>238</v>
      </c>
      <c r="Z14" t="s">
        <v>239</v>
      </c>
      <c r="AA14" t="s">
        <v>256</v>
      </c>
      <c r="AB14" t="s">
        <v>1</v>
      </c>
      <c r="AC14" s="239">
        <f>'Basis Options'!H19</f>
        <v>310000</v>
      </c>
      <c r="AD14" s="239">
        <f>'Basis Options'!W19</f>
        <v>5021.3527796696289</v>
      </c>
      <c r="AE14">
        <v>0</v>
      </c>
      <c r="AF14">
        <v>0</v>
      </c>
      <c r="AG14">
        <v>0</v>
      </c>
      <c r="AH14" s="239">
        <f>'Basis Options'!BC19</f>
        <v>1757.7186014703129</v>
      </c>
      <c r="AI14">
        <v>226</v>
      </c>
      <c r="AJ14" t="s">
        <v>259</v>
      </c>
      <c r="AK14">
        <v>0</v>
      </c>
      <c r="AL14">
        <v>0</v>
      </c>
      <c r="AM14">
        <v>0</v>
      </c>
    </row>
    <row r="15" spans="1:213" x14ac:dyDescent="0.25">
      <c r="A15" t="s">
        <v>236</v>
      </c>
      <c r="B15" t="str">
        <f>'Basis Options'!C20</f>
        <v>N33626.2</v>
      </c>
      <c r="C15" t="s">
        <v>258</v>
      </c>
      <c r="D15" t="s">
        <v>237</v>
      </c>
      <c r="E15" t="s">
        <v>20</v>
      </c>
      <c r="F15" t="str">
        <f>'Basis Options'!A20</f>
        <v>STATOILENETRA</v>
      </c>
      <c r="G15" t="s">
        <v>272</v>
      </c>
      <c r="H15" t="s">
        <v>257</v>
      </c>
      <c r="I15" t="s">
        <v>245</v>
      </c>
      <c r="J15" t="s">
        <v>238</v>
      </c>
      <c r="K15" s="393">
        <f>'Basis Options'!G20</f>
        <v>36708</v>
      </c>
      <c r="L15" s="239">
        <f>'Basis Options'!U20</f>
        <v>17213.438630044784</v>
      </c>
      <c r="M15" s="393">
        <f>'Basis Options'!Q20</f>
        <v>36706</v>
      </c>
      <c r="N15" t="str">
        <f>'Basis Options'!F20</f>
        <v>C</v>
      </c>
      <c r="O15">
        <f>'Basis Options'!I20</f>
        <v>0.16</v>
      </c>
      <c r="P15">
        <v>0</v>
      </c>
      <c r="Q15">
        <v>0</v>
      </c>
      <c r="R15">
        <v>0</v>
      </c>
      <c r="S15">
        <v>0</v>
      </c>
      <c r="T15" t="s">
        <v>256</v>
      </c>
      <c r="U15" t="str">
        <f>IF('Basis Options'!D20="NGI/CHI. GATE","""NGI/CHI. GATE""",TRIM('Basis Options'!D20))</f>
        <v>IF-CGT/APPALAC</v>
      </c>
      <c r="V15" t="s">
        <v>256</v>
      </c>
      <c r="W15" t="s">
        <v>135</v>
      </c>
      <c r="X15" t="s">
        <v>256</v>
      </c>
      <c r="Y15" t="s">
        <v>238</v>
      </c>
      <c r="Z15" t="s">
        <v>239</v>
      </c>
      <c r="AA15" t="s">
        <v>256</v>
      </c>
      <c r="AB15" t="s">
        <v>1</v>
      </c>
      <c r="AC15" s="239">
        <f>'Basis Options'!H20</f>
        <v>600000</v>
      </c>
      <c r="AD15" s="239">
        <f>'Basis Options'!W20</f>
        <v>3678.6707426657667</v>
      </c>
      <c r="AE15">
        <v>0</v>
      </c>
      <c r="AF15">
        <v>0</v>
      </c>
      <c r="AG15">
        <v>0</v>
      </c>
      <c r="AH15" s="239">
        <f>'Basis Options'!BC20</f>
        <v>288.05996225016861</v>
      </c>
      <c r="AI15">
        <v>226</v>
      </c>
      <c r="AJ15" t="s">
        <v>259</v>
      </c>
      <c r="AK15">
        <v>0</v>
      </c>
      <c r="AL15">
        <v>0</v>
      </c>
      <c r="AM15">
        <v>0</v>
      </c>
    </row>
    <row r="16" spans="1:213" x14ac:dyDescent="0.25">
      <c r="A16" t="s">
        <v>236</v>
      </c>
      <c r="B16" t="str">
        <f>'Basis Options'!C21</f>
        <v>W1882</v>
      </c>
      <c r="C16" t="s">
        <v>258</v>
      </c>
      <c r="D16" t="s">
        <v>237</v>
      </c>
      <c r="E16" t="s">
        <v>20</v>
      </c>
      <c r="F16" t="str">
        <f>'Basis Options'!A21</f>
        <v>STATOILENETRA</v>
      </c>
      <c r="G16" t="s">
        <v>272</v>
      </c>
      <c r="H16" t="s">
        <v>257</v>
      </c>
      <c r="I16" t="s">
        <v>245</v>
      </c>
      <c r="J16" t="s">
        <v>238</v>
      </c>
      <c r="K16" s="393">
        <f>'Basis Options'!G21</f>
        <v>36708</v>
      </c>
      <c r="L16" s="239">
        <f>'Basis Options'!U21</f>
        <v>31480.032037900506</v>
      </c>
      <c r="M16" s="393">
        <f>'Basis Options'!Q21</f>
        <v>36706</v>
      </c>
      <c r="N16" t="str">
        <f>'Basis Options'!F21</f>
        <v>C</v>
      </c>
      <c r="O16">
        <f>'Basis Options'!I21</f>
        <v>0.3</v>
      </c>
      <c r="P16">
        <v>0</v>
      </c>
      <c r="Q16">
        <v>0</v>
      </c>
      <c r="R16">
        <v>0</v>
      </c>
      <c r="S16">
        <v>0</v>
      </c>
      <c r="T16" t="s">
        <v>256</v>
      </c>
      <c r="U16" t="str">
        <f>IF('Basis Options'!D21="NGI/CHI. GATE","""NGI/CHI. GATE""",TRIM('Basis Options'!D21))</f>
        <v>IF-TRANSCO/Z6</v>
      </c>
      <c r="V16" t="s">
        <v>256</v>
      </c>
      <c r="W16" t="s">
        <v>135</v>
      </c>
      <c r="X16" t="s">
        <v>256</v>
      </c>
      <c r="Y16" t="s">
        <v>238</v>
      </c>
      <c r="Z16" t="s">
        <v>239</v>
      </c>
      <c r="AA16" t="s">
        <v>256</v>
      </c>
      <c r="AB16" t="s">
        <v>1</v>
      </c>
      <c r="AC16" s="239">
        <f>'Basis Options'!H21</f>
        <v>500000</v>
      </c>
      <c r="AD16" s="239">
        <f>'Basis Options'!W21</f>
        <v>3555.3864802588359</v>
      </c>
      <c r="AE16">
        <v>0</v>
      </c>
      <c r="AF16">
        <v>0</v>
      </c>
      <c r="AG16">
        <v>0</v>
      </c>
      <c r="AH16" s="239">
        <f>'Basis Options'!BC21</f>
        <v>5223.8712526167947</v>
      </c>
      <c r="AI16">
        <v>226</v>
      </c>
      <c r="AJ16" t="s">
        <v>259</v>
      </c>
      <c r="AK16">
        <v>0</v>
      </c>
      <c r="AL16">
        <v>0</v>
      </c>
      <c r="AM16">
        <v>0</v>
      </c>
    </row>
    <row r="17" spans="1:39" x14ac:dyDescent="0.25">
      <c r="A17" t="s">
        <v>236</v>
      </c>
      <c r="B17" t="str">
        <f>'Basis Options'!C22</f>
        <v>EY1230</v>
      </c>
      <c r="C17" t="s">
        <v>258</v>
      </c>
      <c r="D17" t="s">
        <v>237</v>
      </c>
      <c r="E17" t="s">
        <v>20</v>
      </c>
      <c r="F17" t="str">
        <f>'Basis Options'!A22</f>
        <v>ELPASMER</v>
      </c>
      <c r="G17" t="s">
        <v>272</v>
      </c>
      <c r="H17" t="s">
        <v>257</v>
      </c>
      <c r="I17" t="s">
        <v>245</v>
      </c>
      <c r="J17" t="s">
        <v>238</v>
      </c>
      <c r="K17" s="393">
        <f>'Basis Options'!G22</f>
        <v>36739</v>
      </c>
      <c r="L17" s="239">
        <f>'Basis Options'!U22</f>
        <v>31496.678082782539</v>
      </c>
      <c r="M17" s="393">
        <f>'Basis Options'!Q22</f>
        <v>36735</v>
      </c>
      <c r="N17" t="str">
        <f>'Basis Options'!F22</f>
        <v>C</v>
      </c>
      <c r="O17">
        <f>'Basis Options'!I22</f>
        <v>0.25</v>
      </c>
      <c r="P17">
        <v>0</v>
      </c>
      <c r="Q17">
        <v>0</v>
      </c>
      <c r="R17">
        <v>0</v>
      </c>
      <c r="S17">
        <v>0</v>
      </c>
      <c r="T17" t="s">
        <v>256</v>
      </c>
      <c r="U17" t="str">
        <f>IF('Basis Options'!D22="NGI/CHI. GATE","""NGI/CHI. GATE""",TRIM('Basis Options'!D22))</f>
        <v>IF-TRANSCO/Z6</v>
      </c>
      <c r="V17" t="s">
        <v>256</v>
      </c>
      <c r="W17" t="s">
        <v>135</v>
      </c>
      <c r="X17" t="s">
        <v>256</v>
      </c>
      <c r="Y17" t="s">
        <v>238</v>
      </c>
      <c r="Z17" t="s">
        <v>239</v>
      </c>
      <c r="AA17" t="s">
        <v>256</v>
      </c>
      <c r="AB17" t="s">
        <v>1</v>
      </c>
      <c r="AC17" s="239">
        <f>'Basis Options'!H22</f>
        <v>300000</v>
      </c>
      <c r="AD17" s="239">
        <f>'Basis Options'!W22</f>
        <v>2130.1402682868647</v>
      </c>
      <c r="AE17">
        <v>0</v>
      </c>
      <c r="AF17">
        <v>0</v>
      </c>
      <c r="AG17">
        <v>0</v>
      </c>
      <c r="AH17" s="239">
        <f>'Basis Options'!BC22</f>
        <v>3692.4220139821846</v>
      </c>
      <c r="AI17">
        <v>226</v>
      </c>
      <c r="AJ17" t="s">
        <v>259</v>
      </c>
      <c r="AK17">
        <v>0</v>
      </c>
      <c r="AL17">
        <v>0</v>
      </c>
      <c r="AM17">
        <v>0</v>
      </c>
    </row>
    <row r="18" spans="1:39" x14ac:dyDescent="0.25">
      <c r="A18" t="s">
        <v>236</v>
      </c>
      <c r="B18" t="str">
        <f>'Basis Options'!C23</f>
        <v>NA9501.1</v>
      </c>
      <c r="C18" t="s">
        <v>258</v>
      </c>
      <c r="D18" t="s">
        <v>237</v>
      </c>
      <c r="E18" t="s">
        <v>20</v>
      </c>
      <c r="F18" t="str">
        <f>'Basis Options'!A23</f>
        <v>LT-TRANS-EA</v>
      </c>
      <c r="G18" t="s">
        <v>272</v>
      </c>
      <c r="H18" t="s">
        <v>257</v>
      </c>
      <c r="I18" t="s">
        <v>245</v>
      </c>
      <c r="J18" t="s">
        <v>238</v>
      </c>
      <c r="K18" s="393">
        <f>'Basis Options'!G23</f>
        <v>36739</v>
      </c>
      <c r="L18" s="239">
        <f>'Basis Options'!U23</f>
        <v>10100.972220985388</v>
      </c>
      <c r="M18" s="393">
        <f>'Basis Options'!Q23</f>
        <v>36735</v>
      </c>
      <c r="N18" t="str">
        <f>'Basis Options'!F23</f>
        <v>C</v>
      </c>
      <c r="O18">
        <f>'Basis Options'!I23</f>
        <v>0.16</v>
      </c>
      <c r="P18">
        <v>0</v>
      </c>
      <c r="Q18">
        <v>0</v>
      </c>
      <c r="R18">
        <v>0</v>
      </c>
      <c r="S18">
        <v>0</v>
      </c>
      <c r="T18" t="s">
        <v>256</v>
      </c>
      <c r="U18" t="str">
        <f>IF('Basis Options'!D23="NGI/CHI. GATE","""NGI/CHI. GATE""",TRIM('Basis Options'!D23))</f>
        <v>IF-CGT/APPALAC</v>
      </c>
      <c r="V18" t="s">
        <v>256</v>
      </c>
      <c r="W18" t="s">
        <v>135</v>
      </c>
      <c r="X18" t="s">
        <v>256</v>
      </c>
      <c r="Y18" t="s">
        <v>238</v>
      </c>
      <c r="Z18" t="s">
        <v>239</v>
      </c>
      <c r="AA18" t="s">
        <v>256</v>
      </c>
      <c r="AB18" t="s">
        <v>1</v>
      </c>
      <c r="AC18" s="239">
        <f>'Basis Options'!H23</f>
        <v>310000</v>
      </c>
      <c r="AD18" s="239">
        <f>'Basis Options'!W23</f>
        <v>2357.1191896647797</v>
      </c>
      <c r="AE18">
        <v>0</v>
      </c>
      <c r="AF18">
        <v>0</v>
      </c>
      <c r="AG18">
        <v>0</v>
      </c>
      <c r="AH18" s="239">
        <f>'Basis Options'!BC23</f>
        <v>181.47540762059907</v>
      </c>
      <c r="AI18">
        <v>226</v>
      </c>
      <c r="AJ18" t="s">
        <v>259</v>
      </c>
      <c r="AK18">
        <v>0</v>
      </c>
      <c r="AL18">
        <v>0</v>
      </c>
      <c r="AM18">
        <v>0</v>
      </c>
    </row>
    <row r="19" spans="1:39" x14ac:dyDescent="0.25">
      <c r="A19" t="s">
        <v>236</v>
      </c>
      <c r="B19" t="str">
        <f>'Basis Options'!C24</f>
        <v>W2420</v>
      </c>
      <c r="C19" t="s">
        <v>258</v>
      </c>
      <c r="D19" t="s">
        <v>237</v>
      </c>
      <c r="E19" t="s">
        <v>20</v>
      </c>
      <c r="F19" t="str">
        <f>'Basis Options'!A24</f>
        <v>RELIANTENESER</v>
      </c>
      <c r="G19" t="s">
        <v>272</v>
      </c>
      <c r="H19" t="s">
        <v>257</v>
      </c>
      <c r="I19" t="s">
        <v>245</v>
      </c>
      <c r="J19" t="s">
        <v>238</v>
      </c>
      <c r="K19" s="393">
        <f>'Basis Options'!G24</f>
        <v>36739</v>
      </c>
      <c r="L19" s="239">
        <f>'Basis Options'!U24</f>
        <v>15290.497601126315</v>
      </c>
      <c r="M19" s="393">
        <f>'Basis Options'!Q24</f>
        <v>36735</v>
      </c>
      <c r="N19" t="str">
        <f>'Basis Options'!F24</f>
        <v>P</v>
      </c>
      <c r="O19">
        <f>'Basis Options'!I24</f>
        <v>-0.4</v>
      </c>
      <c r="P19">
        <v>0</v>
      </c>
      <c r="Q19">
        <v>0</v>
      </c>
      <c r="R19">
        <v>0</v>
      </c>
      <c r="S19">
        <v>0</v>
      </c>
      <c r="T19" t="s">
        <v>256</v>
      </c>
      <c r="U19" t="str">
        <f>IF('Basis Options'!D24="NGI/CHI. GATE","""NGI/CHI. GATE""",TRIM('Basis Options'!D24))</f>
        <v>IF-NWPL_ROCKY_M</v>
      </c>
      <c r="V19" t="s">
        <v>256</v>
      </c>
      <c r="W19" t="s">
        <v>135</v>
      </c>
      <c r="X19" t="s">
        <v>256</v>
      </c>
      <c r="Y19" t="s">
        <v>238</v>
      </c>
      <c r="Z19" t="s">
        <v>239</v>
      </c>
      <c r="AA19" t="s">
        <v>256</v>
      </c>
      <c r="AB19" t="s">
        <v>1</v>
      </c>
      <c r="AC19" s="239">
        <f>'Basis Options'!H24</f>
        <v>310000</v>
      </c>
      <c r="AD19" s="239">
        <f>'Basis Options'!W24</f>
        <v>6395.5434324978123</v>
      </c>
      <c r="AE19">
        <v>0</v>
      </c>
      <c r="AF19">
        <v>0</v>
      </c>
      <c r="AG19">
        <v>0</v>
      </c>
      <c r="AH19" s="239">
        <f>'Basis Options'!BC24</f>
        <v>2000.3466740466338</v>
      </c>
      <c r="AI19">
        <v>226</v>
      </c>
      <c r="AJ19" t="s">
        <v>259</v>
      </c>
      <c r="AK19">
        <v>0</v>
      </c>
      <c r="AL19">
        <v>0</v>
      </c>
      <c r="AM19">
        <v>0</v>
      </c>
    </row>
    <row r="20" spans="1:39" x14ac:dyDescent="0.25">
      <c r="A20" t="s">
        <v>236</v>
      </c>
      <c r="B20" t="str">
        <f>'Basis Options'!C25</f>
        <v>N33626.2</v>
      </c>
      <c r="C20" t="s">
        <v>258</v>
      </c>
      <c r="D20" t="s">
        <v>237</v>
      </c>
      <c r="E20" t="s">
        <v>20</v>
      </c>
      <c r="F20" t="str">
        <f>'Basis Options'!A25</f>
        <v>STATOILENETRA</v>
      </c>
      <c r="G20" t="s">
        <v>272</v>
      </c>
      <c r="H20" t="s">
        <v>257</v>
      </c>
      <c r="I20" t="s">
        <v>245</v>
      </c>
      <c r="J20" t="s">
        <v>238</v>
      </c>
      <c r="K20" s="393">
        <f>'Basis Options'!G25</f>
        <v>36739</v>
      </c>
      <c r="L20" s="239">
        <f>'Basis Options'!U25</f>
        <v>19550.268814810428</v>
      </c>
      <c r="M20" s="393">
        <f>'Basis Options'!Q25</f>
        <v>36735</v>
      </c>
      <c r="N20" t="str">
        <f>'Basis Options'!F25</f>
        <v>C</v>
      </c>
      <c r="O20">
        <f>'Basis Options'!I25</f>
        <v>0.16</v>
      </c>
      <c r="P20">
        <v>0</v>
      </c>
      <c r="Q20">
        <v>0</v>
      </c>
      <c r="R20">
        <v>0</v>
      </c>
      <c r="S20">
        <v>0</v>
      </c>
      <c r="T20" t="s">
        <v>256</v>
      </c>
      <c r="U20" t="str">
        <f>IF('Basis Options'!D25="NGI/CHI. GATE","""NGI/CHI. GATE""",TRIM('Basis Options'!D25))</f>
        <v>IF-CGT/APPALAC</v>
      </c>
      <c r="V20" t="s">
        <v>256</v>
      </c>
      <c r="W20" t="s">
        <v>135</v>
      </c>
      <c r="X20" t="s">
        <v>256</v>
      </c>
      <c r="Y20" t="s">
        <v>238</v>
      </c>
      <c r="Z20" t="s">
        <v>239</v>
      </c>
      <c r="AA20" t="s">
        <v>256</v>
      </c>
      <c r="AB20" t="s">
        <v>1</v>
      </c>
      <c r="AC20" s="239">
        <f>'Basis Options'!H25</f>
        <v>600000</v>
      </c>
      <c r="AD20" s="239">
        <f>'Basis Options'!W25</f>
        <v>4562.1661735447124</v>
      </c>
      <c r="AE20">
        <v>0</v>
      </c>
      <c r="AF20">
        <v>0</v>
      </c>
      <c r="AG20">
        <v>0</v>
      </c>
      <c r="AH20" s="239">
        <f>'Basis Options'!BC25</f>
        <v>351.24272442696747</v>
      </c>
      <c r="AI20">
        <v>226</v>
      </c>
      <c r="AJ20" t="s">
        <v>259</v>
      </c>
      <c r="AK20">
        <v>0</v>
      </c>
      <c r="AL20">
        <v>0</v>
      </c>
      <c r="AM20">
        <v>0</v>
      </c>
    </row>
    <row r="21" spans="1:39" x14ac:dyDescent="0.25">
      <c r="A21" t="s">
        <v>236</v>
      </c>
      <c r="B21" t="str">
        <f>'Basis Options'!C26</f>
        <v>W1882</v>
      </c>
      <c r="C21" t="s">
        <v>258</v>
      </c>
      <c r="D21" t="s">
        <v>237</v>
      </c>
      <c r="E21" t="s">
        <v>20</v>
      </c>
      <c r="F21" t="str">
        <f>'Basis Options'!A26</f>
        <v>STATOILENETRA</v>
      </c>
      <c r="G21" t="s">
        <v>272</v>
      </c>
      <c r="H21" t="s">
        <v>257</v>
      </c>
      <c r="I21" t="s">
        <v>245</v>
      </c>
      <c r="J21" t="s">
        <v>238</v>
      </c>
      <c r="K21" s="393">
        <f>'Basis Options'!G26</f>
        <v>36739</v>
      </c>
      <c r="L21" s="239">
        <f>'Basis Options'!U26</f>
        <v>35185.052824911516</v>
      </c>
      <c r="M21" s="393">
        <f>'Basis Options'!Q26</f>
        <v>36735</v>
      </c>
      <c r="N21" t="str">
        <f>'Basis Options'!F26</f>
        <v>C</v>
      </c>
      <c r="O21">
        <f>'Basis Options'!I26</f>
        <v>0.3</v>
      </c>
      <c r="P21">
        <v>0</v>
      </c>
      <c r="Q21">
        <v>0</v>
      </c>
      <c r="R21">
        <v>0</v>
      </c>
      <c r="S21">
        <v>0</v>
      </c>
      <c r="T21" t="s">
        <v>256</v>
      </c>
      <c r="U21" t="str">
        <f>IF('Basis Options'!D26="NGI/CHI. GATE","""NGI/CHI. GATE""",TRIM('Basis Options'!D26))</f>
        <v>IF-TRANSCO/Z6</v>
      </c>
      <c r="V21" t="s">
        <v>256</v>
      </c>
      <c r="W21" t="s">
        <v>135</v>
      </c>
      <c r="X21" t="s">
        <v>256</v>
      </c>
      <c r="Y21" t="s">
        <v>238</v>
      </c>
      <c r="Z21" t="s">
        <v>239</v>
      </c>
      <c r="AA21" t="s">
        <v>256</v>
      </c>
      <c r="AB21" t="s">
        <v>1</v>
      </c>
      <c r="AC21" s="239">
        <f>'Basis Options'!H26</f>
        <v>500000</v>
      </c>
      <c r="AD21" s="239">
        <f>'Basis Options'!W26</f>
        <v>4550.2065086034709</v>
      </c>
      <c r="AE21">
        <v>0</v>
      </c>
      <c r="AF21">
        <v>0</v>
      </c>
      <c r="AG21">
        <v>0</v>
      </c>
      <c r="AH21" s="239">
        <f>'Basis Options'!BC26</f>
        <v>5072.9306126128904</v>
      </c>
      <c r="AI21">
        <v>226</v>
      </c>
      <c r="AJ21" t="s">
        <v>259</v>
      </c>
      <c r="AK21">
        <v>0</v>
      </c>
      <c r="AL21">
        <v>0</v>
      </c>
      <c r="AM21">
        <v>0</v>
      </c>
    </row>
    <row r="22" spans="1:39" x14ac:dyDescent="0.25">
      <c r="A22" t="s">
        <v>236</v>
      </c>
      <c r="B22" t="str">
        <f>'Basis Options'!C27</f>
        <v>EY1230</v>
      </c>
      <c r="C22" t="s">
        <v>258</v>
      </c>
      <c r="D22" t="s">
        <v>237</v>
      </c>
      <c r="E22" t="s">
        <v>20</v>
      </c>
      <c r="F22" t="str">
        <f>'Basis Options'!A27</f>
        <v>ELPASMER</v>
      </c>
      <c r="G22" t="s">
        <v>272</v>
      </c>
      <c r="H22" t="s">
        <v>257</v>
      </c>
      <c r="I22" t="s">
        <v>245</v>
      </c>
      <c r="J22" t="s">
        <v>238</v>
      </c>
      <c r="K22" s="393">
        <f>'Basis Options'!G27</f>
        <v>36770</v>
      </c>
      <c r="L22" s="239">
        <f>'Basis Options'!U27</f>
        <v>26452.704827376099</v>
      </c>
      <c r="M22" s="393">
        <f>'Basis Options'!Q27</f>
        <v>36768</v>
      </c>
      <c r="N22" t="str">
        <f>'Basis Options'!F27</f>
        <v>C</v>
      </c>
      <c r="O22">
        <f>'Basis Options'!I27</f>
        <v>0.25</v>
      </c>
      <c r="P22">
        <v>0</v>
      </c>
      <c r="Q22">
        <v>0</v>
      </c>
      <c r="R22">
        <v>0</v>
      </c>
      <c r="S22">
        <v>0</v>
      </c>
      <c r="T22" t="s">
        <v>256</v>
      </c>
      <c r="U22" t="str">
        <f>IF('Basis Options'!D27="NGI/CHI. GATE","""NGI/CHI. GATE""",TRIM('Basis Options'!D27))</f>
        <v>IF-TRANSCO/Z6</v>
      </c>
      <c r="V22" t="s">
        <v>256</v>
      </c>
      <c r="W22" t="s">
        <v>135</v>
      </c>
      <c r="X22" t="s">
        <v>256</v>
      </c>
      <c r="Y22" t="s">
        <v>238</v>
      </c>
      <c r="Z22" t="s">
        <v>239</v>
      </c>
      <c r="AA22" t="s">
        <v>256</v>
      </c>
      <c r="AB22" t="s">
        <v>1</v>
      </c>
      <c r="AC22" s="239">
        <f>'Basis Options'!H27</f>
        <v>300000</v>
      </c>
      <c r="AD22" s="239">
        <f>'Basis Options'!W27</f>
        <v>3185.1592802892847</v>
      </c>
      <c r="AE22">
        <v>0</v>
      </c>
      <c r="AF22">
        <v>0</v>
      </c>
      <c r="AG22">
        <v>0</v>
      </c>
      <c r="AH22" s="239">
        <f>'Basis Options'!BC27</f>
        <v>3739.2910209071742</v>
      </c>
      <c r="AI22">
        <v>226</v>
      </c>
      <c r="AJ22" t="s">
        <v>259</v>
      </c>
      <c r="AK22">
        <v>0</v>
      </c>
      <c r="AL22">
        <v>0</v>
      </c>
      <c r="AM22">
        <v>0</v>
      </c>
    </row>
    <row r="23" spans="1:39" x14ac:dyDescent="0.25">
      <c r="A23" t="s">
        <v>236</v>
      </c>
      <c r="B23" t="str">
        <f>'Basis Options'!C28</f>
        <v>NA9501.1</v>
      </c>
      <c r="C23" t="s">
        <v>258</v>
      </c>
      <c r="D23" t="s">
        <v>237</v>
      </c>
      <c r="E23" t="s">
        <v>20</v>
      </c>
      <c r="F23" t="str">
        <f>'Basis Options'!A28</f>
        <v>LT-TRANS-EA</v>
      </c>
      <c r="G23" t="s">
        <v>272</v>
      </c>
      <c r="H23" t="s">
        <v>257</v>
      </c>
      <c r="I23" t="s">
        <v>245</v>
      </c>
      <c r="J23" t="s">
        <v>238</v>
      </c>
      <c r="K23" s="393">
        <f>'Basis Options'!G28</f>
        <v>36770</v>
      </c>
      <c r="L23" s="239">
        <f>'Basis Options'!U28</f>
        <v>11209.67160652036</v>
      </c>
      <c r="M23" s="393">
        <f>'Basis Options'!Q28</f>
        <v>36768</v>
      </c>
      <c r="N23" t="str">
        <f>'Basis Options'!F28</f>
        <v>C</v>
      </c>
      <c r="O23">
        <f>'Basis Options'!I28</f>
        <v>0.16</v>
      </c>
      <c r="P23">
        <v>0</v>
      </c>
      <c r="Q23">
        <v>0</v>
      </c>
      <c r="R23">
        <v>0</v>
      </c>
      <c r="S23">
        <v>0</v>
      </c>
      <c r="T23" t="s">
        <v>256</v>
      </c>
      <c r="U23" t="str">
        <f>IF('Basis Options'!D28="NGI/CHI. GATE","""NGI/CHI. GATE""",TRIM('Basis Options'!D28))</f>
        <v>IF-CGT/APPALAC</v>
      </c>
      <c r="V23" t="s">
        <v>256</v>
      </c>
      <c r="W23" t="s">
        <v>135</v>
      </c>
      <c r="X23" t="s">
        <v>256</v>
      </c>
      <c r="Y23" t="s">
        <v>238</v>
      </c>
      <c r="Z23" t="s">
        <v>239</v>
      </c>
      <c r="AA23" t="s">
        <v>256</v>
      </c>
      <c r="AB23" t="s">
        <v>1</v>
      </c>
      <c r="AC23" s="239">
        <f>'Basis Options'!H28</f>
        <v>300000</v>
      </c>
      <c r="AD23" s="239">
        <f>'Basis Options'!W28</f>
        <v>2652.2913880990527</v>
      </c>
      <c r="AE23">
        <v>0</v>
      </c>
      <c r="AF23">
        <v>0</v>
      </c>
      <c r="AG23">
        <v>0</v>
      </c>
      <c r="AH23" s="239">
        <f>'Basis Options'!BC28</f>
        <v>200.94807057768594</v>
      </c>
      <c r="AI23">
        <v>226</v>
      </c>
      <c r="AJ23" t="s">
        <v>259</v>
      </c>
      <c r="AK23">
        <v>0</v>
      </c>
      <c r="AL23">
        <v>0</v>
      </c>
      <c r="AM23">
        <v>0</v>
      </c>
    </row>
    <row r="24" spans="1:39" x14ac:dyDescent="0.25">
      <c r="A24" t="s">
        <v>236</v>
      </c>
      <c r="B24" t="str">
        <f>'Basis Options'!C29</f>
        <v>W2420</v>
      </c>
      <c r="C24" t="s">
        <v>258</v>
      </c>
      <c r="D24" t="s">
        <v>237</v>
      </c>
      <c r="E24" t="s">
        <v>20</v>
      </c>
      <c r="F24" t="str">
        <f>'Basis Options'!A29</f>
        <v>RELIANTENESER</v>
      </c>
      <c r="G24" t="s">
        <v>272</v>
      </c>
      <c r="H24" t="s">
        <v>257</v>
      </c>
      <c r="I24" t="s">
        <v>245</v>
      </c>
      <c r="J24" t="s">
        <v>238</v>
      </c>
      <c r="K24" s="393">
        <f>'Basis Options'!G29</f>
        <v>36770</v>
      </c>
      <c r="L24" s="239">
        <f>'Basis Options'!U29</f>
        <v>18541.945465821911</v>
      </c>
      <c r="M24" s="393">
        <f>'Basis Options'!Q29</f>
        <v>36768</v>
      </c>
      <c r="N24" t="str">
        <f>'Basis Options'!F29</f>
        <v>P</v>
      </c>
      <c r="O24">
        <f>'Basis Options'!I29</f>
        <v>-0.4</v>
      </c>
      <c r="P24">
        <v>0</v>
      </c>
      <c r="Q24">
        <v>0</v>
      </c>
      <c r="R24">
        <v>0</v>
      </c>
      <c r="S24">
        <v>0</v>
      </c>
      <c r="T24" t="s">
        <v>256</v>
      </c>
      <c r="U24" t="str">
        <f>IF('Basis Options'!D29="NGI/CHI. GATE","""NGI/CHI. GATE""",TRIM('Basis Options'!D29))</f>
        <v>IF-NWPL_ROCKY_M</v>
      </c>
      <c r="V24" t="s">
        <v>256</v>
      </c>
      <c r="W24" t="s">
        <v>135</v>
      </c>
      <c r="X24" t="s">
        <v>256</v>
      </c>
      <c r="Y24" t="s">
        <v>238</v>
      </c>
      <c r="Z24" t="s">
        <v>239</v>
      </c>
      <c r="AA24" t="s">
        <v>256</v>
      </c>
      <c r="AB24" t="s">
        <v>1</v>
      </c>
      <c r="AC24" s="239">
        <f>'Basis Options'!H29</f>
        <v>300000</v>
      </c>
      <c r="AD24" s="239">
        <f>'Basis Options'!W29</f>
        <v>7335.2158835996815</v>
      </c>
      <c r="AE24">
        <v>0</v>
      </c>
      <c r="AF24">
        <v>0</v>
      </c>
      <c r="AG24">
        <v>0</v>
      </c>
      <c r="AH24" s="239">
        <f>'Basis Options'!BC29</f>
        <v>2095.8977933943443</v>
      </c>
      <c r="AI24">
        <v>226</v>
      </c>
      <c r="AJ24" t="s">
        <v>259</v>
      </c>
      <c r="AK24">
        <v>0</v>
      </c>
      <c r="AL24">
        <v>0</v>
      </c>
      <c r="AM24">
        <v>0</v>
      </c>
    </row>
    <row r="25" spans="1:39" x14ac:dyDescent="0.25">
      <c r="A25" t="s">
        <v>236</v>
      </c>
      <c r="B25" t="str">
        <f>'Basis Options'!C30</f>
        <v>N33626.2</v>
      </c>
      <c r="C25" t="s">
        <v>258</v>
      </c>
      <c r="D25" t="s">
        <v>237</v>
      </c>
      <c r="E25" t="s">
        <v>20</v>
      </c>
      <c r="F25" t="str">
        <f>'Basis Options'!A30</f>
        <v>STATOILENETRA</v>
      </c>
      <c r="G25" t="s">
        <v>272</v>
      </c>
      <c r="H25" t="s">
        <v>257</v>
      </c>
      <c r="I25" t="s">
        <v>245</v>
      </c>
      <c r="J25" t="s">
        <v>238</v>
      </c>
      <c r="K25" s="393">
        <f>'Basis Options'!G30</f>
        <v>36770</v>
      </c>
      <c r="L25" s="239">
        <f>'Basis Options'!U30</f>
        <v>22419.34321304072</v>
      </c>
      <c r="M25" s="393">
        <f>'Basis Options'!Q30</f>
        <v>36768</v>
      </c>
      <c r="N25" t="str">
        <f>'Basis Options'!F30</f>
        <v>C</v>
      </c>
      <c r="O25">
        <f>'Basis Options'!I30</f>
        <v>0.16</v>
      </c>
      <c r="P25">
        <v>0</v>
      </c>
      <c r="Q25">
        <v>0</v>
      </c>
      <c r="R25">
        <v>0</v>
      </c>
      <c r="S25">
        <v>0</v>
      </c>
      <c r="T25" t="s">
        <v>256</v>
      </c>
      <c r="U25" t="str">
        <f>IF('Basis Options'!D30="NGI/CHI. GATE","""NGI/CHI. GATE""",TRIM('Basis Options'!D30))</f>
        <v>IF-CGT/APPALAC</v>
      </c>
      <c r="V25" t="s">
        <v>256</v>
      </c>
      <c r="W25" t="s">
        <v>135</v>
      </c>
      <c r="X25" t="s">
        <v>256</v>
      </c>
      <c r="Y25" t="s">
        <v>238</v>
      </c>
      <c r="Z25" t="s">
        <v>239</v>
      </c>
      <c r="AA25" t="s">
        <v>256</v>
      </c>
      <c r="AB25" t="s">
        <v>1</v>
      </c>
      <c r="AC25" s="239">
        <f>'Basis Options'!H30</f>
        <v>600000</v>
      </c>
      <c r="AD25" s="239">
        <f>'Basis Options'!W30</f>
        <v>5304.5827761981054</v>
      </c>
      <c r="AE25">
        <v>0</v>
      </c>
      <c r="AF25">
        <v>0</v>
      </c>
      <c r="AG25">
        <v>0</v>
      </c>
      <c r="AH25" s="239">
        <f>'Basis Options'!BC30</f>
        <v>401.89614115537188</v>
      </c>
      <c r="AI25">
        <v>226</v>
      </c>
      <c r="AJ25" t="s">
        <v>259</v>
      </c>
      <c r="AK25">
        <v>0</v>
      </c>
      <c r="AL25">
        <v>0</v>
      </c>
      <c r="AM25">
        <v>0</v>
      </c>
    </row>
    <row r="26" spans="1:39" x14ac:dyDescent="0.25">
      <c r="A26" t="s">
        <v>236</v>
      </c>
      <c r="B26" t="str">
        <f>'Basis Options'!C31</f>
        <v>W1882</v>
      </c>
      <c r="C26" t="s">
        <v>258</v>
      </c>
      <c r="D26" t="s">
        <v>237</v>
      </c>
      <c r="E26" t="s">
        <v>20</v>
      </c>
      <c r="F26" t="str">
        <f>'Basis Options'!A31</f>
        <v>STATOILENETRA</v>
      </c>
      <c r="G26" t="s">
        <v>272</v>
      </c>
      <c r="H26" t="s">
        <v>257</v>
      </c>
      <c r="I26" t="s">
        <v>245</v>
      </c>
      <c r="J26" t="s">
        <v>238</v>
      </c>
      <c r="K26" s="393">
        <f>'Basis Options'!G31</f>
        <v>36770</v>
      </c>
      <c r="L26" s="239">
        <f>'Basis Options'!U31</f>
        <v>29858.845007519805</v>
      </c>
      <c r="M26" s="393">
        <f>'Basis Options'!Q31</f>
        <v>36768</v>
      </c>
      <c r="N26" t="str">
        <f>'Basis Options'!F31</f>
        <v>C</v>
      </c>
      <c r="O26">
        <f>'Basis Options'!I31</f>
        <v>0.3</v>
      </c>
      <c r="P26">
        <v>0</v>
      </c>
      <c r="Q26">
        <v>0</v>
      </c>
      <c r="R26">
        <v>0</v>
      </c>
      <c r="S26">
        <v>0</v>
      </c>
      <c r="T26" t="s">
        <v>256</v>
      </c>
      <c r="U26" t="str">
        <f>IF('Basis Options'!D31="NGI/CHI. GATE","""NGI/CHI. GATE""",TRIM('Basis Options'!D31))</f>
        <v>IF-TRANSCO/Z6</v>
      </c>
      <c r="V26" t="s">
        <v>256</v>
      </c>
      <c r="W26" t="s">
        <v>135</v>
      </c>
      <c r="X26" t="s">
        <v>256</v>
      </c>
      <c r="Y26" t="s">
        <v>238</v>
      </c>
      <c r="Z26" t="s">
        <v>239</v>
      </c>
      <c r="AA26" t="s">
        <v>256</v>
      </c>
      <c r="AB26" t="s">
        <v>1</v>
      </c>
      <c r="AC26" s="239">
        <f>'Basis Options'!H31</f>
        <v>500000</v>
      </c>
      <c r="AD26" s="239">
        <f>'Basis Options'!W31</f>
        <v>5751.6071400344954</v>
      </c>
      <c r="AE26">
        <v>0</v>
      </c>
      <c r="AF26">
        <v>0</v>
      </c>
      <c r="AG26">
        <v>0</v>
      </c>
      <c r="AH26" s="239">
        <f>'Basis Options'!BC31</f>
        <v>4968.8389082008762</v>
      </c>
      <c r="AI26">
        <v>226</v>
      </c>
      <c r="AJ26" t="s">
        <v>259</v>
      </c>
      <c r="AK26">
        <v>0</v>
      </c>
      <c r="AL26">
        <v>0</v>
      </c>
      <c r="AM26">
        <v>0</v>
      </c>
    </row>
    <row r="27" spans="1:39" x14ac:dyDescent="0.25">
      <c r="A27" t="s">
        <v>236</v>
      </c>
      <c r="B27" t="str">
        <f>'Basis Options'!C32</f>
        <v>EY1230</v>
      </c>
      <c r="C27" t="s">
        <v>258</v>
      </c>
      <c r="D27" t="s">
        <v>237</v>
      </c>
      <c r="E27" t="s">
        <v>20</v>
      </c>
      <c r="F27" t="str">
        <f>'Basis Options'!A32</f>
        <v>ELPASMER</v>
      </c>
      <c r="G27" t="s">
        <v>272</v>
      </c>
      <c r="H27" t="s">
        <v>257</v>
      </c>
      <c r="I27" t="s">
        <v>245</v>
      </c>
      <c r="J27" t="s">
        <v>238</v>
      </c>
      <c r="K27" s="393">
        <f>'Basis Options'!G32</f>
        <v>36800</v>
      </c>
      <c r="L27" s="239">
        <f>'Basis Options'!U32</f>
        <v>34046.593893953948</v>
      </c>
      <c r="M27" s="393">
        <f>'Basis Options'!Q32</f>
        <v>36797</v>
      </c>
      <c r="N27" t="str">
        <f>'Basis Options'!F32</f>
        <v>C</v>
      </c>
      <c r="O27">
        <f>'Basis Options'!I32</f>
        <v>0.25</v>
      </c>
      <c r="P27">
        <v>0</v>
      </c>
      <c r="Q27">
        <v>0</v>
      </c>
      <c r="R27">
        <v>0</v>
      </c>
      <c r="S27">
        <v>0</v>
      </c>
      <c r="T27" t="s">
        <v>256</v>
      </c>
      <c r="U27" t="str">
        <f>IF('Basis Options'!D32="NGI/CHI. GATE","""NGI/CHI. GATE""",TRIM('Basis Options'!D32))</f>
        <v>IF-TRANSCO/Z6</v>
      </c>
      <c r="V27" t="s">
        <v>256</v>
      </c>
      <c r="W27" t="s">
        <v>135</v>
      </c>
      <c r="X27" t="s">
        <v>256</v>
      </c>
      <c r="Y27" t="s">
        <v>238</v>
      </c>
      <c r="Z27" t="s">
        <v>239</v>
      </c>
      <c r="AA27" t="s">
        <v>256</v>
      </c>
      <c r="AB27" t="s">
        <v>1</v>
      </c>
      <c r="AC27" s="239">
        <f>'Basis Options'!H32</f>
        <v>300000</v>
      </c>
      <c r="AD27" s="239">
        <f>'Basis Options'!W32</f>
        <v>3182.9805433989677</v>
      </c>
      <c r="AE27">
        <v>0</v>
      </c>
      <c r="AF27">
        <v>0</v>
      </c>
      <c r="AG27">
        <v>0</v>
      </c>
      <c r="AH27" s="239">
        <f>'Basis Options'!BC32</f>
        <v>5051.5071134678692</v>
      </c>
      <c r="AI27">
        <v>226</v>
      </c>
      <c r="AJ27" t="s">
        <v>259</v>
      </c>
      <c r="AK27">
        <v>0</v>
      </c>
      <c r="AL27">
        <v>0</v>
      </c>
      <c r="AM27">
        <v>0</v>
      </c>
    </row>
    <row r="28" spans="1:39" x14ac:dyDescent="0.25">
      <c r="A28" t="s">
        <v>236</v>
      </c>
      <c r="B28" t="str">
        <f>'Basis Options'!C33</f>
        <v>NA9501.1</v>
      </c>
      <c r="C28" t="s">
        <v>258</v>
      </c>
      <c r="D28" t="s">
        <v>237</v>
      </c>
      <c r="E28" t="s">
        <v>20</v>
      </c>
      <c r="F28" t="str">
        <f>'Basis Options'!A33</f>
        <v>LT-TRANS-EA</v>
      </c>
      <c r="G28" t="s">
        <v>272</v>
      </c>
      <c r="H28" t="s">
        <v>257</v>
      </c>
      <c r="I28" t="s">
        <v>245</v>
      </c>
      <c r="J28" t="s">
        <v>238</v>
      </c>
      <c r="K28" s="393">
        <f>'Basis Options'!G33</f>
        <v>36800</v>
      </c>
      <c r="L28" s="239">
        <f>'Basis Options'!U33</f>
        <v>12230.121978325908</v>
      </c>
      <c r="M28" s="393">
        <f>'Basis Options'!Q33</f>
        <v>36797</v>
      </c>
      <c r="N28" t="str">
        <f>'Basis Options'!F33</f>
        <v>C</v>
      </c>
      <c r="O28">
        <f>'Basis Options'!I33</f>
        <v>0.16</v>
      </c>
      <c r="P28">
        <v>0</v>
      </c>
      <c r="Q28">
        <v>0</v>
      </c>
      <c r="R28">
        <v>0</v>
      </c>
      <c r="S28">
        <v>0</v>
      </c>
      <c r="T28" t="s">
        <v>256</v>
      </c>
      <c r="U28" t="str">
        <f>IF('Basis Options'!D33="NGI/CHI. GATE","""NGI/CHI. GATE""",TRIM('Basis Options'!D33))</f>
        <v>IF-CGT/APPALAC</v>
      </c>
      <c r="V28" t="s">
        <v>256</v>
      </c>
      <c r="W28" t="s">
        <v>135</v>
      </c>
      <c r="X28" t="s">
        <v>256</v>
      </c>
      <c r="Y28" t="s">
        <v>238</v>
      </c>
      <c r="Z28" t="s">
        <v>239</v>
      </c>
      <c r="AA28" t="s">
        <v>256</v>
      </c>
      <c r="AB28" t="s">
        <v>1</v>
      </c>
      <c r="AC28" s="239">
        <f>'Basis Options'!H33</f>
        <v>310000</v>
      </c>
      <c r="AD28" s="239">
        <f>'Basis Options'!W33</f>
        <v>3036.2713070850004</v>
      </c>
      <c r="AE28">
        <v>0</v>
      </c>
      <c r="AF28">
        <v>0</v>
      </c>
      <c r="AG28">
        <v>0</v>
      </c>
      <c r="AH28" s="239">
        <f>'Basis Options'!BC33</f>
        <v>220.75977000989587</v>
      </c>
      <c r="AI28">
        <v>226</v>
      </c>
      <c r="AJ28" t="s">
        <v>259</v>
      </c>
      <c r="AK28">
        <v>0</v>
      </c>
      <c r="AL28">
        <v>0</v>
      </c>
      <c r="AM28">
        <v>0</v>
      </c>
    </row>
    <row r="29" spans="1:39" x14ac:dyDescent="0.25">
      <c r="A29" t="s">
        <v>236</v>
      </c>
      <c r="B29" t="str">
        <f>'Basis Options'!C34</f>
        <v>W2420</v>
      </c>
      <c r="C29" t="s">
        <v>258</v>
      </c>
      <c r="D29" t="s">
        <v>237</v>
      </c>
      <c r="E29" t="s">
        <v>20</v>
      </c>
      <c r="F29" t="str">
        <f>'Basis Options'!A34</f>
        <v>RELIANTENESER</v>
      </c>
      <c r="G29" t="s">
        <v>272</v>
      </c>
      <c r="H29" t="s">
        <v>257</v>
      </c>
      <c r="I29" t="s">
        <v>245</v>
      </c>
      <c r="J29" t="s">
        <v>238</v>
      </c>
      <c r="K29" s="393">
        <f>'Basis Options'!G34</f>
        <v>36800</v>
      </c>
      <c r="L29" s="239">
        <f>'Basis Options'!U34</f>
        <v>19480.425387202598</v>
      </c>
      <c r="M29" s="393">
        <f>'Basis Options'!Q34</f>
        <v>36797</v>
      </c>
      <c r="N29" t="str">
        <f>'Basis Options'!F34</f>
        <v>P</v>
      </c>
      <c r="O29">
        <f>'Basis Options'!I34</f>
        <v>-0.4</v>
      </c>
      <c r="P29">
        <v>0</v>
      </c>
      <c r="Q29">
        <v>0</v>
      </c>
      <c r="R29">
        <v>0</v>
      </c>
      <c r="S29">
        <v>0</v>
      </c>
      <c r="T29" t="s">
        <v>256</v>
      </c>
      <c r="U29" t="str">
        <f>IF('Basis Options'!D34="NGI/CHI. GATE","""NGI/CHI. GATE""",TRIM('Basis Options'!D34))</f>
        <v>IF-NWPL_ROCKY_M</v>
      </c>
      <c r="V29" t="s">
        <v>256</v>
      </c>
      <c r="W29" t="s">
        <v>135</v>
      </c>
      <c r="X29" t="s">
        <v>256</v>
      </c>
      <c r="Y29" t="s">
        <v>238</v>
      </c>
      <c r="Z29" t="s">
        <v>239</v>
      </c>
      <c r="AA29" t="s">
        <v>256</v>
      </c>
      <c r="AB29" t="s">
        <v>1</v>
      </c>
      <c r="AC29" s="239">
        <f>'Basis Options'!H34</f>
        <v>310000</v>
      </c>
      <c r="AD29" s="239">
        <f>'Basis Options'!W34</f>
        <v>8218.2447165442427</v>
      </c>
      <c r="AE29">
        <v>0</v>
      </c>
      <c r="AF29">
        <v>0</v>
      </c>
      <c r="AG29">
        <v>0</v>
      </c>
      <c r="AH29" s="239">
        <f>'Basis Options'!BC34</f>
        <v>2078.4790587148673</v>
      </c>
      <c r="AI29">
        <v>226</v>
      </c>
      <c r="AJ29" t="s">
        <v>259</v>
      </c>
      <c r="AK29">
        <v>0</v>
      </c>
      <c r="AL29">
        <v>0</v>
      </c>
      <c r="AM29">
        <v>0</v>
      </c>
    </row>
    <row r="30" spans="1:39" x14ac:dyDescent="0.25">
      <c r="A30" t="s">
        <v>236</v>
      </c>
      <c r="B30" t="str">
        <f>'Basis Options'!C35</f>
        <v>N33626.2</v>
      </c>
      <c r="C30" t="s">
        <v>258</v>
      </c>
      <c r="D30" t="s">
        <v>237</v>
      </c>
      <c r="E30" t="s">
        <v>20</v>
      </c>
      <c r="F30" t="str">
        <f>'Basis Options'!A35</f>
        <v>STATOILENETRA</v>
      </c>
      <c r="G30" t="s">
        <v>272</v>
      </c>
      <c r="H30" t="s">
        <v>257</v>
      </c>
      <c r="I30" t="s">
        <v>245</v>
      </c>
      <c r="J30" t="s">
        <v>238</v>
      </c>
      <c r="K30" s="393">
        <f>'Basis Options'!G35</f>
        <v>36800</v>
      </c>
      <c r="L30" s="239">
        <f>'Basis Options'!U35</f>
        <v>23671.203829017886</v>
      </c>
      <c r="M30" s="393">
        <f>'Basis Options'!Q35</f>
        <v>36797</v>
      </c>
      <c r="N30" t="str">
        <f>'Basis Options'!F35</f>
        <v>C</v>
      </c>
      <c r="O30">
        <f>'Basis Options'!I35</f>
        <v>0.16</v>
      </c>
      <c r="P30">
        <v>0</v>
      </c>
      <c r="Q30">
        <v>0</v>
      </c>
      <c r="R30">
        <v>0</v>
      </c>
      <c r="S30">
        <v>0</v>
      </c>
      <c r="T30" t="s">
        <v>256</v>
      </c>
      <c r="U30" t="str">
        <f>IF('Basis Options'!D35="NGI/CHI. GATE","""NGI/CHI. GATE""",TRIM('Basis Options'!D35))</f>
        <v>IF-CGT/APPALAC</v>
      </c>
      <c r="V30" t="s">
        <v>256</v>
      </c>
      <c r="W30" t="s">
        <v>135</v>
      </c>
      <c r="X30" t="s">
        <v>256</v>
      </c>
      <c r="Y30" t="s">
        <v>238</v>
      </c>
      <c r="Z30" t="s">
        <v>239</v>
      </c>
      <c r="AA30" t="s">
        <v>256</v>
      </c>
      <c r="AB30" t="s">
        <v>1</v>
      </c>
      <c r="AC30" s="239">
        <f>'Basis Options'!H35</f>
        <v>600000</v>
      </c>
      <c r="AD30" s="239">
        <f>'Basis Options'!W35</f>
        <v>5876.6541427451302</v>
      </c>
      <c r="AE30">
        <v>0</v>
      </c>
      <c r="AF30">
        <v>0</v>
      </c>
      <c r="AG30">
        <v>0</v>
      </c>
      <c r="AH30" s="239">
        <f>'Basis Options'!BC35</f>
        <v>427.27697421270204</v>
      </c>
      <c r="AI30">
        <v>226</v>
      </c>
      <c r="AJ30" t="s">
        <v>259</v>
      </c>
      <c r="AK30">
        <v>0</v>
      </c>
      <c r="AL30">
        <v>0</v>
      </c>
      <c r="AM30">
        <v>0</v>
      </c>
    </row>
    <row r="31" spans="1:39" x14ac:dyDescent="0.25">
      <c r="A31" t="s">
        <v>236</v>
      </c>
      <c r="B31" t="str">
        <f>'Basis Options'!C36</f>
        <v>W1882</v>
      </c>
      <c r="C31" t="s">
        <v>258</v>
      </c>
      <c r="D31" t="s">
        <v>237</v>
      </c>
      <c r="E31" t="s">
        <v>20</v>
      </c>
      <c r="F31" t="str">
        <f>'Basis Options'!A36</f>
        <v>STATOILENETRA</v>
      </c>
      <c r="G31" t="s">
        <v>272</v>
      </c>
      <c r="H31" t="s">
        <v>257</v>
      </c>
      <c r="I31" t="s">
        <v>245</v>
      </c>
      <c r="J31" t="s">
        <v>238</v>
      </c>
      <c r="K31" s="393">
        <f>'Basis Options'!G36</f>
        <v>36800</v>
      </c>
      <c r="L31" s="239">
        <f>'Basis Options'!U36</f>
        <v>41087.581039029094</v>
      </c>
      <c r="M31" s="393">
        <f>'Basis Options'!Q36</f>
        <v>36797</v>
      </c>
      <c r="N31" t="str">
        <f>'Basis Options'!F36</f>
        <v>C</v>
      </c>
      <c r="O31">
        <f>'Basis Options'!I36</f>
        <v>0.3</v>
      </c>
      <c r="P31">
        <v>0</v>
      </c>
      <c r="Q31">
        <v>0</v>
      </c>
      <c r="R31">
        <v>0</v>
      </c>
      <c r="S31">
        <v>0</v>
      </c>
      <c r="T31" t="s">
        <v>256</v>
      </c>
      <c r="U31" t="str">
        <f>IF('Basis Options'!D36="NGI/CHI. GATE","""NGI/CHI. GATE""",TRIM('Basis Options'!D36))</f>
        <v>IF-TRANSCO/Z6</v>
      </c>
      <c r="V31" t="s">
        <v>256</v>
      </c>
      <c r="W31" t="s">
        <v>135</v>
      </c>
      <c r="X31" t="s">
        <v>256</v>
      </c>
      <c r="Y31" t="s">
        <v>238</v>
      </c>
      <c r="Z31" t="s">
        <v>239</v>
      </c>
      <c r="AA31" t="s">
        <v>256</v>
      </c>
      <c r="AB31" t="s">
        <v>1</v>
      </c>
      <c r="AC31" s="239">
        <f>'Basis Options'!H36</f>
        <v>500000</v>
      </c>
      <c r="AD31" s="239">
        <f>'Basis Options'!W36</f>
        <v>6037.6779046411975</v>
      </c>
      <c r="AE31">
        <v>0</v>
      </c>
      <c r="AF31">
        <v>0</v>
      </c>
      <c r="AG31">
        <v>0</v>
      </c>
      <c r="AH31" s="239">
        <f>'Basis Options'!BC36</f>
        <v>7046.6387359602086</v>
      </c>
      <c r="AI31">
        <v>226</v>
      </c>
      <c r="AJ31" t="s">
        <v>259</v>
      </c>
      <c r="AK31">
        <v>0</v>
      </c>
      <c r="AL31">
        <v>0</v>
      </c>
      <c r="AM31">
        <v>0</v>
      </c>
    </row>
    <row r="32" spans="1:39" x14ac:dyDescent="0.25">
      <c r="A32" t="s">
        <v>236</v>
      </c>
      <c r="B32" t="str">
        <f>'Basis Options'!C37</f>
        <v>NB4804</v>
      </c>
      <c r="C32" t="s">
        <v>258</v>
      </c>
      <c r="D32" t="s">
        <v>237</v>
      </c>
      <c r="E32" t="s">
        <v>20</v>
      </c>
      <c r="F32" t="str">
        <f>'Basis Options'!A37</f>
        <v>UPRENESER</v>
      </c>
      <c r="G32" t="s">
        <v>272</v>
      </c>
      <c r="H32" t="s">
        <v>257</v>
      </c>
      <c r="I32" t="s">
        <v>245</v>
      </c>
      <c r="J32" t="s">
        <v>238</v>
      </c>
      <c r="K32" s="393">
        <f>'Basis Options'!G37</f>
        <v>36831</v>
      </c>
      <c r="L32" s="239">
        <f>'Basis Options'!U37</f>
        <v>18946.148505905803</v>
      </c>
      <c r="M32" s="393">
        <f>'Basis Options'!Q37</f>
        <v>36829</v>
      </c>
      <c r="N32" t="str">
        <f>'Basis Options'!F37</f>
        <v>C</v>
      </c>
      <c r="O32">
        <f>'Basis Options'!I37</f>
        <v>0.33</v>
      </c>
      <c r="P32">
        <v>0</v>
      </c>
      <c r="Q32">
        <v>0</v>
      </c>
      <c r="R32">
        <v>0</v>
      </c>
      <c r="S32">
        <v>0</v>
      </c>
      <c r="T32" t="s">
        <v>256</v>
      </c>
      <c r="U32" t="str">
        <f>IF('Basis Options'!D37="NGI/CHI. GATE","""NGI/CHI. GATE""",TRIM('Basis Options'!D37))</f>
        <v>IF-CGT/APPALAC</v>
      </c>
      <c r="V32" t="s">
        <v>256</v>
      </c>
      <c r="W32" t="s">
        <v>135</v>
      </c>
      <c r="X32" t="s">
        <v>256</v>
      </c>
      <c r="Y32" t="s">
        <v>238</v>
      </c>
      <c r="Z32" t="s">
        <v>239</v>
      </c>
      <c r="AA32" t="s">
        <v>256</v>
      </c>
      <c r="AB32" t="s">
        <v>1</v>
      </c>
      <c r="AC32" s="239">
        <f>'Basis Options'!H37</f>
        <v>300000</v>
      </c>
      <c r="AD32" s="239">
        <f>'Basis Options'!W37</f>
        <v>8426.9770266553533</v>
      </c>
      <c r="AE32">
        <v>0</v>
      </c>
      <c r="AF32">
        <v>0</v>
      </c>
      <c r="AG32">
        <v>0</v>
      </c>
      <c r="AH32" s="239">
        <f>'Basis Options'!BC37</f>
        <v>551.6422064231665</v>
      </c>
      <c r="AI32">
        <v>226</v>
      </c>
      <c r="AJ32" t="s">
        <v>259</v>
      </c>
      <c r="AK32">
        <v>0</v>
      </c>
      <c r="AL32">
        <v>0</v>
      </c>
      <c r="AM32">
        <v>0</v>
      </c>
    </row>
    <row r="33" spans="1:39" x14ac:dyDescent="0.25">
      <c r="A33" t="s">
        <v>236</v>
      </c>
      <c r="B33" t="str">
        <f>'Basis Options'!C38</f>
        <v>NB4804</v>
      </c>
      <c r="C33" t="s">
        <v>258</v>
      </c>
      <c r="D33" t="s">
        <v>237</v>
      </c>
      <c r="E33" t="s">
        <v>20</v>
      </c>
      <c r="F33" t="str">
        <f>'Basis Options'!A38</f>
        <v>UPRENESER</v>
      </c>
      <c r="G33" t="s">
        <v>272</v>
      </c>
      <c r="H33" t="s">
        <v>257</v>
      </c>
      <c r="I33" t="s">
        <v>245</v>
      </c>
      <c r="J33" t="s">
        <v>238</v>
      </c>
      <c r="K33" s="393">
        <f>'Basis Options'!G38</f>
        <v>36861</v>
      </c>
      <c r="L33" s="239">
        <f>'Basis Options'!U38</f>
        <v>32237.665317387753</v>
      </c>
      <c r="M33" s="393">
        <f>'Basis Options'!Q38</f>
        <v>36859</v>
      </c>
      <c r="N33" t="str">
        <f>'Basis Options'!F38</f>
        <v>C</v>
      </c>
      <c r="O33">
        <f>'Basis Options'!I38</f>
        <v>0.33</v>
      </c>
      <c r="P33">
        <v>0</v>
      </c>
      <c r="Q33">
        <v>0</v>
      </c>
      <c r="R33">
        <v>0</v>
      </c>
      <c r="S33">
        <v>0</v>
      </c>
      <c r="T33" t="s">
        <v>256</v>
      </c>
      <c r="U33" t="str">
        <f>IF('Basis Options'!D38="NGI/CHI. GATE","""NGI/CHI. GATE""",TRIM('Basis Options'!D38))</f>
        <v>IF-CGT/APPALAC</v>
      </c>
      <c r="V33" t="s">
        <v>256</v>
      </c>
      <c r="W33" t="s">
        <v>135</v>
      </c>
      <c r="X33" t="s">
        <v>256</v>
      </c>
      <c r="Y33" t="s">
        <v>238</v>
      </c>
      <c r="Z33" t="s">
        <v>239</v>
      </c>
      <c r="AA33" t="s">
        <v>256</v>
      </c>
      <c r="AB33" t="s">
        <v>1</v>
      </c>
      <c r="AC33" s="239">
        <f>'Basis Options'!H38</f>
        <v>310000</v>
      </c>
      <c r="AD33" s="239">
        <f>'Basis Options'!W38</f>
        <v>10160.923910770405</v>
      </c>
      <c r="AE33">
        <v>0</v>
      </c>
      <c r="AF33">
        <v>0</v>
      </c>
      <c r="AG33">
        <v>0</v>
      </c>
      <c r="AH33" s="239">
        <f>'Basis Options'!BC38</f>
        <v>595.37793078277537</v>
      </c>
      <c r="AI33">
        <v>226</v>
      </c>
      <c r="AJ33" t="s">
        <v>259</v>
      </c>
      <c r="AK33">
        <v>0</v>
      </c>
      <c r="AL33">
        <v>0</v>
      </c>
      <c r="AM33">
        <v>0</v>
      </c>
    </row>
    <row r="34" spans="1:39" x14ac:dyDescent="0.25">
      <c r="A34" t="s">
        <v>236</v>
      </c>
      <c r="B34" t="str">
        <f>'Basis Options'!C39</f>
        <v>NB4804</v>
      </c>
      <c r="C34" t="s">
        <v>258</v>
      </c>
      <c r="D34" t="s">
        <v>237</v>
      </c>
      <c r="E34" t="s">
        <v>20</v>
      </c>
      <c r="F34" t="str">
        <f>'Basis Options'!A39</f>
        <v>UPRENESER</v>
      </c>
      <c r="G34" t="s">
        <v>272</v>
      </c>
      <c r="H34" t="s">
        <v>257</v>
      </c>
      <c r="I34" t="s">
        <v>245</v>
      </c>
      <c r="J34" t="s">
        <v>238</v>
      </c>
      <c r="K34" s="393">
        <f>'Basis Options'!G39</f>
        <v>36892</v>
      </c>
      <c r="L34" s="239">
        <f>'Basis Options'!U39</f>
        <v>40294.689531290322</v>
      </c>
      <c r="M34" s="393">
        <f>'Basis Options'!Q39</f>
        <v>36888</v>
      </c>
      <c r="N34" t="str">
        <f>'Basis Options'!F39</f>
        <v>C</v>
      </c>
      <c r="O34">
        <f>'Basis Options'!I39</f>
        <v>0.33</v>
      </c>
      <c r="P34">
        <v>0</v>
      </c>
      <c r="Q34">
        <v>0</v>
      </c>
      <c r="R34">
        <v>0</v>
      </c>
      <c r="S34">
        <v>0</v>
      </c>
      <c r="T34" t="s">
        <v>256</v>
      </c>
      <c r="U34" t="str">
        <f>IF('Basis Options'!D39="NGI/CHI. GATE","""NGI/CHI. GATE""",TRIM('Basis Options'!D39))</f>
        <v>IF-CGT/APPALAC</v>
      </c>
      <c r="V34" t="s">
        <v>256</v>
      </c>
      <c r="W34" t="s">
        <v>135</v>
      </c>
      <c r="X34" t="s">
        <v>256</v>
      </c>
      <c r="Y34" t="s">
        <v>238</v>
      </c>
      <c r="Z34" t="s">
        <v>239</v>
      </c>
      <c r="AA34" t="s">
        <v>256</v>
      </c>
      <c r="AB34" t="s">
        <v>1</v>
      </c>
      <c r="AC34" s="239">
        <f>'Basis Options'!H39</f>
        <v>310000</v>
      </c>
      <c r="AD34" s="239">
        <f>'Basis Options'!W39</f>
        <v>10933.070800806396</v>
      </c>
      <c r="AE34">
        <v>0</v>
      </c>
      <c r="AF34">
        <v>0</v>
      </c>
      <c r="AG34">
        <v>0</v>
      </c>
      <c r="AH34" s="239">
        <f>'Basis Options'!BC39</f>
        <v>618.67486970585742</v>
      </c>
      <c r="AI34">
        <v>226</v>
      </c>
      <c r="AJ34" t="s">
        <v>259</v>
      </c>
      <c r="AK34">
        <v>0</v>
      </c>
      <c r="AL34">
        <v>0</v>
      </c>
      <c r="AM34">
        <v>0</v>
      </c>
    </row>
    <row r="35" spans="1:39" x14ac:dyDescent="0.25">
      <c r="A35" t="s">
        <v>236</v>
      </c>
      <c r="B35" t="str">
        <f>'Basis Options'!C40</f>
        <v>NB4804</v>
      </c>
      <c r="C35" t="s">
        <v>258</v>
      </c>
      <c r="D35" t="s">
        <v>237</v>
      </c>
      <c r="E35" t="s">
        <v>20</v>
      </c>
      <c r="F35" t="str">
        <f>'Basis Options'!A40</f>
        <v>UPRENESER</v>
      </c>
      <c r="G35" t="s">
        <v>272</v>
      </c>
      <c r="H35" t="s">
        <v>257</v>
      </c>
      <c r="I35" t="s">
        <v>245</v>
      </c>
      <c r="J35" t="s">
        <v>238</v>
      </c>
      <c r="K35" s="393">
        <f>'Basis Options'!G40</f>
        <v>36923</v>
      </c>
      <c r="L35" s="239">
        <f>'Basis Options'!U40</f>
        <v>35883.173058458742</v>
      </c>
      <c r="M35" s="393">
        <f>'Basis Options'!Q40</f>
        <v>36921</v>
      </c>
      <c r="N35" t="str">
        <f>'Basis Options'!F40</f>
        <v>C</v>
      </c>
      <c r="O35">
        <f>'Basis Options'!I40</f>
        <v>0.33</v>
      </c>
      <c r="P35">
        <v>0</v>
      </c>
      <c r="Q35">
        <v>0</v>
      </c>
      <c r="R35">
        <v>0</v>
      </c>
      <c r="S35">
        <v>0</v>
      </c>
      <c r="T35" t="s">
        <v>256</v>
      </c>
      <c r="U35" t="str">
        <f>IF('Basis Options'!D40="NGI/CHI. GATE","""NGI/CHI. GATE""",TRIM('Basis Options'!D40))</f>
        <v>IF-CGT/APPALAC</v>
      </c>
      <c r="V35" t="s">
        <v>256</v>
      </c>
      <c r="W35" t="s">
        <v>135</v>
      </c>
      <c r="X35" t="s">
        <v>256</v>
      </c>
      <c r="Y35" t="s">
        <v>238</v>
      </c>
      <c r="Z35" t="s">
        <v>239</v>
      </c>
      <c r="AA35" t="s">
        <v>256</v>
      </c>
      <c r="AB35" t="s">
        <v>1</v>
      </c>
      <c r="AC35" s="239">
        <f>'Basis Options'!H40</f>
        <v>280000</v>
      </c>
      <c r="AD35" s="239">
        <f>'Basis Options'!W40</f>
        <v>10134.257489568932</v>
      </c>
      <c r="AE35">
        <v>0</v>
      </c>
      <c r="AF35">
        <v>0</v>
      </c>
      <c r="AG35">
        <v>0</v>
      </c>
      <c r="AH35" s="239">
        <f>'Basis Options'!BC40</f>
        <v>472.4099901171212</v>
      </c>
      <c r="AI35">
        <v>226</v>
      </c>
      <c r="AJ35" t="s">
        <v>259</v>
      </c>
      <c r="AK35">
        <v>0</v>
      </c>
      <c r="AL35">
        <v>0</v>
      </c>
      <c r="AM35">
        <v>0</v>
      </c>
    </row>
    <row r="36" spans="1:39" x14ac:dyDescent="0.25">
      <c r="A36" t="s">
        <v>236</v>
      </c>
      <c r="B36" t="str">
        <f>'Basis Options'!C41</f>
        <v>NB4804</v>
      </c>
      <c r="C36" t="s">
        <v>258</v>
      </c>
      <c r="D36" t="s">
        <v>237</v>
      </c>
      <c r="E36" t="s">
        <v>20</v>
      </c>
      <c r="F36" t="str">
        <f>'Basis Options'!A41</f>
        <v>UPRENESER</v>
      </c>
      <c r="G36" t="s">
        <v>272</v>
      </c>
      <c r="H36" t="s">
        <v>257</v>
      </c>
      <c r="I36" t="s">
        <v>245</v>
      </c>
      <c r="J36" t="s">
        <v>238</v>
      </c>
      <c r="K36" s="393">
        <f>'Basis Options'!G41</f>
        <v>36951</v>
      </c>
      <c r="L36" s="239">
        <f>'Basis Options'!U41</f>
        <v>25104.845699698282</v>
      </c>
      <c r="M36" s="393">
        <f>'Basis Options'!Q41</f>
        <v>36949</v>
      </c>
      <c r="N36" t="str">
        <f>'Basis Options'!F41</f>
        <v>C</v>
      </c>
      <c r="O36">
        <f>'Basis Options'!I41</f>
        <v>0.33</v>
      </c>
      <c r="P36">
        <v>0</v>
      </c>
      <c r="Q36">
        <v>0</v>
      </c>
      <c r="R36">
        <v>0</v>
      </c>
      <c r="S36">
        <v>0</v>
      </c>
      <c r="T36" t="s">
        <v>256</v>
      </c>
      <c r="U36" t="str">
        <f>IF('Basis Options'!D41="NGI/CHI. GATE","""NGI/CHI. GATE""",TRIM('Basis Options'!D41))</f>
        <v>IF-CGT/APPALAC</v>
      </c>
      <c r="V36" t="s">
        <v>256</v>
      </c>
      <c r="W36" t="s">
        <v>135</v>
      </c>
      <c r="X36" t="s">
        <v>256</v>
      </c>
      <c r="Y36" t="s">
        <v>238</v>
      </c>
      <c r="Z36" t="s">
        <v>239</v>
      </c>
      <c r="AA36" t="s">
        <v>256</v>
      </c>
      <c r="AB36" t="s">
        <v>1</v>
      </c>
      <c r="AC36" s="239">
        <f>'Basis Options'!H41</f>
        <v>310000</v>
      </c>
      <c r="AD36" s="239">
        <f>'Basis Options'!W41</f>
        <v>9929.290275049585</v>
      </c>
      <c r="AE36">
        <v>0</v>
      </c>
      <c r="AF36">
        <v>0</v>
      </c>
      <c r="AG36">
        <v>0</v>
      </c>
      <c r="AH36" s="239">
        <f>'Basis Options'!BC41</f>
        <v>412.28634763820446</v>
      </c>
      <c r="AI36">
        <v>226</v>
      </c>
      <c r="AJ36" t="s">
        <v>259</v>
      </c>
      <c r="AK36">
        <v>0</v>
      </c>
      <c r="AL36">
        <v>0</v>
      </c>
      <c r="AM36">
        <v>0</v>
      </c>
    </row>
    <row r="37" spans="1:39" x14ac:dyDescent="0.25">
      <c r="A37" t="s">
        <v>236</v>
      </c>
      <c r="B37" t="str">
        <f>'Basis Options'!C42</f>
        <v>W1882</v>
      </c>
      <c r="C37" t="s">
        <v>258</v>
      </c>
      <c r="D37" t="s">
        <v>237</v>
      </c>
      <c r="E37" t="s">
        <v>20</v>
      </c>
      <c r="F37" t="str">
        <f>'Basis Options'!A42</f>
        <v>STATOILENETRA</v>
      </c>
      <c r="G37" t="s">
        <v>272</v>
      </c>
      <c r="H37" t="s">
        <v>257</v>
      </c>
      <c r="I37" t="s">
        <v>245</v>
      </c>
      <c r="J37" t="s">
        <v>238</v>
      </c>
      <c r="K37" s="393">
        <f>'Basis Options'!G42</f>
        <v>36982</v>
      </c>
      <c r="L37" s="239">
        <f>'Basis Options'!U42</f>
        <v>51564.458185689415</v>
      </c>
      <c r="M37" s="393">
        <f>'Basis Options'!Q42</f>
        <v>36979</v>
      </c>
      <c r="N37" t="str">
        <f>'Basis Options'!F42</f>
        <v>C</v>
      </c>
      <c r="O37">
        <f>'Basis Options'!I42</f>
        <v>0.3</v>
      </c>
      <c r="P37">
        <v>0</v>
      </c>
      <c r="Q37">
        <v>0</v>
      </c>
      <c r="R37">
        <v>0</v>
      </c>
      <c r="S37">
        <v>0</v>
      </c>
      <c r="T37" t="s">
        <v>256</v>
      </c>
      <c r="U37" t="str">
        <f>IF('Basis Options'!D42="NGI/CHI. GATE","""NGI/CHI. GATE""",TRIM('Basis Options'!D42))</f>
        <v>IF-TRANSCO/Z6</v>
      </c>
      <c r="V37" t="s">
        <v>256</v>
      </c>
      <c r="W37" t="s">
        <v>135</v>
      </c>
      <c r="X37" t="s">
        <v>256</v>
      </c>
      <c r="Y37" t="s">
        <v>238</v>
      </c>
      <c r="Z37" t="s">
        <v>239</v>
      </c>
      <c r="AA37" t="s">
        <v>256</v>
      </c>
      <c r="AB37" t="s">
        <v>1</v>
      </c>
      <c r="AC37" s="239">
        <f>'Basis Options'!H42</f>
        <v>500000</v>
      </c>
      <c r="AD37" s="239">
        <f>'Basis Options'!W42</f>
        <v>7709.770660074777</v>
      </c>
      <c r="AE37">
        <v>0</v>
      </c>
      <c r="AF37">
        <v>0</v>
      </c>
      <c r="AG37">
        <v>0</v>
      </c>
      <c r="AH37" s="239">
        <f>'Basis Options'!BC42</f>
        <v>275.60003139112814</v>
      </c>
      <c r="AI37">
        <v>226</v>
      </c>
      <c r="AJ37" t="s">
        <v>259</v>
      </c>
      <c r="AK37">
        <v>0</v>
      </c>
      <c r="AL37">
        <v>0</v>
      </c>
      <c r="AM37">
        <v>0</v>
      </c>
    </row>
    <row r="38" spans="1:39" x14ac:dyDescent="0.25">
      <c r="A38" t="s">
        <v>236</v>
      </c>
      <c r="B38" t="str">
        <f>'Basis Options'!C43</f>
        <v>W1882</v>
      </c>
      <c r="C38" t="s">
        <v>258</v>
      </c>
      <c r="D38" t="s">
        <v>237</v>
      </c>
      <c r="E38" t="s">
        <v>20</v>
      </c>
      <c r="F38" t="str">
        <f>'Basis Options'!A43</f>
        <v>STATOILENETRA</v>
      </c>
      <c r="G38" t="s">
        <v>272</v>
      </c>
      <c r="H38" t="s">
        <v>257</v>
      </c>
      <c r="I38" t="s">
        <v>245</v>
      </c>
      <c r="J38" t="s">
        <v>238</v>
      </c>
      <c r="K38" s="393">
        <f>'Basis Options'!G43</f>
        <v>37012</v>
      </c>
      <c r="L38" s="239">
        <f>'Basis Options'!U43</f>
        <v>19024.818643150335</v>
      </c>
      <c r="M38" s="393">
        <f>'Basis Options'!Q43</f>
        <v>37008</v>
      </c>
      <c r="N38" t="str">
        <f>'Basis Options'!F43</f>
        <v>C</v>
      </c>
      <c r="O38">
        <f>'Basis Options'!I43</f>
        <v>0.3</v>
      </c>
      <c r="P38">
        <v>0</v>
      </c>
      <c r="Q38">
        <v>0</v>
      </c>
      <c r="R38">
        <v>0</v>
      </c>
      <c r="S38">
        <v>0</v>
      </c>
      <c r="T38" t="s">
        <v>256</v>
      </c>
      <c r="U38" t="str">
        <f>IF('Basis Options'!D43="NGI/CHI. GATE","""NGI/CHI. GATE""",TRIM('Basis Options'!D43))</f>
        <v>IF-TRANSCO/Z6</v>
      </c>
      <c r="V38" t="s">
        <v>256</v>
      </c>
      <c r="W38" t="s">
        <v>135</v>
      </c>
      <c r="X38" t="s">
        <v>256</v>
      </c>
      <c r="Y38" t="s">
        <v>238</v>
      </c>
      <c r="Z38" t="s">
        <v>239</v>
      </c>
      <c r="AA38" t="s">
        <v>256</v>
      </c>
      <c r="AB38" t="s">
        <v>1</v>
      </c>
      <c r="AC38" s="239">
        <f>'Basis Options'!H43</f>
        <v>500000</v>
      </c>
      <c r="AD38" s="239">
        <f>'Basis Options'!W43</f>
        <v>7445.2120027244091</v>
      </c>
      <c r="AE38">
        <v>0</v>
      </c>
      <c r="AF38">
        <v>0</v>
      </c>
      <c r="AG38">
        <v>0</v>
      </c>
      <c r="AH38" s="239">
        <f>'Basis Options'!BC43</f>
        <v>265.23018804535241</v>
      </c>
      <c r="AI38">
        <v>226</v>
      </c>
      <c r="AJ38" t="s">
        <v>259</v>
      </c>
      <c r="AK38">
        <v>0</v>
      </c>
      <c r="AL38">
        <v>0</v>
      </c>
      <c r="AM38">
        <v>0</v>
      </c>
    </row>
    <row r="39" spans="1:39" x14ac:dyDescent="0.25">
      <c r="A39" t="s">
        <v>236</v>
      </c>
      <c r="B39" t="str">
        <f>'Basis Options'!C44</f>
        <v>W1882</v>
      </c>
      <c r="C39" t="s">
        <v>258</v>
      </c>
      <c r="D39" t="s">
        <v>237</v>
      </c>
      <c r="E39" t="s">
        <v>20</v>
      </c>
      <c r="F39" t="str">
        <f>'Basis Options'!A44</f>
        <v>STATOILENETRA</v>
      </c>
      <c r="G39" t="s">
        <v>272</v>
      </c>
      <c r="H39" t="s">
        <v>257</v>
      </c>
      <c r="I39" t="s">
        <v>245</v>
      </c>
      <c r="J39" t="s">
        <v>238</v>
      </c>
      <c r="K39" s="393">
        <f>'Basis Options'!G44</f>
        <v>37043</v>
      </c>
      <c r="L39" s="239">
        <f>'Basis Options'!U44</f>
        <v>19115.314009976453</v>
      </c>
      <c r="M39" s="393">
        <f>'Basis Options'!Q44</f>
        <v>37041</v>
      </c>
      <c r="N39" t="str">
        <f>'Basis Options'!F44</f>
        <v>C</v>
      </c>
      <c r="O39">
        <f>'Basis Options'!I44</f>
        <v>0.3</v>
      </c>
      <c r="P39">
        <v>0</v>
      </c>
      <c r="Q39">
        <v>0</v>
      </c>
      <c r="R39">
        <v>0</v>
      </c>
      <c r="S39">
        <v>0</v>
      </c>
      <c r="T39" t="s">
        <v>256</v>
      </c>
      <c r="U39" t="str">
        <f>IF('Basis Options'!D44="NGI/CHI. GATE","""NGI/CHI. GATE""",TRIM('Basis Options'!D44))</f>
        <v>IF-TRANSCO/Z6</v>
      </c>
      <c r="V39" t="s">
        <v>256</v>
      </c>
      <c r="W39" t="s">
        <v>135</v>
      </c>
      <c r="X39" t="s">
        <v>256</v>
      </c>
      <c r="Y39" t="s">
        <v>238</v>
      </c>
      <c r="Z39" t="s">
        <v>239</v>
      </c>
      <c r="AA39" t="s">
        <v>256</v>
      </c>
      <c r="AB39" t="s">
        <v>1</v>
      </c>
      <c r="AC39" s="239">
        <f>'Basis Options'!H44</f>
        <v>500000</v>
      </c>
      <c r="AD39" s="239">
        <f>'Basis Options'!W44</f>
        <v>7495.2118483608065</v>
      </c>
      <c r="AE39">
        <v>0</v>
      </c>
      <c r="AF39">
        <v>0</v>
      </c>
      <c r="AG39">
        <v>0</v>
      </c>
      <c r="AH39" s="239">
        <f>'Basis Options'!BC44</f>
        <v>267.60493574593784</v>
      </c>
      <c r="AI39">
        <v>226</v>
      </c>
      <c r="AJ39" t="s">
        <v>259</v>
      </c>
      <c r="AK39">
        <v>0</v>
      </c>
      <c r="AL39">
        <v>0</v>
      </c>
      <c r="AM39">
        <v>0</v>
      </c>
    </row>
    <row r="40" spans="1:39" x14ac:dyDescent="0.25">
      <c r="A40" t="s">
        <v>236</v>
      </c>
      <c r="B40" t="str">
        <f>'Basis Options'!C45</f>
        <v>W1882</v>
      </c>
      <c r="C40" t="s">
        <v>258</v>
      </c>
      <c r="D40" t="s">
        <v>237</v>
      </c>
      <c r="E40" t="s">
        <v>20</v>
      </c>
      <c r="F40" t="str">
        <f>'Basis Options'!A45</f>
        <v>STATOILENETRA</v>
      </c>
      <c r="G40" t="s">
        <v>272</v>
      </c>
      <c r="H40" t="s">
        <v>257</v>
      </c>
      <c r="I40" t="s">
        <v>245</v>
      </c>
      <c r="J40" t="s">
        <v>238</v>
      </c>
      <c r="K40" s="393">
        <f>'Basis Options'!G45</f>
        <v>37073</v>
      </c>
      <c r="L40" s="239">
        <f>'Basis Options'!U45</f>
        <v>20751.234448214309</v>
      </c>
      <c r="M40" s="393">
        <f>'Basis Options'!Q45</f>
        <v>37070</v>
      </c>
      <c r="N40" t="str">
        <f>'Basis Options'!F45</f>
        <v>C</v>
      </c>
      <c r="O40">
        <f>'Basis Options'!I45</f>
        <v>0.3</v>
      </c>
      <c r="P40">
        <v>0</v>
      </c>
      <c r="Q40">
        <v>0</v>
      </c>
      <c r="R40">
        <v>0</v>
      </c>
      <c r="S40">
        <v>0</v>
      </c>
      <c r="T40" t="s">
        <v>256</v>
      </c>
      <c r="U40" t="str">
        <f>IF('Basis Options'!D45="NGI/CHI. GATE","""NGI/CHI. GATE""",TRIM('Basis Options'!D45))</f>
        <v>IF-TRANSCO/Z6</v>
      </c>
      <c r="V40" t="s">
        <v>256</v>
      </c>
      <c r="W40" t="s">
        <v>135</v>
      </c>
      <c r="X40" t="s">
        <v>256</v>
      </c>
      <c r="Y40" t="s">
        <v>238</v>
      </c>
      <c r="Z40" t="s">
        <v>239</v>
      </c>
      <c r="AA40" t="s">
        <v>256</v>
      </c>
      <c r="AB40" t="s">
        <v>1</v>
      </c>
      <c r="AC40" s="239">
        <f>'Basis Options'!H45</f>
        <v>500000</v>
      </c>
      <c r="AD40" s="239">
        <f>'Basis Options'!W45</f>
        <v>7726.9247668574972</v>
      </c>
      <c r="AE40">
        <v>0</v>
      </c>
      <c r="AF40">
        <v>0</v>
      </c>
      <c r="AG40">
        <v>0</v>
      </c>
      <c r="AH40" s="239">
        <f>'Basis Options'!BC45</f>
        <v>275.04703333503858</v>
      </c>
      <c r="AI40">
        <v>226</v>
      </c>
      <c r="AJ40" t="s">
        <v>259</v>
      </c>
      <c r="AK40">
        <v>0</v>
      </c>
      <c r="AL40">
        <v>0</v>
      </c>
      <c r="AM40">
        <v>0</v>
      </c>
    </row>
    <row r="41" spans="1:39" x14ac:dyDescent="0.25">
      <c r="A41" t="s">
        <v>236</v>
      </c>
      <c r="B41" t="str">
        <f>'Basis Options'!C46</f>
        <v>W1882</v>
      </c>
      <c r="C41" t="s">
        <v>258</v>
      </c>
      <c r="D41" t="s">
        <v>237</v>
      </c>
      <c r="E41" t="s">
        <v>20</v>
      </c>
      <c r="F41" t="str">
        <f>'Basis Options'!A46</f>
        <v>STATOILENETRA</v>
      </c>
      <c r="G41" t="s">
        <v>272</v>
      </c>
      <c r="H41" t="s">
        <v>257</v>
      </c>
      <c r="I41" t="s">
        <v>245</v>
      </c>
      <c r="J41" t="s">
        <v>238</v>
      </c>
      <c r="K41" s="393">
        <f>'Basis Options'!G46</f>
        <v>37104</v>
      </c>
      <c r="L41" s="239">
        <f>'Basis Options'!U46</f>
        <v>21647.912411015575</v>
      </c>
      <c r="M41" s="393">
        <f>'Basis Options'!Q46</f>
        <v>37102</v>
      </c>
      <c r="N41" t="str">
        <f>'Basis Options'!F46</f>
        <v>C</v>
      </c>
      <c r="O41">
        <f>'Basis Options'!I46</f>
        <v>0.3</v>
      </c>
      <c r="P41">
        <v>0</v>
      </c>
      <c r="Q41">
        <v>0</v>
      </c>
      <c r="R41">
        <v>0</v>
      </c>
      <c r="S41">
        <v>0</v>
      </c>
      <c r="T41" t="s">
        <v>256</v>
      </c>
      <c r="U41" t="str">
        <f>IF('Basis Options'!D46="NGI/CHI. GATE","""NGI/CHI. GATE""",TRIM('Basis Options'!D46))</f>
        <v>IF-TRANSCO/Z6</v>
      </c>
      <c r="V41" t="s">
        <v>256</v>
      </c>
      <c r="W41" t="s">
        <v>135</v>
      </c>
      <c r="X41" t="s">
        <v>256</v>
      </c>
      <c r="Y41" t="s">
        <v>238</v>
      </c>
      <c r="Z41" t="s">
        <v>239</v>
      </c>
      <c r="AA41" t="s">
        <v>256</v>
      </c>
      <c r="AB41" t="s">
        <v>1</v>
      </c>
      <c r="AC41" s="239">
        <f>'Basis Options'!H46</f>
        <v>500000</v>
      </c>
      <c r="AD41" s="239">
        <f>'Basis Options'!W46</f>
        <v>7975.1296652134624</v>
      </c>
      <c r="AE41">
        <v>0</v>
      </c>
      <c r="AF41">
        <v>0</v>
      </c>
      <c r="AG41">
        <v>0</v>
      </c>
      <c r="AH41" s="239">
        <f>'Basis Options'!BC46</f>
        <v>268.06089985037761</v>
      </c>
      <c r="AI41">
        <v>226</v>
      </c>
      <c r="AJ41" t="s">
        <v>259</v>
      </c>
      <c r="AK41">
        <v>0</v>
      </c>
      <c r="AL41">
        <v>0</v>
      </c>
      <c r="AM41">
        <v>0</v>
      </c>
    </row>
    <row r="42" spans="1:39" x14ac:dyDescent="0.25">
      <c r="A42" t="s">
        <v>236</v>
      </c>
      <c r="B42" t="str">
        <f>'Basis Options'!C47</f>
        <v>W1882</v>
      </c>
      <c r="C42" t="s">
        <v>258</v>
      </c>
      <c r="D42" t="s">
        <v>237</v>
      </c>
      <c r="E42" t="s">
        <v>20</v>
      </c>
      <c r="F42" t="str">
        <f>'Basis Options'!A47</f>
        <v>STATOILENETRA</v>
      </c>
      <c r="G42" t="s">
        <v>272</v>
      </c>
      <c r="H42" t="s">
        <v>257</v>
      </c>
      <c r="I42" t="s">
        <v>245</v>
      </c>
      <c r="J42" t="s">
        <v>238</v>
      </c>
      <c r="K42" s="393">
        <f>'Basis Options'!G47</f>
        <v>37135</v>
      </c>
      <c r="L42" s="239">
        <f>'Basis Options'!U47</f>
        <v>21702.927598043723</v>
      </c>
      <c r="M42" s="393">
        <f>'Basis Options'!Q47</f>
        <v>37133</v>
      </c>
      <c r="N42" t="str">
        <f>'Basis Options'!F47</f>
        <v>C</v>
      </c>
      <c r="O42">
        <f>'Basis Options'!I47</f>
        <v>0.3</v>
      </c>
      <c r="P42">
        <v>0</v>
      </c>
      <c r="Q42">
        <v>0</v>
      </c>
      <c r="R42">
        <v>0</v>
      </c>
      <c r="S42">
        <v>0</v>
      </c>
      <c r="T42" t="s">
        <v>256</v>
      </c>
      <c r="U42" t="str">
        <f>IF('Basis Options'!D47="NGI/CHI. GATE","""NGI/CHI. GATE""",TRIM('Basis Options'!D47))</f>
        <v>IF-TRANSCO/Z6</v>
      </c>
      <c r="V42" t="s">
        <v>256</v>
      </c>
      <c r="W42" t="s">
        <v>135</v>
      </c>
      <c r="X42" t="s">
        <v>256</v>
      </c>
      <c r="Y42" t="s">
        <v>238</v>
      </c>
      <c r="Z42" t="s">
        <v>239</v>
      </c>
      <c r="AA42" t="s">
        <v>256</v>
      </c>
      <c r="AB42" t="s">
        <v>1</v>
      </c>
      <c r="AC42" s="239">
        <f>'Basis Options'!H47</f>
        <v>500000</v>
      </c>
      <c r="AD42" s="239">
        <f>'Basis Options'!W47</f>
        <v>8223.4566574405471</v>
      </c>
      <c r="AE42">
        <v>0</v>
      </c>
      <c r="AF42">
        <v>0</v>
      </c>
      <c r="AG42">
        <v>0</v>
      </c>
      <c r="AH42" s="239">
        <f>'Basis Options'!BC47</f>
        <v>244.51633217011477</v>
      </c>
      <c r="AI42">
        <v>226</v>
      </c>
      <c r="AJ42" t="s">
        <v>259</v>
      </c>
      <c r="AK42">
        <v>0</v>
      </c>
      <c r="AL42">
        <v>0</v>
      </c>
      <c r="AM42">
        <v>0</v>
      </c>
    </row>
    <row r="43" spans="1:39" x14ac:dyDescent="0.25">
      <c r="A43" t="s">
        <v>236</v>
      </c>
      <c r="B43" t="str">
        <f>'Basis Options'!C48</f>
        <v>W1882</v>
      </c>
      <c r="C43" t="s">
        <v>258</v>
      </c>
      <c r="D43" t="s">
        <v>237</v>
      </c>
      <c r="E43" t="s">
        <v>20</v>
      </c>
      <c r="F43" t="str">
        <f>'Basis Options'!A48</f>
        <v>STATOILENETRA</v>
      </c>
      <c r="G43" t="s">
        <v>272</v>
      </c>
      <c r="H43" t="s">
        <v>257</v>
      </c>
      <c r="I43" t="s">
        <v>245</v>
      </c>
      <c r="J43" t="s">
        <v>238</v>
      </c>
      <c r="K43" s="393">
        <f>'Basis Options'!G48</f>
        <v>37165</v>
      </c>
      <c r="L43" s="239">
        <f>'Basis Options'!U48</f>
        <v>23695.957622919614</v>
      </c>
      <c r="M43" s="393">
        <f>'Basis Options'!Q48</f>
        <v>37161</v>
      </c>
      <c r="N43" t="str">
        <f>'Basis Options'!F48</f>
        <v>C</v>
      </c>
      <c r="O43">
        <f>'Basis Options'!I48</f>
        <v>0.3</v>
      </c>
      <c r="P43">
        <v>0</v>
      </c>
      <c r="Q43">
        <v>0</v>
      </c>
      <c r="R43">
        <v>0</v>
      </c>
      <c r="S43">
        <v>0</v>
      </c>
      <c r="T43" t="s">
        <v>256</v>
      </c>
      <c r="U43" t="str">
        <f>IF('Basis Options'!D48="NGI/CHI. GATE","""NGI/CHI. GATE""",TRIM('Basis Options'!D48))</f>
        <v>IF-TRANSCO/Z6</v>
      </c>
      <c r="V43" t="s">
        <v>256</v>
      </c>
      <c r="W43" t="s">
        <v>135</v>
      </c>
      <c r="X43" t="s">
        <v>256</v>
      </c>
      <c r="Y43" t="s">
        <v>238</v>
      </c>
      <c r="Z43" t="s">
        <v>239</v>
      </c>
      <c r="AA43" t="s">
        <v>256</v>
      </c>
      <c r="AB43" t="s">
        <v>1</v>
      </c>
      <c r="AC43" s="239">
        <f>'Basis Options'!H48</f>
        <v>500000</v>
      </c>
      <c r="AD43" s="239">
        <f>'Basis Options'!W48</f>
        <v>8642.7646549299534</v>
      </c>
      <c r="AE43">
        <v>0</v>
      </c>
      <c r="AF43">
        <v>0</v>
      </c>
      <c r="AG43">
        <v>0</v>
      </c>
      <c r="AH43" s="239">
        <f>'Basis Options'!BC48</f>
        <v>256.98871808232434</v>
      </c>
      <c r="AI43">
        <v>226</v>
      </c>
      <c r="AJ43" t="s">
        <v>259</v>
      </c>
      <c r="AK43">
        <v>0</v>
      </c>
      <c r="AL43">
        <v>0</v>
      </c>
      <c r="AM43">
        <v>0</v>
      </c>
    </row>
    <row r="44" spans="1:39" x14ac:dyDescent="0.25">
      <c r="A44" t="s">
        <v>236</v>
      </c>
      <c r="B44" t="str">
        <f>'Basis Options'!C49</f>
        <v>EM1452.2</v>
      </c>
      <c r="C44" t="s">
        <v>258</v>
      </c>
      <c r="D44" t="s">
        <v>237</v>
      </c>
      <c r="E44" t="s">
        <v>20</v>
      </c>
      <c r="F44" t="str">
        <f>'Basis Options'!A49</f>
        <v>TXUENETRA</v>
      </c>
      <c r="G44" t="s">
        <v>272</v>
      </c>
      <c r="H44" t="s">
        <v>257</v>
      </c>
      <c r="I44" t="s">
        <v>245</v>
      </c>
      <c r="J44" t="s">
        <v>238</v>
      </c>
      <c r="K44" s="393">
        <f>'Basis Options'!G49</f>
        <v>37196</v>
      </c>
      <c r="L44" s="239">
        <f>'Basis Options'!U49</f>
        <v>-107053.25794768127</v>
      </c>
      <c r="M44" s="393">
        <f>'Basis Options'!Q49</f>
        <v>37194</v>
      </c>
      <c r="N44" t="str">
        <f>'Basis Options'!F49</f>
        <v>C</v>
      </c>
      <c r="O44">
        <f>'Basis Options'!I49</f>
        <v>0.95</v>
      </c>
      <c r="P44">
        <v>0</v>
      </c>
      <c r="Q44">
        <v>0</v>
      </c>
      <c r="R44">
        <v>0</v>
      </c>
      <c r="S44">
        <v>0</v>
      </c>
      <c r="T44" t="s">
        <v>256</v>
      </c>
      <c r="U44" t="str">
        <f>IF('Basis Options'!D49="NGI/CHI. GATE","""NGI/CHI. GATE""",TRIM('Basis Options'!D49))</f>
        <v>IF-TRANSCO/Z6</v>
      </c>
      <c r="V44" t="s">
        <v>256</v>
      </c>
      <c r="W44" t="s">
        <v>135</v>
      </c>
      <c r="X44" t="s">
        <v>256</v>
      </c>
      <c r="Y44" t="s">
        <v>238</v>
      </c>
      <c r="Z44" t="s">
        <v>239</v>
      </c>
      <c r="AA44" t="s">
        <v>256</v>
      </c>
      <c r="AB44" t="s">
        <v>1</v>
      </c>
      <c r="AC44" s="239">
        <f>'Basis Options'!H49</f>
        <v>-1000000</v>
      </c>
      <c r="AD44" s="239">
        <f>'Basis Options'!W49</f>
        <v>-32425.436980491038</v>
      </c>
      <c r="AE44">
        <v>0</v>
      </c>
      <c r="AF44">
        <v>0</v>
      </c>
      <c r="AG44">
        <v>0</v>
      </c>
      <c r="AH44" s="239">
        <f>'Basis Options'!BC49</f>
        <v>-973.13960607150511</v>
      </c>
      <c r="AI44">
        <v>226</v>
      </c>
      <c r="AJ44" t="s">
        <v>259</v>
      </c>
      <c r="AK44">
        <v>0</v>
      </c>
      <c r="AL44">
        <v>0</v>
      </c>
      <c r="AM44">
        <v>0</v>
      </c>
    </row>
    <row r="45" spans="1:39" x14ac:dyDescent="0.25">
      <c r="A45" t="s">
        <v>236</v>
      </c>
      <c r="B45" t="str">
        <f>'Basis Options'!C50</f>
        <v>EM1452.2</v>
      </c>
      <c r="C45" t="s">
        <v>258</v>
      </c>
      <c r="D45" t="s">
        <v>237</v>
      </c>
      <c r="E45" t="s">
        <v>20</v>
      </c>
      <c r="F45" t="str">
        <f>'Basis Options'!A50</f>
        <v>TXUENETRA</v>
      </c>
      <c r="G45" t="s">
        <v>272</v>
      </c>
      <c r="H45" t="s">
        <v>257</v>
      </c>
      <c r="I45" t="s">
        <v>245</v>
      </c>
      <c r="J45" t="s">
        <v>238</v>
      </c>
      <c r="K45" s="393">
        <f>'Basis Options'!G50</f>
        <v>37226</v>
      </c>
      <c r="L45" s="239">
        <f>'Basis Options'!U50</f>
        <v>-354924.66043535678</v>
      </c>
      <c r="M45" s="393">
        <f>'Basis Options'!Q50</f>
        <v>37224</v>
      </c>
      <c r="N45" t="str">
        <f>'Basis Options'!F50</f>
        <v>C</v>
      </c>
      <c r="O45">
        <f>'Basis Options'!I50</f>
        <v>0.95</v>
      </c>
      <c r="P45">
        <v>0</v>
      </c>
      <c r="Q45">
        <v>0</v>
      </c>
      <c r="R45">
        <v>0</v>
      </c>
      <c r="S45">
        <v>0</v>
      </c>
      <c r="T45" t="s">
        <v>256</v>
      </c>
      <c r="U45" t="str">
        <f>IF('Basis Options'!D50="NGI/CHI. GATE","""NGI/CHI. GATE""",TRIM('Basis Options'!D50))</f>
        <v>IF-TRANSCO/Z6</v>
      </c>
      <c r="V45" t="s">
        <v>256</v>
      </c>
      <c r="W45" t="s">
        <v>135</v>
      </c>
      <c r="X45" t="s">
        <v>256</v>
      </c>
      <c r="Y45" t="s">
        <v>238</v>
      </c>
      <c r="Z45" t="s">
        <v>239</v>
      </c>
      <c r="AA45" t="s">
        <v>256</v>
      </c>
      <c r="AB45" t="s">
        <v>1</v>
      </c>
      <c r="AC45" s="239">
        <f>'Basis Options'!H50</f>
        <v>-1000000</v>
      </c>
      <c r="AD45" s="239">
        <f>'Basis Options'!W50</f>
        <v>-32090.453659785679</v>
      </c>
      <c r="AE45">
        <v>0</v>
      </c>
      <c r="AF45">
        <v>0</v>
      </c>
      <c r="AG45">
        <v>0</v>
      </c>
      <c r="AH45" s="239">
        <f>'Basis Options'!BC50</f>
        <v>-962.38809295115061</v>
      </c>
      <c r="AI45">
        <v>226</v>
      </c>
      <c r="AJ45" t="s">
        <v>259</v>
      </c>
      <c r="AK45">
        <v>0</v>
      </c>
      <c r="AL45">
        <v>0</v>
      </c>
      <c r="AM45">
        <v>0</v>
      </c>
    </row>
    <row r="46" spans="1:39" x14ac:dyDescent="0.25">
      <c r="A46" t="s">
        <v>236</v>
      </c>
      <c r="B46" t="str">
        <f>'Basis Options'!C51</f>
        <v>EM1452.2</v>
      </c>
      <c r="C46" t="s">
        <v>258</v>
      </c>
      <c r="D46" t="s">
        <v>237</v>
      </c>
      <c r="E46" t="s">
        <v>20</v>
      </c>
      <c r="F46" t="str">
        <f>'Basis Options'!A51</f>
        <v>TXUENETRA</v>
      </c>
      <c r="G46" t="s">
        <v>272</v>
      </c>
      <c r="H46" t="s">
        <v>257</v>
      </c>
      <c r="I46" t="s">
        <v>245</v>
      </c>
      <c r="J46" t="s">
        <v>238</v>
      </c>
      <c r="K46" s="393">
        <f>'Basis Options'!G51</f>
        <v>37257</v>
      </c>
      <c r="L46" s="239">
        <f>'Basis Options'!U51</f>
        <v>-492226.2234242335</v>
      </c>
      <c r="M46" s="393">
        <f>'Basis Options'!Q51</f>
        <v>37253</v>
      </c>
      <c r="N46" t="str">
        <f>'Basis Options'!F51</f>
        <v>C</v>
      </c>
      <c r="O46">
        <f>'Basis Options'!I51</f>
        <v>0.95</v>
      </c>
      <c r="P46">
        <v>0</v>
      </c>
      <c r="Q46">
        <v>0</v>
      </c>
      <c r="R46">
        <v>0</v>
      </c>
      <c r="S46">
        <v>0</v>
      </c>
      <c r="T46" t="s">
        <v>256</v>
      </c>
      <c r="U46" t="str">
        <f>IF('Basis Options'!D51="NGI/CHI. GATE","""NGI/CHI. GATE""",TRIM('Basis Options'!D51))</f>
        <v>IF-TRANSCO/Z6</v>
      </c>
      <c r="V46" t="s">
        <v>256</v>
      </c>
      <c r="W46" t="s">
        <v>135</v>
      </c>
      <c r="X46" t="s">
        <v>256</v>
      </c>
      <c r="Y46" t="s">
        <v>238</v>
      </c>
      <c r="Z46" t="s">
        <v>239</v>
      </c>
      <c r="AA46" t="s">
        <v>256</v>
      </c>
      <c r="AB46" t="s">
        <v>1</v>
      </c>
      <c r="AC46" s="239">
        <f>'Basis Options'!H51</f>
        <v>-1000000</v>
      </c>
      <c r="AD46" s="239">
        <f>'Basis Options'!W51</f>
        <v>-18788.785577043658</v>
      </c>
      <c r="AE46">
        <v>0</v>
      </c>
      <c r="AF46">
        <v>0</v>
      </c>
      <c r="AG46">
        <v>0</v>
      </c>
      <c r="AH46" s="239">
        <f>'Basis Options'!BC51</f>
        <v>-33478.430681908387</v>
      </c>
      <c r="AI46">
        <v>226</v>
      </c>
      <c r="AJ46" t="s">
        <v>259</v>
      </c>
      <c r="AK46">
        <v>0</v>
      </c>
      <c r="AL46">
        <v>0</v>
      </c>
      <c r="AM46">
        <v>0</v>
      </c>
    </row>
    <row r="47" spans="1:39" x14ac:dyDescent="0.25">
      <c r="A47" t="s">
        <v>236</v>
      </c>
      <c r="B47" t="str">
        <f>'Basis Options'!C52</f>
        <v>EM1452.2</v>
      </c>
      <c r="C47" t="s">
        <v>258</v>
      </c>
      <c r="D47" t="s">
        <v>237</v>
      </c>
      <c r="E47" t="s">
        <v>20</v>
      </c>
      <c r="F47" t="str">
        <f>'Basis Options'!A52</f>
        <v>TXUENETRA</v>
      </c>
      <c r="G47" t="s">
        <v>272</v>
      </c>
      <c r="H47" t="s">
        <v>257</v>
      </c>
      <c r="I47" t="s">
        <v>245</v>
      </c>
      <c r="J47" t="s">
        <v>238</v>
      </c>
      <c r="K47" s="393">
        <f>'Basis Options'!G52</f>
        <v>37288</v>
      </c>
      <c r="L47" s="239">
        <f>'Basis Options'!U52</f>
        <v>-499992.92412736581</v>
      </c>
      <c r="M47" s="393">
        <f>'Basis Options'!Q52</f>
        <v>37286</v>
      </c>
      <c r="N47" t="str">
        <f>'Basis Options'!F52</f>
        <v>C</v>
      </c>
      <c r="O47">
        <f>'Basis Options'!I52</f>
        <v>0.95</v>
      </c>
      <c r="P47">
        <v>0</v>
      </c>
      <c r="Q47">
        <v>0</v>
      </c>
      <c r="R47">
        <v>0</v>
      </c>
      <c r="S47">
        <v>0</v>
      </c>
      <c r="T47" t="s">
        <v>256</v>
      </c>
      <c r="U47" t="str">
        <f>IF('Basis Options'!D52="NGI/CHI. GATE","""NGI/CHI. GATE""",TRIM('Basis Options'!D52))</f>
        <v>IF-TRANSCO/Z6</v>
      </c>
      <c r="V47" t="s">
        <v>256</v>
      </c>
      <c r="W47" t="s">
        <v>135</v>
      </c>
      <c r="X47" t="s">
        <v>256</v>
      </c>
      <c r="Y47" t="s">
        <v>238</v>
      </c>
      <c r="Z47" t="s">
        <v>239</v>
      </c>
      <c r="AA47" t="s">
        <v>256</v>
      </c>
      <c r="AB47" t="s">
        <v>1</v>
      </c>
      <c r="AC47" s="239">
        <f>'Basis Options'!H52</f>
        <v>-1000000</v>
      </c>
      <c r="AD47" s="239">
        <f>'Basis Options'!W52</f>
        <v>-26653.724092039163</v>
      </c>
      <c r="AE47">
        <v>0</v>
      </c>
      <c r="AF47">
        <v>0</v>
      </c>
      <c r="AG47">
        <v>0</v>
      </c>
      <c r="AH47" s="239">
        <f>'Basis Options'!BC52</f>
        <v>-4207.9629907914205</v>
      </c>
      <c r="AI47">
        <v>226</v>
      </c>
      <c r="AJ47" t="s">
        <v>259</v>
      </c>
      <c r="AK47">
        <v>0</v>
      </c>
      <c r="AL47">
        <v>0</v>
      </c>
      <c r="AM47">
        <v>0</v>
      </c>
    </row>
    <row r="48" spans="1:39" x14ac:dyDescent="0.25">
      <c r="A48" t="s">
        <v>236</v>
      </c>
      <c r="B48" t="str">
        <f>'Basis Options'!C53</f>
        <v>EM1452.2</v>
      </c>
      <c r="C48" t="s">
        <v>258</v>
      </c>
      <c r="D48" t="s">
        <v>237</v>
      </c>
      <c r="E48" t="s">
        <v>20</v>
      </c>
      <c r="F48" t="str">
        <f>'Basis Options'!A53</f>
        <v>TXUENETRA</v>
      </c>
      <c r="G48" t="s">
        <v>272</v>
      </c>
      <c r="H48" t="s">
        <v>257</v>
      </c>
      <c r="I48" t="s">
        <v>245</v>
      </c>
      <c r="J48" t="s">
        <v>238</v>
      </c>
      <c r="K48" s="393">
        <f>'Basis Options'!G53</f>
        <v>37316</v>
      </c>
      <c r="L48" s="239">
        <f>'Basis Options'!U53</f>
        <v>-164406.74357997568</v>
      </c>
      <c r="M48" s="393">
        <f>'Basis Options'!Q53</f>
        <v>37314</v>
      </c>
      <c r="N48" t="str">
        <f>'Basis Options'!F53</f>
        <v>C</v>
      </c>
      <c r="O48">
        <f>'Basis Options'!I53</f>
        <v>0.95</v>
      </c>
      <c r="P48">
        <v>0</v>
      </c>
      <c r="Q48">
        <v>0</v>
      </c>
      <c r="R48">
        <v>0</v>
      </c>
      <c r="S48">
        <v>0</v>
      </c>
      <c r="T48" t="s">
        <v>256</v>
      </c>
      <c r="U48" t="str">
        <f>IF('Basis Options'!D53="NGI/CHI. GATE","""NGI/CHI. GATE""",TRIM('Basis Options'!D53))</f>
        <v>IF-TRANSCO/Z6</v>
      </c>
      <c r="V48" t="s">
        <v>256</v>
      </c>
      <c r="W48" t="s">
        <v>135</v>
      </c>
      <c r="X48" t="s">
        <v>256</v>
      </c>
      <c r="Y48" t="s">
        <v>238</v>
      </c>
      <c r="Z48" t="s">
        <v>239</v>
      </c>
      <c r="AA48" t="s">
        <v>256</v>
      </c>
      <c r="AB48" t="s">
        <v>1</v>
      </c>
      <c r="AC48" s="239">
        <f>'Basis Options'!H53</f>
        <v>-1000000</v>
      </c>
      <c r="AD48" s="239">
        <f>'Basis Options'!W53</f>
        <v>-33947.75341224781</v>
      </c>
      <c r="AE48">
        <v>0</v>
      </c>
      <c r="AF48">
        <v>0</v>
      </c>
      <c r="AG48">
        <v>0</v>
      </c>
      <c r="AH48" s="239">
        <f>'Basis Options'!BC53</f>
        <v>-916.00490455198451</v>
      </c>
      <c r="AI48">
        <v>226</v>
      </c>
      <c r="AJ48" t="s">
        <v>259</v>
      </c>
      <c r="AK48">
        <v>0</v>
      </c>
      <c r="AL48">
        <v>0</v>
      </c>
      <c r="AM48">
        <v>0</v>
      </c>
    </row>
    <row r="49" spans="1:39" x14ac:dyDescent="0.25">
      <c r="A49" t="s">
        <v>236</v>
      </c>
      <c r="B49" t="str">
        <f>'Basis Options'!C54</f>
        <v>NE3899</v>
      </c>
      <c r="C49" t="s">
        <v>258</v>
      </c>
      <c r="D49" t="s">
        <v>237</v>
      </c>
      <c r="E49" t="s">
        <v>20</v>
      </c>
      <c r="F49" t="str">
        <f>'Basis Options'!A54</f>
        <v>SOUTHERCOMENEMA</v>
      </c>
      <c r="G49" t="s">
        <v>272</v>
      </c>
      <c r="H49" t="s">
        <v>257</v>
      </c>
      <c r="I49" t="s">
        <v>245</v>
      </c>
      <c r="J49" t="s">
        <v>238</v>
      </c>
      <c r="K49" s="393">
        <f>'Basis Options'!G54</f>
        <v>36831</v>
      </c>
      <c r="L49" s="239">
        <f>'Basis Options'!U54</f>
        <v>64644.121897670782</v>
      </c>
      <c r="M49" s="393">
        <f>'Basis Options'!Q54</f>
        <v>36829</v>
      </c>
      <c r="N49" t="str">
        <f>'Basis Options'!F54</f>
        <v>C</v>
      </c>
      <c r="O49">
        <f>'Basis Options'!I54</f>
        <v>1</v>
      </c>
      <c r="P49">
        <v>0</v>
      </c>
      <c r="Q49">
        <v>0</v>
      </c>
      <c r="R49">
        <v>0</v>
      </c>
      <c r="S49">
        <v>0</v>
      </c>
      <c r="T49" t="s">
        <v>256</v>
      </c>
      <c r="U49" t="str">
        <f>IF('Basis Options'!D54="NGI/CHI. GATE","""NGI/CHI. GATE""",TRIM('Basis Options'!D54))</f>
        <v>IF-TRANSCO/Z6</v>
      </c>
      <c r="V49" t="s">
        <v>256</v>
      </c>
      <c r="W49" t="s">
        <v>135</v>
      </c>
      <c r="X49" t="s">
        <v>256</v>
      </c>
      <c r="Y49" t="s">
        <v>238</v>
      </c>
      <c r="Z49" t="s">
        <v>239</v>
      </c>
      <c r="AA49" t="s">
        <v>256</v>
      </c>
      <c r="AB49" t="s">
        <v>1</v>
      </c>
      <c r="AC49" s="239">
        <f>'Basis Options'!H54</f>
        <v>900000</v>
      </c>
      <c r="AD49" s="239">
        <f>'Basis Options'!W54</f>
        <v>23034.247491408692</v>
      </c>
      <c r="AE49">
        <v>0</v>
      </c>
      <c r="AF49">
        <v>0</v>
      </c>
      <c r="AG49">
        <v>0</v>
      </c>
      <c r="AH49" s="239">
        <f>'Basis Options'!BC54</f>
        <v>1503.4931485720954</v>
      </c>
      <c r="AI49">
        <v>227</v>
      </c>
      <c r="AJ49" t="s">
        <v>259</v>
      </c>
      <c r="AK49">
        <v>0</v>
      </c>
      <c r="AL49">
        <v>0</v>
      </c>
      <c r="AM49">
        <v>0</v>
      </c>
    </row>
    <row r="50" spans="1:39" x14ac:dyDescent="0.25">
      <c r="A50" t="s">
        <v>236</v>
      </c>
      <c r="B50" t="str">
        <f>'Basis Options'!C55</f>
        <v>NE3901</v>
      </c>
      <c r="C50" t="s">
        <v>258</v>
      </c>
      <c r="D50" t="s">
        <v>237</v>
      </c>
      <c r="E50" t="s">
        <v>20</v>
      </c>
      <c r="F50" t="str">
        <f>'Basis Options'!A55</f>
        <v>TRACTEBEENMAR</v>
      </c>
      <c r="G50" t="s">
        <v>272</v>
      </c>
      <c r="H50" t="s">
        <v>257</v>
      </c>
      <c r="I50" t="s">
        <v>245</v>
      </c>
      <c r="J50" t="s">
        <v>238</v>
      </c>
      <c r="K50" s="393">
        <f>'Basis Options'!G55</f>
        <v>36831</v>
      </c>
      <c r="L50" s="239">
        <f>'Basis Options'!U55</f>
        <v>17021.913030887143</v>
      </c>
      <c r="M50" s="393">
        <f>'Basis Options'!Q55</f>
        <v>36829</v>
      </c>
      <c r="N50" t="str">
        <f>'Basis Options'!F55</f>
        <v>P</v>
      </c>
      <c r="O50">
        <f>'Basis Options'!I55</f>
        <v>0.45</v>
      </c>
      <c r="P50">
        <v>0</v>
      </c>
      <c r="Q50">
        <v>0</v>
      </c>
      <c r="R50">
        <v>0</v>
      </c>
      <c r="S50">
        <v>0</v>
      </c>
      <c r="T50" t="s">
        <v>256</v>
      </c>
      <c r="U50" t="str">
        <f>IF('Basis Options'!D55="NGI/CHI. GATE","""NGI/CHI. GATE""",TRIM('Basis Options'!D55))</f>
        <v>IF-TRANSCO/Z6</v>
      </c>
      <c r="V50" t="s">
        <v>256</v>
      </c>
      <c r="W50" t="s">
        <v>135</v>
      </c>
      <c r="X50" t="s">
        <v>256</v>
      </c>
      <c r="Y50" t="s">
        <v>238</v>
      </c>
      <c r="Z50" t="s">
        <v>239</v>
      </c>
      <c r="AA50" t="s">
        <v>256</v>
      </c>
      <c r="AB50" t="s">
        <v>1</v>
      </c>
      <c r="AC50" s="239">
        <f>'Basis Options'!H55</f>
        <v>300000</v>
      </c>
      <c r="AD50" s="239">
        <f>'Basis Options'!W55</f>
        <v>8412.2410580069409</v>
      </c>
      <c r="AE50">
        <v>0</v>
      </c>
      <c r="AF50">
        <v>0</v>
      </c>
      <c r="AG50">
        <v>0</v>
      </c>
      <c r="AH50" s="239">
        <f>'Basis Options'!BC55</f>
        <v>548.68830105587949</v>
      </c>
      <c r="AI50">
        <v>228</v>
      </c>
      <c r="AJ50" t="s">
        <v>259</v>
      </c>
      <c r="AK50">
        <v>0</v>
      </c>
      <c r="AL50">
        <v>0</v>
      </c>
      <c r="AM50">
        <v>0</v>
      </c>
    </row>
    <row r="51" spans="1:39" x14ac:dyDescent="0.25">
      <c r="A51" t="s">
        <v>236</v>
      </c>
      <c r="B51" t="str">
        <f>'Basis Options'!C56</f>
        <v>NE3903</v>
      </c>
      <c r="C51" t="s">
        <v>258</v>
      </c>
      <c r="D51" t="s">
        <v>237</v>
      </c>
      <c r="E51" t="s">
        <v>20</v>
      </c>
      <c r="F51" t="str">
        <f>'Basis Options'!A56</f>
        <v>DUKEENETRA</v>
      </c>
      <c r="G51" t="s">
        <v>272</v>
      </c>
      <c r="H51" t="s">
        <v>257</v>
      </c>
      <c r="I51" t="s">
        <v>245</v>
      </c>
      <c r="J51" t="s">
        <v>238</v>
      </c>
      <c r="K51" s="393">
        <f>'Basis Options'!G56</f>
        <v>36831</v>
      </c>
      <c r="L51" s="239">
        <f>'Basis Options'!U56</f>
        <v>51065.739092661424</v>
      </c>
      <c r="M51" s="393">
        <f>'Basis Options'!Q56</f>
        <v>36829</v>
      </c>
      <c r="N51" t="str">
        <f>'Basis Options'!F56</f>
        <v>P</v>
      </c>
      <c r="O51">
        <f>'Basis Options'!I56</f>
        <v>0.45</v>
      </c>
      <c r="P51">
        <v>0</v>
      </c>
      <c r="Q51">
        <v>0</v>
      </c>
      <c r="R51">
        <v>0</v>
      </c>
      <c r="S51">
        <v>0</v>
      </c>
      <c r="T51" t="s">
        <v>256</v>
      </c>
      <c r="U51" t="str">
        <f>IF('Basis Options'!D56="NGI/CHI. GATE","""NGI/CHI. GATE""",TRIM('Basis Options'!D56))</f>
        <v>IF-TRANSCO/Z6</v>
      </c>
      <c r="V51" t="s">
        <v>256</v>
      </c>
      <c r="W51" t="s">
        <v>135</v>
      </c>
      <c r="X51" t="s">
        <v>256</v>
      </c>
      <c r="Y51" t="s">
        <v>238</v>
      </c>
      <c r="Z51" t="s">
        <v>239</v>
      </c>
      <c r="AA51" t="s">
        <v>256</v>
      </c>
      <c r="AB51" t="s">
        <v>1</v>
      </c>
      <c r="AC51" s="239">
        <f>'Basis Options'!H56</f>
        <v>900000</v>
      </c>
      <c r="AD51" s="239">
        <f>'Basis Options'!W56</f>
        <v>25236.723174020823</v>
      </c>
      <c r="AE51">
        <v>0</v>
      </c>
      <c r="AF51">
        <v>0</v>
      </c>
      <c r="AG51">
        <v>0</v>
      </c>
      <c r="AH51" s="239">
        <f>'Basis Options'!BC56</f>
        <v>1646.0649031676294</v>
      </c>
      <c r="AI51">
        <v>229</v>
      </c>
      <c r="AJ51" t="s">
        <v>259</v>
      </c>
      <c r="AK51">
        <v>0</v>
      </c>
      <c r="AL51">
        <v>0</v>
      </c>
      <c r="AM51">
        <v>0</v>
      </c>
    </row>
    <row r="52" spans="1:39" x14ac:dyDescent="0.25">
      <c r="A52" t="s">
        <v>236</v>
      </c>
      <c r="B52" t="str">
        <f>'Basis Options'!C57</f>
        <v>NE3906</v>
      </c>
      <c r="C52" t="s">
        <v>258</v>
      </c>
      <c r="D52" t="s">
        <v>237</v>
      </c>
      <c r="E52" t="s">
        <v>20</v>
      </c>
      <c r="F52" t="str">
        <f>'Basis Options'!A57</f>
        <v>DYNEGYMARAND</v>
      </c>
      <c r="G52" t="s">
        <v>272</v>
      </c>
      <c r="H52" t="s">
        <v>257</v>
      </c>
      <c r="I52" t="s">
        <v>245</v>
      </c>
      <c r="J52" t="s">
        <v>238</v>
      </c>
      <c r="K52" s="393">
        <f>'Basis Options'!G57</f>
        <v>36831</v>
      </c>
      <c r="L52" s="239">
        <f>'Basis Options'!U57</f>
        <v>85109.56515443571</v>
      </c>
      <c r="M52" s="393">
        <f>'Basis Options'!Q57</f>
        <v>36829</v>
      </c>
      <c r="N52" t="str">
        <f>'Basis Options'!F57</f>
        <v>P</v>
      </c>
      <c r="O52">
        <f>'Basis Options'!I57</f>
        <v>0.45</v>
      </c>
      <c r="P52">
        <v>0</v>
      </c>
      <c r="Q52">
        <v>0</v>
      </c>
      <c r="R52">
        <v>0</v>
      </c>
      <c r="S52">
        <v>0</v>
      </c>
      <c r="T52" t="s">
        <v>256</v>
      </c>
      <c r="U52" t="str">
        <f>IF('Basis Options'!D57="NGI/CHI. GATE","""NGI/CHI. GATE""",TRIM('Basis Options'!D57))</f>
        <v>IF-TRANSCO/Z6</v>
      </c>
      <c r="V52" t="s">
        <v>256</v>
      </c>
      <c r="W52" t="s">
        <v>135</v>
      </c>
      <c r="X52" t="s">
        <v>256</v>
      </c>
      <c r="Y52" t="s">
        <v>238</v>
      </c>
      <c r="Z52" t="s">
        <v>239</v>
      </c>
      <c r="AA52" t="s">
        <v>256</v>
      </c>
      <c r="AB52" t="s">
        <v>1</v>
      </c>
      <c r="AC52" s="239">
        <f>'Basis Options'!H57</f>
        <v>1500000</v>
      </c>
      <c r="AD52" s="239">
        <f>'Basis Options'!W57</f>
        <v>42061.205290034704</v>
      </c>
      <c r="AE52">
        <v>0</v>
      </c>
      <c r="AF52">
        <v>0</v>
      </c>
      <c r="AG52">
        <v>0</v>
      </c>
      <c r="AH52" s="239">
        <f>'Basis Options'!BC57</f>
        <v>2743.4415052793775</v>
      </c>
      <c r="AI52">
        <v>230</v>
      </c>
      <c r="AJ52" t="s">
        <v>259</v>
      </c>
      <c r="AK52">
        <v>0</v>
      </c>
      <c r="AL52">
        <v>0</v>
      </c>
      <c r="AM52">
        <v>0</v>
      </c>
    </row>
    <row r="53" spans="1:39" x14ac:dyDescent="0.25">
      <c r="A53" t="s">
        <v>236</v>
      </c>
      <c r="B53" t="str">
        <f>'Basis Options'!C58</f>
        <v>NE5062.1</v>
      </c>
      <c r="C53" t="s">
        <v>258</v>
      </c>
      <c r="D53" t="s">
        <v>237</v>
      </c>
      <c r="E53" t="s">
        <v>20</v>
      </c>
      <c r="F53" t="str">
        <f>'Basis Options'!A58</f>
        <v>SOUTHERCOMENEMA</v>
      </c>
      <c r="G53" t="s">
        <v>272</v>
      </c>
      <c r="H53" t="s">
        <v>257</v>
      </c>
      <c r="I53" t="s">
        <v>245</v>
      </c>
      <c r="J53" t="s">
        <v>238</v>
      </c>
      <c r="K53" s="393">
        <f>'Basis Options'!G58</f>
        <v>36951</v>
      </c>
      <c r="L53" s="239">
        <f>'Basis Options'!U58</f>
        <v>135984.73553054317</v>
      </c>
      <c r="M53" s="393">
        <f>'Basis Options'!Q58</f>
        <v>36949</v>
      </c>
      <c r="N53" t="str">
        <f>'Basis Options'!F58</f>
        <v>C</v>
      </c>
      <c r="O53">
        <f>'Basis Options'!I58</f>
        <v>1.25</v>
      </c>
      <c r="P53">
        <v>0</v>
      </c>
      <c r="Q53">
        <v>0</v>
      </c>
      <c r="R53">
        <v>0</v>
      </c>
      <c r="S53">
        <v>0</v>
      </c>
      <c r="T53" t="s">
        <v>256</v>
      </c>
      <c r="U53" t="str">
        <f>IF('Basis Options'!D58="NGI/CHI. GATE","""NGI/CHI. GATE""",TRIM('Basis Options'!D58))</f>
        <v>IF-TRANSCO/Z6</v>
      </c>
      <c r="V53" t="s">
        <v>256</v>
      </c>
      <c r="W53" t="s">
        <v>135</v>
      </c>
      <c r="X53" t="s">
        <v>256</v>
      </c>
      <c r="Y53" t="s">
        <v>238</v>
      </c>
      <c r="Z53" t="s">
        <v>239</v>
      </c>
      <c r="AA53" t="s">
        <v>256</v>
      </c>
      <c r="AB53" t="s">
        <v>1</v>
      </c>
      <c r="AC53" s="239">
        <f>'Basis Options'!H58</f>
        <v>1240000</v>
      </c>
      <c r="AD53" s="239">
        <f>'Basis Options'!W58</f>
        <v>41041.606824208458</v>
      </c>
      <c r="AE53">
        <v>0</v>
      </c>
      <c r="AF53">
        <v>0</v>
      </c>
      <c r="AG53">
        <v>0</v>
      </c>
      <c r="AH53" s="239">
        <f>'Basis Options'!BC58</f>
        <v>-54548.096585697233</v>
      </c>
      <c r="AI53">
        <v>231</v>
      </c>
      <c r="AJ53" t="s">
        <v>259</v>
      </c>
      <c r="AK53">
        <v>0</v>
      </c>
      <c r="AL53">
        <v>0</v>
      </c>
      <c r="AM53">
        <v>0</v>
      </c>
    </row>
    <row r="54" spans="1:39" x14ac:dyDescent="0.25">
      <c r="A54" t="s">
        <v>236</v>
      </c>
      <c r="B54" t="str">
        <f>'Basis Options'!C59</f>
        <v>NE5062.2</v>
      </c>
      <c r="C54" t="s">
        <v>258</v>
      </c>
      <c r="D54" t="s">
        <v>237</v>
      </c>
      <c r="E54" t="s">
        <v>20</v>
      </c>
      <c r="F54" t="str">
        <f>'Basis Options'!A59</f>
        <v>OMICRON</v>
      </c>
      <c r="G54" t="s">
        <v>272</v>
      </c>
      <c r="H54" t="s">
        <v>257</v>
      </c>
      <c r="I54" t="s">
        <v>245</v>
      </c>
      <c r="J54" t="s">
        <v>238</v>
      </c>
      <c r="K54" s="393">
        <f>'Basis Options'!G59</f>
        <v>36951</v>
      </c>
      <c r="L54" s="239">
        <f>'Basis Options'!U59</f>
        <v>-33996.183882635793</v>
      </c>
      <c r="M54" s="393">
        <f>'Basis Options'!Q59</f>
        <v>36949</v>
      </c>
      <c r="N54" t="str">
        <f>'Basis Options'!F59</f>
        <v>C</v>
      </c>
      <c r="O54">
        <f>'Basis Options'!I59</f>
        <v>1.25</v>
      </c>
      <c r="P54">
        <v>0</v>
      </c>
      <c r="Q54">
        <v>0</v>
      </c>
      <c r="R54">
        <v>0</v>
      </c>
      <c r="S54">
        <v>0</v>
      </c>
      <c r="T54" t="s">
        <v>256</v>
      </c>
      <c r="U54" t="str">
        <f>IF('Basis Options'!D59="NGI/CHI. GATE","""NGI/CHI. GATE""",TRIM('Basis Options'!D59))</f>
        <v>IF-TRANSCO/Z6</v>
      </c>
      <c r="V54" t="s">
        <v>256</v>
      </c>
      <c r="W54" t="s">
        <v>135</v>
      </c>
      <c r="X54" t="s">
        <v>256</v>
      </c>
      <c r="Y54" t="s">
        <v>238</v>
      </c>
      <c r="Z54" t="s">
        <v>239</v>
      </c>
      <c r="AA54" t="s">
        <v>256</v>
      </c>
      <c r="AB54" t="s">
        <v>1</v>
      </c>
      <c r="AC54" s="239">
        <f>'Basis Options'!H59</f>
        <v>-310000</v>
      </c>
      <c r="AD54" s="239">
        <f>'Basis Options'!W59</f>
        <v>-10260.401706052115</v>
      </c>
      <c r="AE54">
        <v>0</v>
      </c>
      <c r="AF54">
        <v>0</v>
      </c>
      <c r="AG54">
        <v>0</v>
      </c>
      <c r="AH54" s="239">
        <f>'Basis Options'!BC59</f>
        <v>13637.024146424308</v>
      </c>
      <c r="AI54">
        <v>232</v>
      </c>
      <c r="AJ54" t="s">
        <v>259</v>
      </c>
      <c r="AK54">
        <v>0</v>
      </c>
      <c r="AL54">
        <v>0</v>
      </c>
      <c r="AM54">
        <v>0</v>
      </c>
    </row>
    <row r="55" spans="1:39" x14ac:dyDescent="0.25">
      <c r="A55" t="s">
        <v>236</v>
      </c>
      <c r="B55" t="str">
        <f>'Basis Options'!C60</f>
        <v>NE6161.1</v>
      </c>
      <c r="C55" t="s">
        <v>258</v>
      </c>
      <c r="D55" t="s">
        <v>237</v>
      </c>
      <c r="E55" t="s">
        <v>20</v>
      </c>
      <c r="F55" t="str">
        <f>'Basis Options'!A60</f>
        <v>JARON</v>
      </c>
      <c r="G55" t="s">
        <v>272</v>
      </c>
      <c r="H55" t="s">
        <v>257</v>
      </c>
      <c r="I55" t="s">
        <v>245</v>
      </c>
      <c r="J55" t="s">
        <v>238</v>
      </c>
      <c r="K55" s="393">
        <f>'Basis Options'!G60</f>
        <v>36647</v>
      </c>
      <c r="L55" s="239">
        <f>'Basis Options'!U60</f>
        <v>4894.0927770730977</v>
      </c>
      <c r="M55" s="393">
        <f>'Basis Options'!Q60</f>
        <v>36643</v>
      </c>
      <c r="N55" t="str">
        <f>'Basis Options'!F60</f>
        <v>C</v>
      </c>
      <c r="O55">
        <f>'Basis Options'!I60</f>
        <v>-0.32</v>
      </c>
      <c r="P55">
        <v>0</v>
      </c>
      <c r="Q55">
        <v>0</v>
      </c>
      <c r="R55">
        <v>0</v>
      </c>
      <c r="S55">
        <v>0</v>
      </c>
      <c r="T55" t="s">
        <v>256</v>
      </c>
      <c r="U55" t="str">
        <f>IF('Basis Options'!D60="NGI/CHI. GATE","""NGI/CHI. GATE""",TRIM('Basis Options'!D60))</f>
        <v>IF-NWPL_ROCKY_M</v>
      </c>
      <c r="V55" t="s">
        <v>256</v>
      </c>
      <c r="W55" t="s">
        <v>135</v>
      </c>
      <c r="X55" t="s">
        <v>256</v>
      </c>
      <c r="Y55" t="s">
        <v>238</v>
      </c>
      <c r="Z55" t="s">
        <v>239</v>
      </c>
      <c r="AA55" t="s">
        <v>256</v>
      </c>
      <c r="AB55" t="s">
        <v>1</v>
      </c>
      <c r="AC55" s="239">
        <f>'Basis Options'!H60</f>
        <v>310000</v>
      </c>
      <c r="AD55" s="239">
        <f>'Basis Options'!W60</f>
        <v>2101.8645803330583</v>
      </c>
      <c r="AE55">
        <v>0</v>
      </c>
      <c r="AF55">
        <v>0</v>
      </c>
      <c r="AG55">
        <v>0</v>
      </c>
      <c r="AH55" s="239">
        <f>'Basis Options'!BC60</f>
        <v>-4343.6309465191371</v>
      </c>
      <c r="AI55">
        <v>232</v>
      </c>
      <c r="AJ55" t="s">
        <v>259</v>
      </c>
      <c r="AK55">
        <v>0</v>
      </c>
      <c r="AL55">
        <v>0</v>
      </c>
      <c r="AM55">
        <v>0</v>
      </c>
    </row>
    <row r="56" spans="1:39" x14ac:dyDescent="0.25">
      <c r="A56" t="s">
        <v>236</v>
      </c>
      <c r="B56" t="str">
        <f>'Basis Options'!C61</f>
        <v>NE6161.1</v>
      </c>
      <c r="C56" t="s">
        <v>258</v>
      </c>
      <c r="D56" t="s">
        <v>237</v>
      </c>
      <c r="E56" t="s">
        <v>20</v>
      </c>
      <c r="F56" t="str">
        <f>'Basis Options'!A61</f>
        <v>JARON</v>
      </c>
      <c r="G56" t="s">
        <v>272</v>
      </c>
      <c r="H56" t="s">
        <v>257</v>
      </c>
      <c r="I56" t="s">
        <v>245</v>
      </c>
      <c r="J56" t="s">
        <v>238</v>
      </c>
      <c r="K56" s="393">
        <f>'Basis Options'!G61</f>
        <v>36678</v>
      </c>
      <c r="L56" s="239">
        <f>'Basis Options'!U61</f>
        <v>11569.824903204295</v>
      </c>
      <c r="M56" s="393">
        <f>'Basis Options'!Q61</f>
        <v>36676</v>
      </c>
      <c r="N56" t="str">
        <f>'Basis Options'!F61</f>
        <v>C</v>
      </c>
      <c r="O56">
        <f>'Basis Options'!I61</f>
        <v>-0.32</v>
      </c>
      <c r="P56">
        <v>0</v>
      </c>
      <c r="Q56">
        <v>0</v>
      </c>
      <c r="R56">
        <v>0</v>
      </c>
      <c r="S56">
        <v>0</v>
      </c>
      <c r="T56" t="s">
        <v>256</v>
      </c>
      <c r="U56" t="str">
        <f>IF('Basis Options'!D61="NGI/CHI. GATE","""NGI/CHI. GATE""",TRIM('Basis Options'!D61))</f>
        <v>IF-NWPL_ROCKY_M</v>
      </c>
      <c r="V56" t="s">
        <v>256</v>
      </c>
      <c r="W56" t="s">
        <v>135</v>
      </c>
      <c r="X56" t="s">
        <v>256</v>
      </c>
      <c r="Y56" t="s">
        <v>238</v>
      </c>
      <c r="Z56" t="s">
        <v>239</v>
      </c>
      <c r="AA56" t="s">
        <v>256</v>
      </c>
      <c r="AB56" t="s">
        <v>1</v>
      </c>
      <c r="AC56" s="239">
        <f>'Basis Options'!H61</f>
        <v>300000</v>
      </c>
      <c r="AD56" s="239">
        <f>'Basis Options'!W61</f>
        <v>4053.5356630736351</v>
      </c>
      <c r="AE56">
        <v>0</v>
      </c>
      <c r="AF56">
        <v>0</v>
      </c>
      <c r="AG56">
        <v>0</v>
      </c>
      <c r="AH56" s="239">
        <f>'Basis Options'!BC61</f>
        <v>-3236.5608124818027</v>
      </c>
      <c r="AI56">
        <v>232</v>
      </c>
      <c r="AJ56" t="s">
        <v>259</v>
      </c>
      <c r="AK56">
        <v>0</v>
      </c>
      <c r="AL56">
        <v>0</v>
      </c>
      <c r="AM56">
        <v>0</v>
      </c>
    </row>
    <row r="57" spans="1:39" x14ac:dyDescent="0.25">
      <c r="A57" t="s">
        <v>236</v>
      </c>
      <c r="B57" t="str">
        <f>'Basis Options'!C62</f>
        <v>NE6161.1</v>
      </c>
      <c r="C57" t="s">
        <v>258</v>
      </c>
      <c r="D57" t="s">
        <v>237</v>
      </c>
      <c r="E57" t="s">
        <v>20</v>
      </c>
      <c r="F57" t="str">
        <f>'Basis Options'!A62</f>
        <v>JARON</v>
      </c>
      <c r="G57" t="s">
        <v>272</v>
      </c>
      <c r="H57" t="s">
        <v>257</v>
      </c>
      <c r="I57" t="s">
        <v>245</v>
      </c>
      <c r="J57" t="s">
        <v>238</v>
      </c>
      <c r="K57" s="393">
        <f>'Basis Options'!G62</f>
        <v>36708</v>
      </c>
      <c r="L57" s="239">
        <f>'Basis Options'!U62</f>
        <v>19574.067362666934</v>
      </c>
      <c r="M57" s="393">
        <f>'Basis Options'!Q62</f>
        <v>36706</v>
      </c>
      <c r="N57" t="str">
        <f>'Basis Options'!F62</f>
        <v>C</v>
      </c>
      <c r="O57">
        <f>'Basis Options'!I62</f>
        <v>-0.32</v>
      </c>
      <c r="P57">
        <v>0</v>
      </c>
      <c r="Q57">
        <v>0</v>
      </c>
      <c r="R57">
        <v>0</v>
      </c>
      <c r="S57">
        <v>0</v>
      </c>
      <c r="T57" t="s">
        <v>256</v>
      </c>
      <c r="U57" t="str">
        <f>IF('Basis Options'!D62="NGI/CHI. GATE","""NGI/CHI. GATE""",TRIM('Basis Options'!D62))</f>
        <v>IF-NWPL_ROCKY_M</v>
      </c>
      <c r="V57" t="s">
        <v>256</v>
      </c>
      <c r="W57" t="s">
        <v>135</v>
      </c>
      <c r="X57" t="s">
        <v>256</v>
      </c>
      <c r="Y57" t="s">
        <v>238</v>
      </c>
      <c r="Z57" t="s">
        <v>239</v>
      </c>
      <c r="AA57" t="s">
        <v>256</v>
      </c>
      <c r="AB57" t="s">
        <v>1</v>
      </c>
      <c r="AC57" s="239">
        <f>'Basis Options'!H62</f>
        <v>310000</v>
      </c>
      <c r="AD57" s="239">
        <f>'Basis Options'!W62</f>
        <v>5693.890652442642</v>
      </c>
      <c r="AE57">
        <v>0</v>
      </c>
      <c r="AF57">
        <v>0</v>
      </c>
      <c r="AG57">
        <v>0</v>
      </c>
      <c r="AH57" s="239">
        <f>'Basis Options'!BC62</f>
        <v>-1939.3221091082269</v>
      </c>
      <c r="AI57">
        <v>232</v>
      </c>
      <c r="AJ57" t="s">
        <v>259</v>
      </c>
      <c r="AK57">
        <v>0</v>
      </c>
      <c r="AL57">
        <v>0</v>
      </c>
      <c r="AM57">
        <v>0</v>
      </c>
    </row>
    <row r="58" spans="1:39" x14ac:dyDescent="0.25">
      <c r="A58" t="s">
        <v>236</v>
      </c>
      <c r="B58" t="str">
        <f>'Basis Options'!C63</f>
        <v>NE6161.1</v>
      </c>
      <c r="C58" t="s">
        <v>258</v>
      </c>
      <c r="D58" t="s">
        <v>237</v>
      </c>
      <c r="E58" t="s">
        <v>20</v>
      </c>
      <c r="F58" t="str">
        <f>'Basis Options'!A63</f>
        <v>JARON</v>
      </c>
      <c r="G58" t="s">
        <v>272</v>
      </c>
      <c r="H58" t="s">
        <v>257</v>
      </c>
      <c r="I58" t="s">
        <v>245</v>
      </c>
      <c r="J58" t="s">
        <v>238</v>
      </c>
      <c r="K58" s="393">
        <f>'Basis Options'!G63</f>
        <v>36739</v>
      </c>
      <c r="L58" s="239">
        <f>'Basis Options'!U63</f>
        <v>24150.066105413534</v>
      </c>
      <c r="M58" s="393">
        <f>'Basis Options'!Q63</f>
        <v>36735</v>
      </c>
      <c r="N58" t="str">
        <f>'Basis Options'!F63</f>
        <v>C</v>
      </c>
      <c r="O58">
        <f>'Basis Options'!I63</f>
        <v>-0.32</v>
      </c>
      <c r="P58">
        <v>0</v>
      </c>
      <c r="Q58">
        <v>0</v>
      </c>
      <c r="R58">
        <v>0</v>
      </c>
      <c r="S58">
        <v>0</v>
      </c>
      <c r="T58" t="s">
        <v>256</v>
      </c>
      <c r="U58" t="str">
        <f>IF('Basis Options'!D63="NGI/CHI. GATE","""NGI/CHI. GATE""",TRIM('Basis Options'!D63))</f>
        <v>IF-NWPL_ROCKY_M</v>
      </c>
      <c r="V58" t="s">
        <v>256</v>
      </c>
      <c r="W58" t="s">
        <v>135</v>
      </c>
      <c r="X58" t="s">
        <v>256</v>
      </c>
      <c r="Y58" t="s">
        <v>238</v>
      </c>
      <c r="Z58" t="s">
        <v>239</v>
      </c>
      <c r="AA58" t="s">
        <v>256</v>
      </c>
      <c r="AB58" t="s">
        <v>1</v>
      </c>
      <c r="AC58" s="239">
        <f>'Basis Options'!H63</f>
        <v>310000</v>
      </c>
      <c r="AD58" s="239">
        <f>'Basis Options'!W63</f>
        <v>6992.1123924718122</v>
      </c>
      <c r="AE58">
        <v>0</v>
      </c>
      <c r="AF58">
        <v>0</v>
      </c>
      <c r="AG58">
        <v>0</v>
      </c>
      <c r="AH58" s="239">
        <f>'Basis Options'!BC63</f>
        <v>-1831.2681521802078</v>
      </c>
      <c r="AI58">
        <v>232</v>
      </c>
      <c r="AJ58" t="s">
        <v>259</v>
      </c>
      <c r="AK58">
        <v>0</v>
      </c>
      <c r="AL58">
        <v>0</v>
      </c>
      <c r="AM58">
        <v>0</v>
      </c>
    </row>
    <row r="59" spans="1:39" x14ac:dyDescent="0.25">
      <c r="A59" t="s">
        <v>236</v>
      </c>
      <c r="B59" t="str">
        <f>'Basis Options'!C64</f>
        <v>NE6161.1</v>
      </c>
      <c r="C59" t="s">
        <v>258</v>
      </c>
      <c r="D59" t="s">
        <v>237</v>
      </c>
      <c r="E59" t="s">
        <v>20</v>
      </c>
      <c r="F59" t="str">
        <f>'Basis Options'!A64</f>
        <v>JARON</v>
      </c>
      <c r="G59" t="s">
        <v>272</v>
      </c>
      <c r="H59" t="s">
        <v>257</v>
      </c>
      <c r="I59" t="s">
        <v>245</v>
      </c>
      <c r="J59" t="s">
        <v>238</v>
      </c>
      <c r="K59" s="393">
        <f>'Basis Options'!G64</f>
        <v>36770</v>
      </c>
      <c r="L59" s="239">
        <f>'Basis Options'!U64</f>
        <v>27164.011626786167</v>
      </c>
      <c r="M59" s="393">
        <f>'Basis Options'!Q64</f>
        <v>36768</v>
      </c>
      <c r="N59" t="str">
        <f>'Basis Options'!F64</f>
        <v>C</v>
      </c>
      <c r="O59">
        <f>'Basis Options'!I64</f>
        <v>-0.32</v>
      </c>
      <c r="P59">
        <v>0</v>
      </c>
      <c r="Q59">
        <v>0</v>
      </c>
      <c r="R59">
        <v>0</v>
      </c>
      <c r="S59">
        <v>0</v>
      </c>
      <c r="T59" t="s">
        <v>256</v>
      </c>
      <c r="U59" t="str">
        <f>IF('Basis Options'!D64="NGI/CHI. GATE","""NGI/CHI. GATE""",TRIM('Basis Options'!D64))</f>
        <v>IF-NWPL_ROCKY_M</v>
      </c>
      <c r="V59" t="s">
        <v>256</v>
      </c>
      <c r="W59" t="s">
        <v>135</v>
      </c>
      <c r="X59" t="s">
        <v>256</v>
      </c>
      <c r="Y59" t="s">
        <v>238</v>
      </c>
      <c r="Z59" t="s">
        <v>239</v>
      </c>
      <c r="AA59" t="s">
        <v>256</v>
      </c>
      <c r="AB59" t="s">
        <v>1</v>
      </c>
      <c r="AC59" s="239">
        <f>'Basis Options'!H64</f>
        <v>300000</v>
      </c>
      <c r="AD59" s="239">
        <f>'Basis Options'!W64</f>
        <v>7875.4379215686931</v>
      </c>
      <c r="AE59">
        <v>0</v>
      </c>
      <c r="AF59">
        <v>0</v>
      </c>
      <c r="AG59">
        <v>0</v>
      </c>
      <c r="AH59" s="239">
        <f>'Basis Options'!BC64</f>
        <v>-1682.8521350805895</v>
      </c>
      <c r="AI59">
        <v>232</v>
      </c>
      <c r="AJ59" t="s">
        <v>259</v>
      </c>
      <c r="AK59">
        <v>0</v>
      </c>
      <c r="AL59">
        <v>0</v>
      </c>
      <c r="AM59">
        <v>0</v>
      </c>
    </row>
    <row r="60" spans="1:39" x14ac:dyDescent="0.25">
      <c r="A60" t="s">
        <v>236</v>
      </c>
      <c r="B60" t="str">
        <f>'Basis Options'!C65</f>
        <v>NE6161.1</v>
      </c>
      <c r="C60" t="s">
        <v>258</v>
      </c>
      <c r="D60" t="s">
        <v>237</v>
      </c>
      <c r="E60" t="s">
        <v>20</v>
      </c>
      <c r="F60" t="str">
        <f>'Basis Options'!A65</f>
        <v>JARON</v>
      </c>
      <c r="G60" t="s">
        <v>272</v>
      </c>
      <c r="H60" t="s">
        <v>257</v>
      </c>
      <c r="I60" t="s">
        <v>245</v>
      </c>
      <c r="J60" t="s">
        <v>238</v>
      </c>
      <c r="K60" s="393">
        <f>'Basis Options'!G65</f>
        <v>36800</v>
      </c>
      <c r="L60" s="239">
        <f>'Basis Options'!U65</f>
        <v>35057.412182691485</v>
      </c>
      <c r="M60" s="393">
        <f>'Basis Options'!Q65</f>
        <v>36797</v>
      </c>
      <c r="N60" t="str">
        <f>'Basis Options'!F65</f>
        <v>C</v>
      </c>
      <c r="O60">
        <f>'Basis Options'!I65</f>
        <v>-0.32</v>
      </c>
      <c r="P60">
        <v>0</v>
      </c>
      <c r="Q60">
        <v>0</v>
      </c>
      <c r="R60">
        <v>0</v>
      </c>
      <c r="S60">
        <v>0</v>
      </c>
      <c r="T60" t="s">
        <v>256</v>
      </c>
      <c r="U60" t="str">
        <f>IF('Basis Options'!D65="NGI/CHI. GATE","""NGI/CHI. GATE""",TRIM('Basis Options'!D65))</f>
        <v>IF-NWPL_ROCKY_M</v>
      </c>
      <c r="V60" t="s">
        <v>256</v>
      </c>
      <c r="W60" t="s">
        <v>135</v>
      </c>
      <c r="X60" t="s">
        <v>256</v>
      </c>
      <c r="Y60" t="s">
        <v>238</v>
      </c>
      <c r="Z60" t="s">
        <v>239</v>
      </c>
      <c r="AA60" t="s">
        <v>256</v>
      </c>
      <c r="AB60" t="s">
        <v>1</v>
      </c>
      <c r="AC60" s="239">
        <f>'Basis Options'!H65</f>
        <v>310000</v>
      </c>
      <c r="AD60" s="239">
        <f>'Basis Options'!W65</f>
        <v>8963.7020433463622</v>
      </c>
      <c r="AE60">
        <v>0</v>
      </c>
      <c r="AF60">
        <v>0</v>
      </c>
      <c r="AG60">
        <v>0</v>
      </c>
      <c r="AH60" s="239">
        <f>'Basis Options'!BC65</f>
        <v>-1868.9656467539462</v>
      </c>
      <c r="AI60">
        <v>232</v>
      </c>
      <c r="AJ60" t="s">
        <v>259</v>
      </c>
      <c r="AK60">
        <v>0</v>
      </c>
      <c r="AL60">
        <v>0</v>
      </c>
      <c r="AM60">
        <v>0</v>
      </c>
    </row>
    <row r="61" spans="1:39" x14ac:dyDescent="0.25">
      <c r="A61" t="s">
        <v>236</v>
      </c>
      <c r="B61" t="str">
        <f>'Basis Options'!C66</f>
        <v>NE6161.2</v>
      </c>
      <c r="C61" t="s">
        <v>258</v>
      </c>
      <c r="D61" t="s">
        <v>237</v>
      </c>
      <c r="E61" t="s">
        <v>20</v>
      </c>
      <c r="F61" t="str">
        <f>'Basis Options'!A66</f>
        <v>JARON</v>
      </c>
      <c r="G61" t="s">
        <v>272</v>
      </c>
      <c r="H61" t="s">
        <v>257</v>
      </c>
      <c r="I61" t="s">
        <v>245</v>
      </c>
      <c r="J61" t="s">
        <v>238</v>
      </c>
      <c r="K61" s="393">
        <f>'Basis Options'!G66</f>
        <v>36647</v>
      </c>
      <c r="L61" s="239">
        <f>'Basis Options'!U66</f>
        <v>12630.803779159141</v>
      </c>
      <c r="M61" s="393">
        <f>'Basis Options'!Q66</f>
        <v>36643</v>
      </c>
      <c r="N61" t="str">
        <f>'Basis Options'!F66</f>
        <v>P</v>
      </c>
      <c r="O61">
        <f>'Basis Options'!I66</f>
        <v>-0.32</v>
      </c>
      <c r="P61">
        <v>0</v>
      </c>
      <c r="Q61">
        <v>0</v>
      </c>
      <c r="R61">
        <v>0</v>
      </c>
      <c r="S61">
        <v>0</v>
      </c>
      <c r="T61" t="s">
        <v>256</v>
      </c>
      <c r="U61" t="str">
        <f>IF('Basis Options'!D66="NGI/CHI. GATE","""NGI/CHI. GATE""",TRIM('Basis Options'!D66))</f>
        <v>IF-NWPL_ROCKY_M</v>
      </c>
      <c r="V61" t="s">
        <v>256</v>
      </c>
      <c r="W61" t="s">
        <v>135</v>
      </c>
      <c r="X61" t="s">
        <v>256</v>
      </c>
      <c r="Y61" t="s">
        <v>238</v>
      </c>
      <c r="Z61" t="s">
        <v>239</v>
      </c>
      <c r="AA61" t="s">
        <v>256</v>
      </c>
      <c r="AB61" t="s">
        <v>1</v>
      </c>
      <c r="AC61" s="239">
        <f>'Basis Options'!H66</f>
        <v>310000</v>
      </c>
      <c r="AD61" s="239">
        <f>'Basis Options'!W66</f>
        <v>2101.8645803330292</v>
      </c>
      <c r="AE61">
        <v>0</v>
      </c>
      <c r="AF61">
        <v>0</v>
      </c>
      <c r="AG61">
        <v>0</v>
      </c>
      <c r="AH61" s="239">
        <f>'Basis Options'!BC66</f>
        <v>5708.9512272988941</v>
      </c>
      <c r="AI61">
        <v>232</v>
      </c>
      <c r="AJ61" t="s">
        <v>259</v>
      </c>
      <c r="AK61">
        <v>0</v>
      </c>
      <c r="AL61">
        <v>0</v>
      </c>
      <c r="AM61">
        <v>0</v>
      </c>
    </row>
    <row r="62" spans="1:39" x14ac:dyDescent="0.25">
      <c r="A62" t="s">
        <v>236</v>
      </c>
      <c r="B62" t="str">
        <f>'Basis Options'!C67</f>
        <v>NE6161.2</v>
      </c>
      <c r="C62" t="s">
        <v>258</v>
      </c>
      <c r="D62" t="s">
        <v>237</v>
      </c>
      <c r="E62" t="s">
        <v>20</v>
      </c>
      <c r="F62" t="str">
        <f>'Basis Options'!A67</f>
        <v>JARON</v>
      </c>
      <c r="G62" t="s">
        <v>272</v>
      </c>
      <c r="H62" t="s">
        <v>257</v>
      </c>
      <c r="I62" t="s">
        <v>245</v>
      </c>
      <c r="J62" t="s">
        <v>238</v>
      </c>
      <c r="K62" s="393">
        <f>'Basis Options'!G67</f>
        <v>36678</v>
      </c>
      <c r="L62" s="239">
        <f>'Basis Options'!U67</f>
        <v>17525.460452064905</v>
      </c>
      <c r="M62" s="393">
        <f>'Basis Options'!Q67</f>
        <v>36676</v>
      </c>
      <c r="N62" t="str">
        <f>'Basis Options'!F67</f>
        <v>P</v>
      </c>
      <c r="O62">
        <f>'Basis Options'!I67</f>
        <v>-0.32</v>
      </c>
      <c r="P62">
        <v>0</v>
      </c>
      <c r="Q62">
        <v>0</v>
      </c>
      <c r="R62">
        <v>0</v>
      </c>
      <c r="S62">
        <v>0</v>
      </c>
      <c r="T62" t="s">
        <v>256</v>
      </c>
      <c r="U62" t="str">
        <f>IF('Basis Options'!D67="NGI/CHI. GATE","""NGI/CHI. GATE""",TRIM('Basis Options'!D67))</f>
        <v>IF-NWPL_ROCKY_M</v>
      </c>
      <c r="V62" t="s">
        <v>256</v>
      </c>
      <c r="W62" t="s">
        <v>135</v>
      </c>
      <c r="X62" t="s">
        <v>256</v>
      </c>
      <c r="Y62" t="s">
        <v>238</v>
      </c>
      <c r="Z62" t="s">
        <v>239</v>
      </c>
      <c r="AA62" t="s">
        <v>256</v>
      </c>
      <c r="AB62" t="s">
        <v>1</v>
      </c>
      <c r="AC62" s="239">
        <f>'Basis Options'!H67</f>
        <v>300000</v>
      </c>
      <c r="AD62" s="239">
        <f>'Basis Options'!W67</f>
        <v>4053.5356630736205</v>
      </c>
      <c r="AE62">
        <v>0</v>
      </c>
      <c r="AF62">
        <v>0</v>
      </c>
      <c r="AG62">
        <v>0</v>
      </c>
      <c r="AH62" s="239">
        <f>'Basis Options'!BC67</f>
        <v>4204.1536755217967</v>
      </c>
      <c r="AI62">
        <v>232</v>
      </c>
      <c r="AJ62" t="s">
        <v>259</v>
      </c>
      <c r="AK62">
        <v>0</v>
      </c>
      <c r="AL62">
        <v>0</v>
      </c>
      <c r="AM62">
        <v>0</v>
      </c>
    </row>
    <row r="63" spans="1:39" x14ac:dyDescent="0.25">
      <c r="A63" t="s">
        <v>236</v>
      </c>
      <c r="B63" t="str">
        <f>'Basis Options'!C68</f>
        <v>NE6161.2</v>
      </c>
      <c r="C63" t="s">
        <v>258</v>
      </c>
      <c r="D63" t="s">
        <v>237</v>
      </c>
      <c r="E63" t="s">
        <v>20</v>
      </c>
      <c r="F63" t="str">
        <f>'Basis Options'!A68</f>
        <v>JARON</v>
      </c>
      <c r="G63" t="s">
        <v>272</v>
      </c>
      <c r="H63" t="s">
        <v>257</v>
      </c>
      <c r="I63" t="s">
        <v>245</v>
      </c>
      <c r="J63" t="s">
        <v>238</v>
      </c>
      <c r="K63" s="393">
        <f>'Basis Options'!G68</f>
        <v>36708</v>
      </c>
      <c r="L63" s="239">
        <f>'Basis Options'!U68</f>
        <v>20339.263828505067</v>
      </c>
      <c r="M63" s="393">
        <f>'Basis Options'!Q68</f>
        <v>36706</v>
      </c>
      <c r="N63" t="str">
        <f>'Basis Options'!F68</f>
        <v>P</v>
      </c>
      <c r="O63">
        <f>'Basis Options'!I68</f>
        <v>-0.32</v>
      </c>
      <c r="P63">
        <v>0</v>
      </c>
      <c r="Q63">
        <v>0</v>
      </c>
      <c r="R63">
        <v>0</v>
      </c>
      <c r="S63">
        <v>0</v>
      </c>
      <c r="T63" t="s">
        <v>256</v>
      </c>
      <c r="U63" t="str">
        <f>IF('Basis Options'!D68="NGI/CHI. GATE","""NGI/CHI. GATE""",TRIM('Basis Options'!D68))</f>
        <v>IF-NWPL_ROCKY_M</v>
      </c>
      <c r="V63" t="s">
        <v>256</v>
      </c>
      <c r="W63" t="s">
        <v>135</v>
      </c>
      <c r="X63" t="s">
        <v>256</v>
      </c>
      <c r="Y63" t="s">
        <v>238</v>
      </c>
      <c r="Z63" t="s">
        <v>239</v>
      </c>
      <c r="AA63" t="s">
        <v>256</v>
      </c>
      <c r="AB63" t="s">
        <v>1</v>
      </c>
      <c r="AC63" s="239">
        <f>'Basis Options'!H68</f>
        <v>310000</v>
      </c>
      <c r="AD63" s="239">
        <f>'Basis Options'!W68</f>
        <v>5693.890652442642</v>
      </c>
      <c r="AE63">
        <v>0</v>
      </c>
      <c r="AF63">
        <v>0</v>
      </c>
      <c r="AG63">
        <v>0</v>
      </c>
      <c r="AH63" s="239">
        <f>'Basis Options'!BC68</f>
        <v>2649.4990802306384</v>
      </c>
      <c r="AI63">
        <v>232</v>
      </c>
      <c r="AJ63" t="s">
        <v>259</v>
      </c>
      <c r="AK63">
        <v>0</v>
      </c>
      <c r="AL63">
        <v>0</v>
      </c>
      <c r="AM63">
        <v>0</v>
      </c>
    </row>
    <row r="64" spans="1:39" x14ac:dyDescent="0.25">
      <c r="A64" t="s">
        <v>236</v>
      </c>
      <c r="B64" t="str">
        <f>'Basis Options'!C69</f>
        <v>NE6161.2</v>
      </c>
      <c r="C64" t="s">
        <v>258</v>
      </c>
      <c r="D64" t="s">
        <v>237</v>
      </c>
      <c r="E64" t="s">
        <v>20</v>
      </c>
      <c r="F64" t="str">
        <f>'Basis Options'!A69</f>
        <v>JARON</v>
      </c>
      <c r="G64" t="s">
        <v>272</v>
      </c>
      <c r="H64" t="s">
        <v>257</v>
      </c>
      <c r="I64" t="s">
        <v>245</v>
      </c>
      <c r="J64" t="s">
        <v>238</v>
      </c>
      <c r="K64" s="393">
        <f>'Basis Options'!G69</f>
        <v>36739</v>
      </c>
      <c r="L64" s="239">
        <f>'Basis Options'!U69</f>
        <v>24911.231442605535</v>
      </c>
      <c r="M64" s="393">
        <f>'Basis Options'!Q69</f>
        <v>36735</v>
      </c>
      <c r="N64" t="str">
        <f>'Basis Options'!F69</f>
        <v>P</v>
      </c>
      <c r="O64">
        <f>'Basis Options'!I69</f>
        <v>-0.32</v>
      </c>
      <c r="P64">
        <v>0</v>
      </c>
      <c r="Q64">
        <v>0</v>
      </c>
      <c r="R64">
        <v>0</v>
      </c>
      <c r="S64">
        <v>0</v>
      </c>
      <c r="T64" t="s">
        <v>256</v>
      </c>
      <c r="U64" t="str">
        <f>IF('Basis Options'!D69="NGI/CHI. GATE","""NGI/CHI. GATE""",TRIM('Basis Options'!D69))</f>
        <v>IF-NWPL_ROCKY_M</v>
      </c>
      <c r="V64" t="s">
        <v>256</v>
      </c>
      <c r="W64" t="s">
        <v>135</v>
      </c>
      <c r="X64" t="s">
        <v>256</v>
      </c>
      <c r="Y64" t="s">
        <v>238</v>
      </c>
      <c r="Z64" t="s">
        <v>239</v>
      </c>
      <c r="AA64" t="s">
        <v>256</v>
      </c>
      <c r="AB64" t="s">
        <v>1</v>
      </c>
      <c r="AC64" s="239">
        <f>'Basis Options'!H69</f>
        <v>310000</v>
      </c>
      <c r="AD64" s="239">
        <f>'Basis Options'!W69</f>
        <v>6992.1123924718122</v>
      </c>
      <c r="AE64">
        <v>0</v>
      </c>
      <c r="AF64">
        <v>0</v>
      </c>
      <c r="AG64">
        <v>0</v>
      </c>
      <c r="AH64" s="239">
        <f>'Basis Options'!BC69</f>
        <v>2733.3392170874176</v>
      </c>
      <c r="AI64">
        <v>232</v>
      </c>
      <c r="AJ64" t="s">
        <v>259</v>
      </c>
      <c r="AK64">
        <v>0</v>
      </c>
      <c r="AL64">
        <v>0</v>
      </c>
      <c r="AM64">
        <v>0</v>
      </c>
    </row>
    <row r="65" spans="1:39" x14ac:dyDescent="0.25">
      <c r="A65" t="s">
        <v>236</v>
      </c>
      <c r="B65" t="str">
        <f>'Basis Options'!C70</f>
        <v>NE6161.2</v>
      </c>
      <c r="C65" t="s">
        <v>258</v>
      </c>
      <c r="D65" t="s">
        <v>237</v>
      </c>
      <c r="E65" t="s">
        <v>20</v>
      </c>
      <c r="F65" t="str">
        <f>'Basis Options'!A70</f>
        <v>JARON</v>
      </c>
      <c r="G65" t="s">
        <v>272</v>
      </c>
      <c r="H65" t="s">
        <v>257</v>
      </c>
      <c r="I65" t="s">
        <v>245</v>
      </c>
      <c r="J65" t="s">
        <v>238</v>
      </c>
      <c r="K65" s="393">
        <f>'Basis Options'!G70</f>
        <v>36770</v>
      </c>
      <c r="L65" s="239">
        <f>'Basis Options'!U70</f>
        <v>27896.148057721628</v>
      </c>
      <c r="M65" s="393">
        <f>'Basis Options'!Q70</f>
        <v>36768</v>
      </c>
      <c r="N65" t="str">
        <f>'Basis Options'!F70</f>
        <v>P</v>
      </c>
      <c r="O65">
        <f>'Basis Options'!I70</f>
        <v>-0.32</v>
      </c>
      <c r="P65">
        <v>0</v>
      </c>
      <c r="Q65">
        <v>0</v>
      </c>
      <c r="R65">
        <v>0</v>
      </c>
      <c r="S65">
        <v>0</v>
      </c>
      <c r="T65" t="s">
        <v>256</v>
      </c>
      <c r="U65" t="str">
        <f>IF('Basis Options'!D70="NGI/CHI. GATE","""NGI/CHI. GATE""",TRIM('Basis Options'!D70))</f>
        <v>IF-NWPL_ROCKY_M</v>
      </c>
      <c r="V65" t="s">
        <v>256</v>
      </c>
      <c r="W65" t="s">
        <v>135</v>
      </c>
      <c r="X65" t="s">
        <v>256</v>
      </c>
      <c r="Y65" t="s">
        <v>238</v>
      </c>
      <c r="Z65" t="s">
        <v>239</v>
      </c>
      <c r="AA65" t="s">
        <v>256</v>
      </c>
      <c r="AB65" t="s">
        <v>1</v>
      </c>
      <c r="AC65" s="239">
        <f>'Basis Options'!H70</f>
        <v>300000</v>
      </c>
      <c r="AD65" s="239">
        <f>'Basis Options'!W70</f>
        <v>7875.437921568664</v>
      </c>
      <c r="AE65">
        <v>0</v>
      </c>
      <c r="AF65">
        <v>0</v>
      </c>
      <c r="AG65">
        <v>0</v>
      </c>
      <c r="AH65" s="239">
        <f>'Basis Options'!BC70</f>
        <v>2707.6065293152387</v>
      </c>
      <c r="AI65">
        <v>232</v>
      </c>
      <c r="AJ65" t="s">
        <v>259</v>
      </c>
      <c r="AK65">
        <v>0</v>
      </c>
      <c r="AL65">
        <v>0</v>
      </c>
      <c r="AM65">
        <v>0</v>
      </c>
    </row>
    <row r="66" spans="1:39" x14ac:dyDescent="0.25">
      <c r="A66" t="s">
        <v>236</v>
      </c>
      <c r="B66" t="str">
        <f>'Basis Options'!C71</f>
        <v>NE6161.2</v>
      </c>
      <c r="C66" t="s">
        <v>258</v>
      </c>
      <c r="D66" t="s">
        <v>237</v>
      </c>
      <c r="E66" t="s">
        <v>20</v>
      </c>
      <c r="F66" t="str">
        <f>'Basis Options'!A71</f>
        <v>JARON</v>
      </c>
      <c r="G66" t="s">
        <v>272</v>
      </c>
      <c r="H66" t="s">
        <v>257</v>
      </c>
      <c r="I66" t="s">
        <v>245</v>
      </c>
      <c r="J66" t="s">
        <v>238</v>
      </c>
      <c r="K66" s="393">
        <f>'Basis Options'!G71</f>
        <v>36800</v>
      </c>
      <c r="L66" s="239">
        <f>'Basis Options'!U71</f>
        <v>28285.526692763335</v>
      </c>
      <c r="M66" s="393">
        <f>'Basis Options'!Q71</f>
        <v>36797</v>
      </c>
      <c r="N66" t="str">
        <f>'Basis Options'!F71</f>
        <v>P</v>
      </c>
      <c r="O66">
        <f>'Basis Options'!I71</f>
        <v>-0.32</v>
      </c>
      <c r="P66">
        <v>0</v>
      </c>
      <c r="Q66">
        <v>0</v>
      </c>
      <c r="R66">
        <v>0</v>
      </c>
      <c r="S66">
        <v>0</v>
      </c>
      <c r="T66" t="s">
        <v>256</v>
      </c>
      <c r="U66" t="str">
        <f>IF('Basis Options'!D71="NGI/CHI. GATE","""NGI/CHI. GATE""",TRIM('Basis Options'!D71))</f>
        <v>IF-NWPL_ROCKY_M</v>
      </c>
      <c r="V66" t="s">
        <v>256</v>
      </c>
      <c r="W66" t="s">
        <v>135</v>
      </c>
      <c r="X66" t="s">
        <v>256</v>
      </c>
      <c r="Y66" t="s">
        <v>238</v>
      </c>
      <c r="Z66" t="s">
        <v>239</v>
      </c>
      <c r="AA66" t="s">
        <v>256</v>
      </c>
      <c r="AB66" t="s">
        <v>1</v>
      </c>
      <c r="AC66" s="239">
        <f>'Basis Options'!H71</f>
        <v>310000</v>
      </c>
      <c r="AD66" s="239">
        <f>'Basis Options'!W71</f>
        <v>8963.7020433463331</v>
      </c>
      <c r="AE66">
        <v>0</v>
      </c>
      <c r="AF66">
        <v>0</v>
      </c>
      <c r="AG66">
        <v>0</v>
      </c>
      <c r="AH66" s="239">
        <f>'Basis Options'!BC71</f>
        <v>2643.1102310425194</v>
      </c>
      <c r="AI66">
        <v>232</v>
      </c>
      <c r="AJ66" t="s">
        <v>259</v>
      </c>
      <c r="AK66">
        <v>0</v>
      </c>
      <c r="AL66">
        <v>0</v>
      </c>
      <c r="AM66">
        <v>0</v>
      </c>
    </row>
    <row r="67" spans="1:39" x14ac:dyDescent="0.25">
      <c r="A67" t="s">
        <v>236</v>
      </c>
      <c r="B67" t="str">
        <f>'Basis Options'!C72</f>
        <v>NE6195</v>
      </c>
      <c r="C67" t="s">
        <v>258</v>
      </c>
      <c r="D67" t="s">
        <v>237</v>
      </c>
      <c r="E67" t="s">
        <v>20</v>
      </c>
      <c r="F67" t="str">
        <f>'Basis Options'!A72</f>
        <v>JARON</v>
      </c>
      <c r="G67" t="s">
        <v>272</v>
      </c>
      <c r="H67" t="s">
        <v>257</v>
      </c>
      <c r="I67" t="s">
        <v>245</v>
      </c>
      <c r="J67" t="s">
        <v>238</v>
      </c>
      <c r="K67" s="393">
        <f>'Basis Options'!G72</f>
        <v>36647</v>
      </c>
      <c r="L67" s="239">
        <f>'Basis Options'!U72</f>
        <v>2582.8724904280734</v>
      </c>
      <c r="M67" s="393">
        <f>'Basis Options'!Q72</f>
        <v>36643</v>
      </c>
      <c r="N67" t="str">
        <f>'Basis Options'!F72</f>
        <v>P</v>
      </c>
      <c r="O67">
        <f>'Basis Options'!I72</f>
        <v>-0.4</v>
      </c>
      <c r="P67">
        <v>0</v>
      </c>
      <c r="Q67">
        <v>0</v>
      </c>
      <c r="R67">
        <v>0</v>
      </c>
      <c r="S67">
        <v>0</v>
      </c>
      <c r="T67" t="s">
        <v>256</v>
      </c>
      <c r="U67" t="str">
        <f>IF('Basis Options'!D72="NGI/CHI. GATE","""NGI/CHI. GATE""",TRIM('Basis Options'!D72))</f>
        <v>IF-NWPL_ROCKY_M</v>
      </c>
      <c r="V67" t="s">
        <v>256</v>
      </c>
      <c r="W67" t="s">
        <v>135</v>
      </c>
      <c r="X67" t="s">
        <v>256</v>
      </c>
      <c r="Y67" t="s">
        <v>238</v>
      </c>
      <c r="Z67" t="s">
        <v>239</v>
      </c>
      <c r="AA67" t="s">
        <v>256</v>
      </c>
      <c r="AB67" t="s">
        <v>1</v>
      </c>
      <c r="AC67" s="239">
        <f>'Basis Options'!H72</f>
        <v>310000</v>
      </c>
      <c r="AD67" s="239">
        <f>'Basis Options'!W72</f>
        <v>1622.6848005001011</v>
      </c>
      <c r="AE67">
        <v>0</v>
      </c>
      <c r="AF67">
        <v>0</v>
      </c>
      <c r="AG67">
        <v>0</v>
      </c>
      <c r="AH67" s="239">
        <f>'Basis Options'!BC72</f>
        <v>1571.8976074713705</v>
      </c>
      <c r="AI67">
        <v>232</v>
      </c>
      <c r="AJ67" t="s">
        <v>259</v>
      </c>
      <c r="AK67">
        <v>0</v>
      </c>
      <c r="AL67">
        <v>0</v>
      </c>
      <c r="AM67">
        <v>0</v>
      </c>
    </row>
    <row r="68" spans="1:39" x14ac:dyDescent="0.25">
      <c r="A68" t="s">
        <v>236</v>
      </c>
      <c r="B68" t="str">
        <f>'Basis Options'!C73</f>
        <v>NE6195</v>
      </c>
      <c r="C68" t="s">
        <v>258</v>
      </c>
      <c r="D68" t="s">
        <v>237</v>
      </c>
      <c r="E68" t="s">
        <v>20</v>
      </c>
      <c r="F68" t="str">
        <f>'Basis Options'!A73</f>
        <v>JARON</v>
      </c>
      <c r="G68" t="s">
        <v>272</v>
      </c>
      <c r="H68" t="s">
        <v>257</v>
      </c>
      <c r="I68" t="s">
        <v>245</v>
      </c>
      <c r="J68" t="s">
        <v>238</v>
      </c>
      <c r="K68" s="393">
        <f>'Basis Options'!G73</f>
        <v>36678</v>
      </c>
      <c r="L68" s="239">
        <f>'Basis Options'!U73</f>
        <v>7589.8667157806794</v>
      </c>
      <c r="M68" s="393">
        <f>'Basis Options'!Q73</f>
        <v>36676</v>
      </c>
      <c r="N68" t="str">
        <f>'Basis Options'!F73</f>
        <v>P</v>
      </c>
      <c r="O68">
        <f>'Basis Options'!I73</f>
        <v>-0.4</v>
      </c>
      <c r="P68">
        <v>0</v>
      </c>
      <c r="Q68">
        <v>0</v>
      </c>
      <c r="R68">
        <v>0</v>
      </c>
      <c r="S68">
        <v>0</v>
      </c>
      <c r="T68" t="s">
        <v>256</v>
      </c>
      <c r="U68" t="str">
        <f>IF('Basis Options'!D73="NGI/CHI. GATE","""NGI/CHI. GATE""",TRIM('Basis Options'!D73))</f>
        <v>IF-NWPL_ROCKY_M</v>
      </c>
      <c r="V68" t="s">
        <v>256</v>
      </c>
      <c r="W68" t="s">
        <v>135</v>
      </c>
      <c r="X68" t="s">
        <v>256</v>
      </c>
      <c r="Y68" t="s">
        <v>238</v>
      </c>
      <c r="Z68" t="s">
        <v>239</v>
      </c>
      <c r="AA68" t="s">
        <v>256</v>
      </c>
      <c r="AB68" t="s">
        <v>1</v>
      </c>
      <c r="AC68" s="239">
        <f>'Basis Options'!H73</f>
        <v>300000</v>
      </c>
      <c r="AD68" s="239">
        <f>'Basis Options'!W73</f>
        <v>3583.7707281594485</v>
      </c>
      <c r="AE68">
        <v>0</v>
      </c>
      <c r="AF68">
        <v>0</v>
      </c>
      <c r="AG68">
        <v>0</v>
      </c>
      <c r="AH68" s="239">
        <f>'Basis Options'!BC73</f>
        <v>2342.5724319391638</v>
      </c>
      <c r="AI68">
        <v>232</v>
      </c>
      <c r="AJ68" t="s">
        <v>259</v>
      </c>
      <c r="AK68">
        <v>0</v>
      </c>
      <c r="AL68">
        <v>0</v>
      </c>
      <c r="AM68">
        <v>0</v>
      </c>
    </row>
    <row r="69" spans="1:39" x14ac:dyDescent="0.25">
      <c r="A69" t="s">
        <v>236</v>
      </c>
      <c r="B69" t="str">
        <f>'Basis Options'!C74</f>
        <v>NE6195</v>
      </c>
      <c r="C69" t="s">
        <v>258</v>
      </c>
      <c r="D69" t="s">
        <v>237</v>
      </c>
      <c r="E69" t="s">
        <v>20</v>
      </c>
      <c r="F69" t="str">
        <f>'Basis Options'!A74</f>
        <v>JARON</v>
      </c>
      <c r="G69" t="s">
        <v>272</v>
      </c>
      <c r="H69" t="s">
        <v>257</v>
      </c>
      <c r="I69" t="s">
        <v>245</v>
      </c>
      <c r="J69" t="s">
        <v>238</v>
      </c>
      <c r="K69" s="393">
        <f>'Basis Options'!G74</f>
        <v>36708</v>
      </c>
      <c r="L69" s="239">
        <f>'Basis Options'!U74</f>
        <v>10903.339641190763</v>
      </c>
      <c r="M69" s="393">
        <f>'Basis Options'!Q74</f>
        <v>36706</v>
      </c>
      <c r="N69" t="str">
        <f>'Basis Options'!F74</f>
        <v>P</v>
      </c>
      <c r="O69">
        <f>'Basis Options'!I74</f>
        <v>-0.4</v>
      </c>
      <c r="P69">
        <v>0</v>
      </c>
      <c r="Q69">
        <v>0</v>
      </c>
      <c r="R69">
        <v>0</v>
      </c>
      <c r="S69">
        <v>0</v>
      </c>
      <c r="T69" t="s">
        <v>256</v>
      </c>
      <c r="U69" t="str">
        <f>IF('Basis Options'!D74="NGI/CHI. GATE","""NGI/CHI. GATE""",TRIM('Basis Options'!D74))</f>
        <v>IF-NWPL_ROCKY_M</v>
      </c>
      <c r="V69" t="s">
        <v>256</v>
      </c>
      <c r="W69" t="s">
        <v>135</v>
      </c>
      <c r="X69" t="s">
        <v>256</v>
      </c>
      <c r="Y69" t="s">
        <v>238</v>
      </c>
      <c r="Z69" t="s">
        <v>239</v>
      </c>
      <c r="AA69" t="s">
        <v>256</v>
      </c>
      <c r="AB69" t="s">
        <v>1</v>
      </c>
      <c r="AC69" s="239">
        <f>'Basis Options'!H74</f>
        <v>310000</v>
      </c>
      <c r="AD69" s="239">
        <f>'Basis Options'!W74</f>
        <v>5021.3527796696289</v>
      </c>
      <c r="AE69">
        <v>0</v>
      </c>
      <c r="AF69">
        <v>0</v>
      </c>
      <c r="AG69">
        <v>0</v>
      </c>
      <c r="AH69" s="239">
        <f>'Basis Options'!BC74</f>
        <v>1757.7186014703129</v>
      </c>
      <c r="AI69">
        <v>232</v>
      </c>
      <c r="AJ69" t="s">
        <v>259</v>
      </c>
      <c r="AK69">
        <v>0</v>
      </c>
      <c r="AL69">
        <v>0</v>
      </c>
      <c r="AM69">
        <v>0</v>
      </c>
    </row>
    <row r="70" spans="1:39" x14ac:dyDescent="0.25">
      <c r="A70" t="s">
        <v>236</v>
      </c>
      <c r="B70" t="str">
        <f>'Basis Options'!C75</f>
        <v>NE6195</v>
      </c>
      <c r="C70" t="s">
        <v>258</v>
      </c>
      <c r="D70" t="s">
        <v>237</v>
      </c>
      <c r="E70" t="s">
        <v>20</v>
      </c>
      <c r="F70" t="str">
        <f>'Basis Options'!A75</f>
        <v>JARON</v>
      </c>
      <c r="G70" t="s">
        <v>272</v>
      </c>
      <c r="H70" t="s">
        <v>257</v>
      </c>
      <c r="I70" t="s">
        <v>245</v>
      </c>
      <c r="J70" t="s">
        <v>238</v>
      </c>
      <c r="K70" s="393">
        <f>'Basis Options'!G75</f>
        <v>36739</v>
      </c>
      <c r="L70" s="239">
        <f>'Basis Options'!U75</f>
        <v>15290.497601126315</v>
      </c>
      <c r="M70" s="393">
        <f>'Basis Options'!Q75</f>
        <v>36735</v>
      </c>
      <c r="N70" t="str">
        <f>'Basis Options'!F75</f>
        <v>P</v>
      </c>
      <c r="O70">
        <f>'Basis Options'!I75</f>
        <v>-0.4</v>
      </c>
      <c r="P70">
        <v>0</v>
      </c>
      <c r="Q70">
        <v>0</v>
      </c>
      <c r="R70">
        <v>0</v>
      </c>
      <c r="S70">
        <v>0</v>
      </c>
      <c r="T70" t="s">
        <v>256</v>
      </c>
      <c r="U70" t="str">
        <f>IF('Basis Options'!D75="NGI/CHI. GATE","""NGI/CHI. GATE""",TRIM('Basis Options'!D75))</f>
        <v>IF-NWPL_ROCKY_M</v>
      </c>
      <c r="V70" t="s">
        <v>256</v>
      </c>
      <c r="W70" t="s">
        <v>135</v>
      </c>
      <c r="X70" t="s">
        <v>256</v>
      </c>
      <c r="Y70" t="s">
        <v>238</v>
      </c>
      <c r="Z70" t="s">
        <v>239</v>
      </c>
      <c r="AA70" t="s">
        <v>256</v>
      </c>
      <c r="AB70" t="s">
        <v>1</v>
      </c>
      <c r="AC70" s="239">
        <f>'Basis Options'!H75</f>
        <v>310000</v>
      </c>
      <c r="AD70" s="239">
        <f>'Basis Options'!W75</f>
        <v>6395.5434324978123</v>
      </c>
      <c r="AE70">
        <v>0</v>
      </c>
      <c r="AF70">
        <v>0</v>
      </c>
      <c r="AG70">
        <v>0</v>
      </c>
      <c r="AH70" s="239">
        <f>'Basis Options'!BC75</f>
        <v>2000.3466740466338</v>
      </c>
      <c r="AI70">
        <v>232</v>
      </c>
      <c r="AJ70" t="s">
        <v>259</v>
      </c>
      <c r="AK70">
        <v>0</v>
      </c>
      <c r="AL70">
        <v>0</v>
      </c>
      <c r="AM70">
        <v>0</v>
      </c>
    </row>
    <row r="71" spans="1:39" x14ac:dyDescent="0.25">
      <c r="A71" t="s">
        <v>236</v>
      </c>
      <c r="B71" t="str">
        <f>'Basis Options'!C76</f>
        <v>NE6195</v>
      </c>
      <c r="C71" t="s">
        <v>258</v>
      </c>
      <c r="D71" t="s">
        <v>237</v>
      </c>
      <c r="E71" t="s">
        <v>20</v>
      </c>
      <c r="F71" t="str">
        <f>'Basis Options'!A76</f>
        <v>JARON</v>
      </c>
      <c r="G71" t="s">
        <v>272</v>
      </c>
      <c r="H71" t="s">
        <v>257</v>
      </c>
      <c r="I71" t="s">
        <v>245</v>
      </c>
      <c r="J71" t="s">
        <v>238</v>
      </c>
      <c r="K71" s="393">
        <f>'Basis Options'!G76</f>
        <v>36770</v>
      </c>
      <c r="L71" s="239">
        <f>'Basis Options'!U76</f>
        <v>18541.945465821911</v>
      </c>
      <c r="M71" s="393">
        <f>'Basis Options'!Q76</f>
        <v>36768</v>
      </c>
      <c r="N71" t="str">
        <f>'Basis Options'!F76</f>
        <v>P</v>
      </c>
      <c r="O71">
        <f>'Basis Options'!I76</f>
        <v>-0.4</v>
      </c>
      <c r="P71">
        <v>0</v>
      </c>
      <c r="Q71">
        <v>0</v>
      </c>
      <c r="R71">
        <v>0</v>
      </c>
      <c r="S71">
        <v>0</v>
      </c>
      <c r="T71" t="s">
        <v>256</v>
      </c>
      <c r="U71" t="str">
        <f>IF('Basis Options'!D76="NGI/CHI. GATE","""NGI/CHI. GATE""",TRIM('Basis Options'!D76))</f>
        <v>IF-NWPL_ROCKY_M</v>
      </c>
      <c r="V71" t="s">
        <v>256</v>
      </c>
      <c r="W71" t="s">
        <v>135</v>
      </c>
      <c r="X71" t="s">
        <v>256</v>
      </c>
      <c r="Y71" t="s">
        <v>238</v>
      </c>
      <c r="Z71" t="s">
        <v>239</v>
      </c>
      <c r="AA71" t="s">
        <v>256</v>
      </c>
      <c r="AB71" t="s">
        <v>1</v>
      </c>
      <c r="AC71" s="239">
        <f>'Basis Options'!H76</f>
        <v>300000</v>
      </c>
      <c r="AD71" s="239">
        <f>'Basis Options'!W76</f>
        <v>7335.2158835996815</v>
      </c>
      <c r="AE71">
        <v>0</v>
      </c>
      <c r="AF71">
        <v>0</v>
      </c>
      <c r="AG71">
        <v>0</v>
      </c>
      <c r="AH71" s="239">
        <f>'Basis Options'!BC76</f>
        <v>2095.8977933943443</v>
      </c>
      <c r="AI71">
        <v>232</v>
      </c>
      <c r="AJ71" t="s">
        <v>259</v>
      </c>
      <c r="AK71">
        <v>0</v>
      </c>
      <c r="AL71">
        <v>0</v>
      </c>
      <c r="AM71">
        <v>0</v>
      </c>
    </row>
    <row r="72" spans="1:39" x14ac:dyDescent="0.25">
      <c r="A72" t="s">
        <v>236</v>
      </c>
      <c r="B72" t="str">
        <f>'Basis Options'!C77</f>
        <v>NE6195</v>
      </c>
      <c r="C72" t="s">
        <v>258</v>
      </c>
      <c r="D72" t="s">
        <v>237</v>
      </c>
      <c r="E72" t="s">
        <v>20</v>
      </c>
      <c r="F72" t="str">
        <f>'Basis Options'!A77</f>
        <v>JARON</v>
      </c>
      <c r="G72" t="s">
        <v>272</v>
      </c>
      <c r="H72" t="s">
        <v>257</v>
      </c>
      <c r="I72" t="s">
        <v>245</v>
      </c>
      <c r="J72" t="s">
        <v>238</v>
      </c>
      <c r="K72" s="393">
        <f>'Basis Options'!G77</f>
        <v>36800</v>
      </c>
      <c r="L72" s="239">
        <f>'Basis Options'!U77</f>
        <v>19480.425387202598</v>
      </c>
      <c r="M72" s="393">
        <f>'Basis Options'!Q77</f>
        <v>36797</v>
      </c>
      <c r="N72" t="str">
        <f>'Basis Options'!F77</f>
        <v>P</v>
      </c>
      <c r="O72">
        <f>'Basis Options'!I77</f>
        <v>-0.4</v>
      </c>
      <c r="P72">
        <v>0</v>
      </c>
      <c r="Q72">
        <v>0</v>
      </c>
      <c r="R72">
        <v>0</v>
      </c>
      <c r="S72">
        <v>0</v>
      </c>
      <c r="T72" t="s">
        <v>256</v>
      </c>
      <c r="U72" t="str">
        <f>IF('Basis Options'!D77="NGI/CHI. GATE","""NGI/CHI. GATE""",TRIM('Basis Options'!D77))</f>
        <v>IF-NWPL_ROCKY_M</v>
      </c>
      <c r="V72" t="s">
        <v>256</v>
      </c>
      <c r="W72" t="s">
        <v>135</v>
      </c>
      <c r="X72" t="s">
        <v>256</v>
      </c>
      <c r="Y72" t="s">
        <v>238</v>
      </c>
      <c r="Z72" t="s">
        <v>239</v>
      </c>
      <c r="AA72" t="s">
        <v>256</v>
      </c>
      <c r="AB72" t="s">
        <v>1</v>
      </c>
      <c r="AC72" s="239">
        <f>'Basis Options'!H77</f>
        <v>310000</v>
      </c>
      <c r="AD72" s="239">
        <f>'Basis Options'!W77</f>
        <v>8218.2447165442427</v>
      </c>
      <c r="AE72">
        <v>0</v>
      </c>
      <c r="AF72">
        <v>0</v>
      </c>
      <c r="AG72">
        <v>0</v>
      </c>
      <c r="AH72" s="239">
        <f>'Basis Options'!BC77</f>
        <v>2078.4790587148673</v>
      </c>
      <c r="AI72">
        <v>232</v>
      </c>
      <c r="AJ72" t="s">
        <v>259</v>
      </c>
      <c r="AK72">
        <v>0</v>
      </c>
      <c r="AL72">
        <v>0</v>
      </c>
      <c r="AM72">
        <v>0</v>
      </c>
    </row>
    <row r="73" spans="1:39" x14ac:dyDescent="0.25">
      <c r="A73" t="s">
        <v>236</v>
      </c>
      <c r="B73" t="str">
        <f>'Basis Options'!C78</f>
        <v>NE6212</v>
      </c>
      <c r="C73" t="s">
        <v>258</v>
      </c>
      <c r="D73" t="s">
        <v>237</v>
      </c>
      <c r="E73" t="s">
        <v>20</v>
      </c>
      <c r="F73" t="str">
        <f>'Basis Options'!A78</f>
        <v>RELIANTENESER</v>
      </c>
      <c r="G73" t="s">
        <v>272</v>
      </c>
      <c r="H73" t="s">
        <v>257</v>
      </c>
      <c r="I73" t="s">
        <v>245</v>
      </c>
      <c r="J73" t="s">
        <v>238</v>
      </c>
      <c r="K73" s="393">
        <f>'Basis Options'!G78</f>
        <v>36647</v>
      </c>
      <c r="L73" s="239">
        <f>'Basis Options'!U78</f>
        <v>601.99767443035682</v>
      </c>
      <c r="M73" s="393">
        <f>'Basis Options'!Q78</f>
        <v>36643</v>
      </c>
      <c r="N73" t="str">
        <f>'Basis Options'!F78</f>
        <v>C</v>
      </c>
      <c r="O73">
        <f>'Basis Options'!I78</f>
        <v>-0.25</v>
      </c>
      <c r="P73">
        <v>0</v>
      </c>
      <c r="Q73">
        <v>0</v>
      </c>
      <c r="R73">
        <v>0</v>
      </c>
      <c r="S73">
        <v>0</v>
      </c>
      <c r="T73" t="s">
        <v>256</v>
      </c>
      <c r="U73" t="str">
        <f>IF('Basis Options'!D78="NGI/CHI. GATE","""NGI/CHI. GATE""",TRIM('Basis Options'!D78))</f>
        <v>IF-NWPL_ROCKY_M</v>
      </c>
      <c r="V73" t="s">
        <v>256</v>
      </c>
      <c r="W73" t="s">
        <v>135</v>
      </c>
      <c r="X73" t="s">
        <v>256</v>
      </c>
      <c r="Y73" t="s">
        <v>238</v>
      </c>
      <c r="Z73" t="s">
        <v>239</v>
      </c>
      <c r="AA73" t="s">
        <v>256</v>
      </c>
      <c r="AB73" t="s">
        <v>1</v>
      </c>
      <c r="AC73" s="239">
        <f>'Basis Options'!H78</f>
        <v>310000</v>
      </c>
      <c r="AD73" s="239">
        <f>'Basis Options'!W78</f>
        <v>759.91604003269822</v>
      </c>
      <c r="AE73">
        <v>0</v>
      </c>
      <c r="AF73">
        <v>0</v>
      </c>
      <c r="AG73">
        <v>0</v>
      </c>
      <c r="AH73" s="239">
        <f>'Basis Options'!BC78</f>
        <v>-998.2372869366917</v>
      </c>
      <c r="AI73">
        <v>232</v>
      </c>
      <c r="AJ73" t="s">
        <v>259</v>
      </c>
      <c r="AK73">
        <v>0</v>
      </c>
      <c r="AL73">
        <v>0</v>
      </c>
      <c r="AM73">
        <v>0</v>
      </c>
    </row>
    <row r="74" spans="1:39" x14ac:dyDescent="0.25">
      <c r="A74" t="s">
        <v>236</v>
      </c>
      <c r="B74" t="str">
        <f>'Basis Options'!C79</f>
        <v>NE6212</v>
      </c>
      <c r="C74" t="s">
        <v>258</v>
      </c>
      <c r="D74" t="s">
        <v>237</v>
      </c>
      <c r="E74" t="s">
        <v>20</v>
      </c>
      <c r="F74" t="str">
        <f>'Basis Options'!A79</f>
        <v>RELIANTENESER</v>
      </c>
      <c r="G74" t="s">
        <v>272</v>
      </c>
      <c r="H74" t="s">
        <v>257</v>
      </c>
      <c r="I74" t="s">
        <v>245</v>
      </c>
      <c r="J74" t="s">
        <v>238</v>
      </c>
      <c r="K74" s="393">
        <f>'Basis Options'!G79</f>
        <v>36678</v>
      </c>
      <c r="L74" s="239">
        <f>'Basis Options'!U79</f>
        <v>4466.2273357279573</v>
      </c>
      <c r="M74" s="393">
        <f>'Basis Options'!Q79</f>
        <v>36676</v>
      </c>
      <c r="N74" t="str">
        <f>'Basis Options'!F79</f>
        <v>C</v>
      </c>
      <c r="O74">
        <f>'Basis Options'!I79</f>
        <v>-0.25</v>
      </c>
      <c r="P74">
        <v>0</v>
      </c>
      <c r="Q74">
        <v>0</v>
      </c>
      <c r="R74">
        <v>0</v>
      </c>
      <c r="S74">
        <v>0</v>
      </c>
      <c r="T74" t="s">
        <v>256</v>
      </c>
      <c r="U74" t="str">
        <f>IF('Basis Options'!D79="NGI/CHI. GATE","""NGI/CHI. GATE""",TRIM('Basis Options'!D79))</f>
        <v>IF-NWPL_ROCKY_M</v>
      </c>
      <c r="V74" t="s">
        <v>256</v>
      </c>
      <c r="W74" t="s">
        <v>135</v>
      </c>
      <c r="X74" t="s">
        <v>256</v>
      </c>
      <c r="Y74" t="s">
        <v>238</v>
      </c>
      <c r="Z74" t="s">
        <v>239</v>
      </c>
      <c r="AA74" t="s">
        <v>256</v>
      </c>
      <c r="AB74" t="s">
        <v>1</v>
      </c>
      <c r="AC74" s="239">
        <f>'Basis Options'!H79</f>
        <v>300000</v>
      </c>
      <c r="AD74" s="239">
        <f>'Basis Options'!W79</f>
        <v>3127.1638574418175</v>
      </c>
      <c r="AE74">
        <v>0</v>
      </c>
      <c r="AF74">
        <v>0</v>
      </c>
      <c r="AG74">
        <v>0</v>
      </c>
      <c r="AH74" s="239">
        <f>'Basis Options'!BC79</f>
        <v>-1651.1776954342577</v>
      </c>
      <c r="AI74">
        <v>232</v>
      </c>
      <c r="AJ74" t="s">
        <v>259</v>
      </c>
      <c r="AK74">
        <v>0</v>
      </c>
      <c r="AL74">
        <v>0</v>
      </c>
      <c r="AM74">
        <v>0</v>
      </c>
    </row>
    <row r="75" spans="1:39" x14ac:dyDescent="0.25">
      <c r="A75" t="s">
        <v>236</v>
      </c>
      <c r="B75" t="str">
        <f>'Basis Options'!C80</f>
        <v>NE6212</v>
      </c>
      <c r="C75" t="s">
        <v>258</v>
      </c>
      <c r="D75" t="s">
        <v>237</v>
      </c>
      <c r="E75" t="s">
        <v>20</v>
      </c>
      <c r="F75" t="str">
        <f>'Basis Options'!A80</f>
        <v>RELIANTENESER</v>
      </c>
      <c r="G75" t="s">
        <v>272</v>
      </c>
      <c r="H75" t="s">
        <v>257</v>
      </c>
      <c r="I75" t="s">
        <v>245</v>
      </c>
      <c r="J75" t="s">
        <v>238</v>
      </c>
      <c r="K75" s="393">
        <f>'Basis Options'!G80</f>
        <v>36708</v>
      </c>
      <c r="L75" s="239">
        <f>'Basis Options'!U80</f>
        <v>10306.493463600971</v>
      </c>
      <c r="M75" s="393">
        <f>'Basis Options'!Q80</f>
        <v>36706</v>
      </c>
      <c r="N75" t="str">
        <f>'Basis Options'!F80</f>
        <v>C</v>
      </c>
      <c r="O75">
        <f>'Basis Options'!I80</f>
        <v>-0.25</v>
      </c>
      <c r="P75">
        <v>0</v>
      </c>
      <c r="Q75">
        <v>0</v>
      </c>
      <c r="R75">
        <v>0</v>
      </c>
      <c r="S75">
        <v>0</v>
      </c>
      <c r="T75" t="s">
        <v>256</v>
      </c>
      <c r="U75" t="str">
        <f>IF('Basis Options'!D80="NGI/CHI. GATE","""NGI/CHI. GATE""",TRIM('Basis Options'!D80))</f>
        <v>IF-NWPL_ROCKY_M</v>
      </c>
      <c r="V75" t="s">
        <v>256</v>
      </c>
      <c r="W75" t="s">
        <v>135</v>
      </c>
      <c r="X75" t="s">
        <v>256</v>
      </c>
      <c r="Y75" t="s">
        <v>238</v>
      </c>
      <c r="Z75" t="s">
        <v>239</v>
      </c>
      <c r="AA75" t="s">
        <v>256</v>
      </c>
      <c r="AB75" t="s">
        <v>1</v>
      </c>
      <c r="AC75" s="239">
        <f>'Basis Options'!H80</f>
        <v>310000</v>
      </c>
      <c r="AD75" s="239">
        <f>'Basis Options'!W80</f>
        <v>5232.012626984957</v>
      </c>
      <c r="AE75">
        <v>0</v>
      </c>
      <c r="AF75">
        <v>0</v>
      </c>
      <c r="AG75">
        <v>0</v>
      </c>
      <c r="AH75" s="239">
        <f>'Basis Options'!BC80</f>
        <v>-1173.6761309694048</v>
      </c>
      <c r="AI75">
        <v>232</v>
      </c>
      <c r="AJ75" t="s">
        <v>259</v>
      </c>
      <c r="AK75">
        <v>0</v>
      </c>
      <c r="AL75">
        <v>0</v>
      </c>
      <c r="AM75">
        <v>0</v>
      </c>
    </row>
    <row r="76" spans="1:39" x14ac:dyDescent="0.25">
      <c r="A76" t="s">
        <v>236</v>
      </c>
      <c r="B76" t="str">
        <f>'Basis Options'!C81</f>
        <v>NE6212</v>
      </c>
      <c r="C76" t="s">
        <v>258</v>
      </c>
      <c r="D76" t="s">
        <v>237</v>
      </c>
      <c r="E76" t="s">
        <v>20</v>
      </c>
      <c r="F76" t="str">
        <f>'Basis Options'!A81</f>
        <v>RELIANTENESER</v>
      </c>
      <c r="G76" t="s">
        <v>272</v>
      </c>
      <c r="H76" t="s">
        <v>257</v>
      </c>
      <c r="I76" t="s">
        <v>245</v>
      </c>
      <c r="J76" t="s">
        <v>238</v>
      </c>
      <c r="K76" s="393">
        <f>'Basis Options'!G81</f>
        <v>36739</v>
      </c>
      <c r="L76" s="239">
        <f>'Basis Options'!U81</f>
        <v>14437.145193385481</v>
      </c>
      <c r="M76" s="393">
        <f>'Basis Options'!Q81</f>
        <v>36735</v>
      </c>
      <c r="N76" t="str">
        <f>'Basis Options'!F81</f>
        <v>C</v>
      </c>
      <c r="O76">
        <f>'Basis Options'!I81</f>
        <v>-0.25</v>
      </c>
      <c r="P76">
        <v>0</v>
      </c>
      <c r="Q76">
        <v>0</v>
      </c>
      <c r="R76">
        <v>0</v>
      </c>
      <c r="S76">
        <v>0</v>
      </c>
      <c r="T76" t="s">
        <v>256</v>
      </c>
      <c r="U76" t="str">
        <f>IF('Basis Options'!D81="NGI/CHI. GATE","""NGI/CHI. GATE""",TRIM('Basis Options'!D81))</f>
        <v>IF-NWPL_ROCKY_M</v>
      </c>
      <c r="V76" t="s">
        <v>256</v>
      </c>
      <c r="W76" t="s">
        <v>135</v>
      </c>
      <c r="X76" t="s">
        <v>256</v>
      </c>
      <c r="Y76" t="s">
        <v>238</v>
      </c>
      <c r="Z76" t="s">
        <v>239</v>
      </c>
      <c r="AA76" t="s">
        <v>256</v>
      </c>
      <c r="AB76" t="s">
        <v>1</v>
      </c>
      <c r="AC76" s="239">
        <f>'Basis Options'!H81</f>
        <v>310000</v>
      </c>
      <c r="AD76" s="239">
        <f>'Basis Options'!W81</f>
        <v>6658.1706668929837</v>
      </c>
      <c r="AE76">
        <v>0</v>
      </c>
      <c r="AF76">
        <v>0</v>
      </c>
      <c r="AG76">
        <v>0</v>
      </c>
      <c r="AH76" s="239">
        <f>'Basis Options'!BC81</f>
        <v>-1204.920054721073</v>
      </c>
      <c r="AI76">
        <v>232</v>
      </c>
      <c r="AJ76" t="s">
        <v>259</v>
      </c>
      <c r="AK76">
        <v>0</v>
      </c>
      <c r="AL76">
        <v>0</v>
      </c>
      <c r="AM76">
        <v>0</v>
      </c>
    </row>
    <row r="77" spans="1:39" x14ac:dyDescent="0.25">
      <c r="A77" t="s">
        <v>236</v>
      </c>
      <c r="B77" t="str">
        <f>'Basis Options'!C82</f>
        <v>NE6212</v>
      </c>
      <c r="C77" t="s">
        <v>258</v>
      </c>
      <c r="D77" t="s">
        <v>237</v>
      </c>
      <c r="E77" t="s">
        <v>20</v>
      </c>
      <c r="F77" t="str">
        <f>'Basis Options'!A82</f>
        <v>RELIANTENESER</v>
      </c>
      <c r="G77" t="s">
        <v>272</v>
      </c>
      <c r="H77" t="s">
        <v>257</v>
      </c>
      <c r="I77" t="s">
        <v>245</v>
      </c>
      <c r="J77" t="s">
        <v>238</v>
      </c>
      <c r="K77" s="393">
        <f>'Basis Options'!G82</f>
        <v>36770</v>
      </c>
      <c r="L77" s="239">
        <f>'Basis Options'!U82</f>
        <v>17500.356168572238</v>
      </c>
      <c r="M77" s="393">
        <f>'Basis Options'!Q82</f>
        <v>36768</v>
      </c>
      <c r="N77" t="str">
        <f>'Basis Options'!F82</f>
        <v>C</v>
      </c>
      <c r="O77">
        <f>'Basis Options'!I82</f>
        <v>-0.25</v>
      </c>
      <c r="P77">
        <v>0</v>
      </c>
      <c r="Q77">
        <v>0</v>
      </c>
      <c r="R77">
        <v>0</v>
      </c>
      <c r="S77">
        <v>0</v>
      </c>
      <c r="T77" t="s">
        <v>256</v>
      </c>
      <c r="U77" t="str">
        <f>IF('Basis Options'!D82="NGI/CHI. GATE","""NGI/CHI. GATE""",TRIM('Basis Options'!D82))</f>
        <v>IF-NWPL_ROCKY_M</v>
      </c>
      <c r="V77" t="s">
        <v>256</v>
      </c>
      <c r="W77" t="s">
        <v>135</v>
      </c>
      <c r="X77" t="s">
        <v>256</v>
      </c>
      <c r="Y77" t="s">
        <v>238</v>
      </c>
      <c r="Z77" t="s">
        <v>239</v>
      </c>
      <c r="AA77" t="s">
        <v>256</v>
      </c>
      <c r="AB77" t="s">
        <v>1</v>
      </c>
      <c r="AC77" s="239">
        <f>'Basis Options'!H82</f>
        <v>300000</v>
      </c>
      <c r="AD77" s="239">
        <f>'Basis Options'!W82</f>
        <v>7637.2396578910411</v>
      </c>
      <c r="AE77">
        <v>0</v>
      </c>
      <c r="AF77">
        <v>0</v>
      </c>
      <c r="AG77">
        <v>0</v>
      </c>
      <c r="AH77" s="239">
        <f>'Basis Options'!BC82</f>
        <v>-1161.0977846727692</v>
      </c>
      <c r="AI77">
        <v>232</v>
      </c>
      <c r="AJ77" t="s">
        <v>259</v>
      </c>
      <c r="AK77">
        <v>0</v>
      </c>
      <c r="AL77">
        <v>0</v>
      </c>
      <c r="AM77">
        <v>0</v>
      </c>
    </row>
    <row r="78" spans="1:39" x14ac:dyDescent="0.25">
      <c r="A78" t="s">
        <v>236</v>
      </c>
      <c r="B78" t="str">
        <f>'Basis Options'!C83</f>
        <v>NE6212</v>
      </c>
      <c r="C78" t="s">
        <v>258</v>
      </c>
      <c r="D78" t="s">
        <v>237</v>
      </c>
      <c r="E78" t="s">
        <v>20</v>
      </c>
      <c r="F78" t="str">
        <f>'Basis Options'!A83</f>
        <v>RELIANTENESER</v>
      </c>
      <c r="G78" t="s">
        <v>272</v>
      </c>
      <c r="H78" t="s">
        <v>257</v>
      </c>
      <c r="I78" t="s">
        <v>245</v>
      </c>
      <c r="J78" t="s">
        <v>238</v>
      </c>
      <c r="K78" s="393">
        <f>'Basis Options'!G83</f>
        <v>36800</v>
      </c>
      <c r="L78" s="239">
        <f>'Basis Options'!U83</f>
        <v>24097.705537057955</v>
      </c>
      <c r="M78" s="393">
        <f>'Basis Options'!Q83</f>
        <v>36797</v>
      </c>
      <c r="N78" t="str">
        <f>'Basis Options'!F83</f>
        <v>C</v>
      </c>
      <c r="O78">
        <f>'Basis Options'!I83</f>
        <v>-0.25</v>
      </c>
      <c r="P78">
        <v>0</v>
      </c>
      <c r="Q78">
        <v>0</v>
      </c>
      <c r="R78">
        <v>0</v>
      </c>
      <c r="S78">
        <v>0</v>
      </c>
      <c r="T78" t="s">
        <v>256</v>
      </c>
      <c r="U78" t="str">
        <f>IF('Basis Options'!D83="NGI/CHI. GATE","""NGI/CHI. GATE""",TRIM('Basis Options'!D83))</f>
        <v>IF-NWPL_ROCKY_M</v>
      </c>
      <c r="V78" t="s">
        <v>256</v>
      </c>
      <c r="W78" t="s">
        <v>135</v>
      </c>
      <c r="X78" t="s">
        <v>256</v>
      </c>
      <c r="Y78" t="s">
        <v>238</v>
      </c>
      <c r="Z78" t="s">
        <v>239</v>
      </c>
      <c r="AA78" t="s">
        <v>256</v>
      </c>
      <c r="AB78" t="s">
        <v>1</v>
      </c>
      <c r="AC78" s="239">
        <f>'Basis Options'!H83</f>
        <v>310000</v>
      </c>
      <c r="AD78" s="239">
        <f>'Basis Options'!W83</f>
        <v>9004.5351583212469</v>
      </c>
      <c r="AE78">
        <v>0</v>
      </c>
      <c r="AF78">
        <v>0</v>
      </c>
      <c r="AG78">
        <v>0</v>
      </c>
      <c r="AH78" s="239">
        <f>'Basis Options'!BC83</f>
        <v>-1370.3044087685921</v>
      </c>
      <c r="AI78">
        <v>232</v>
      </c>
      <c r="AJ78" t="s">
        <v>259</v>
      </c>
      <c r="AK78">
        <v>0</v>
      </c>
      <c r="AL78">
        <v>0</v>
      </c>
      <c r="AM78">
        <v>0</v>
      </c>
    </row>
    <row r="79" spans="1:39" x14ac:dyDescent="0.25">
      <c r="A79" t="s">
        <v>236</v>
      </c>
      <c r="B79" t="str">
        <f>'Basis Options'!C84</f>
        <v>NE7612</v>
      </c>
      <c r="C79" t="s">
        <v>258</v>
      </c>
      <c r="D79" t="s">
        <v>237</v>
      </c>
      <c r="E79" t="s">
        <v>20</v>
      </c>
      <c r="F79" t="str">
        <f>'Basis Options'!A84</f>
        <v>DYNEGYMARAND</v>
      </c>
      <c r="G79" t="s">
        <v>272</v>
      </c>
      <c r="H79" t="s">
        <v>257</v>
      </c>
      <c r="I79" t="s">
        <v>245</v>
      </c>
      <c r="J79" t="s">
        <v>238</v>
      </c>
      <c r="K79" s="393">
        <f>'Basis Options'!G84</f>
        <v>36647</v>
      </c>
      <c r="L79" s="239">
        <f>'Basis Options'!U84</f>
        <v>2974.9844516283224</v>
      </c>
      <c r="M79" s="393">
        <f>'Basis Options'!Q84</f>
        <v>36643</v>
      </c>
      <c r="N79" t="str">
        <f>'Basis Options'!F84</f>
        <v>C</v>
      </c>
      <c r="O79">
        <f>'Basis Options'!I84</f>
        <v>-0.3</v>
      </c>
      <c r="P79">
        <v>0</v>
      </c>
      <c r="Q79">
        <v>0</v>
      </c>
      <c r="R79">
        <v>0</v>
      </c>
      <c r="S79">
        <v>0</v>
      </c>
      <c r="T79" t="s">
        <v>256</v>
      </c>
      <c r="U79" t="str">
        <f>IF('Basis Options'!D84="NGI/CHI. GATE","""NGI/CHI. GATE""",TRIM('Basis Options'!D84))</f>
        <v>IF-NWPL_ROCKY_M</v>
      </c>
      <c r="V79" t="s">
        <v>256</v>
      </c>
      <c r="W79" t="s">
        <v>135</v>
      </c>
      <c r="X79" t="s">
        <v>256</v>
      </c>
      <c r="Y79" t="s">
        <v>238</v>
      </c>
      <c r="Z79" t="s">
        <v>239</v>
      </c>
      <c r="AA79" t="s">
        <v>256</v>
      </c>
      <c r="AB79" t="s">
        <v>1</v>
      </c>
      <c r="AC79" s="239">
        <f>'Basis Options'!H84</f>
        <v>310000</v>
      </c>
      <c r="AD79" s="239">
        <f>'Basis Options'!W84</f>
        <v>1790.4276680085168</v>
      </c>
      <c r="AE79">
        <v>0</v>
      </c>
      <c r="AF79">
        <v>0</v>
      </c>
      <c r="AG79">
        <v>0</v>
      </c>
      <c r="AH79" s="239">
        <f>'Basis Options'!BC84</f>
        <v>-3167.4439962737506</v>
      </c>
      <c r="AI79">
        <v>232</v>
      </c>
      <c r="AJ79" t="s">
        <v>259</v>
      </c>
      <c r="AK79">
        <v>0</v>
      </c>
      <c r="AL79">
        <v>0</v>
      </c>
      <c r="AM79">
        <v>0</v>
      </c>
    </row>
    <row r="80" spans="1:39" x14ac:dyDescent="0.25">
      <c r="A80" t="s">
        <v>236</v>
      </c>
      <c r="B80" t="str">
        <f>'Basis Options'!C85</f>
        <v>NE7612</v>
      </c>
      <c r="C80" t="s">
        <v>258</v>
      </c>
      <c r="D80" t="s">
        <v>237</v>
      </c>
      <c r="E80" t="s">
        <v>20</v>
      </c>
      <c r="F80" t="str">
        <f>'Basis Options'!A85</f>
        <v>DYNEGYMARAND</v>
      </c>
      <c r="G80" t="s">
        <v>272</v>
      </c>
      <c r="H80" t="s">
        <v>257</v>
      </c>
      <c r="I80" t="s">
        <v>245</v>
      </c>
      <c r="J80" t="s">
        <v>238</v>
      </c>
      <c r="K80" s="393">
        <f>'Basis Options'!G85</f>
        <v>36678</v>
      </c>
      <c r="L80" s="239">
        <f>'Basis Options'!U85</f>
        <v>9065.5669311445981</v>
      </c>
      <c r="M80" s="393">
        <f>'Basis Options'!Q85</f>
        <v>36676</v>
      </c>
      <c r="N80" t="str">
        <f>'Basis Options'!F85</f>
        <v>C</v>
      </c>
      <c r="O80">
        <f>'Basis Options'!I85</f>
        <v>-0.3</v>
      </c>
      <c r="P80">
        <v>0</v>
      </c>
      <c r="Q80">
        <v>0</v>
      </c>
      <c r="R80">
        <v>0</v>
      </c>
      <c r="S80">
        <v>0</v>
      </c>
      <c r="T80" t="s">
        <v>256</v>
      </c>
      <c r="U80" t="str">
        <f>IF('Basis Options'!D85="NGI/CHI. GATE","""NGI/CHI. GATE""",TRIM('Basis Options'!D85))</f>
        <v>IF-NWPL_ROCKY_M</v>
      </c>
      <c r="V80" t="s">
        <v>256</v>
      </c>
      <c r="W80" t="s">
        <v>135</v>
      </c>
      <c r="X80" t="s">
        <v>256</v>
      </c>
      <c r="Y80" t="s">
        <v>238</v>
      </c>
      <c r="Z80" t="s">
        <v>239</v>
      </c>
      <c r="AA80" t="s">
        <v>256</v>
      </c>
      <c r="AB80" t="s">
        <v>1</v>
      </c>
      <c r="AC80" s="239">
        <f>'Basis Options'!H85</f>
        <v>300000</v>
      </c>
      <c r="AD80" s="239">
        <f>'Basis Options'!W85</f>
        <v>3908.9978379835375</v>
      </c>
      <c r="AE80">
        <v>0</v>
      </c>
      <c r="AF80">
        <v>0</v>
      </c>
      <c r="AG80">
        <v>0</v>
      </c>
      <c r="AH80" s="239">
        <f>'Basis Options'!BC85</f>
        <v>-2751.810602001291</v>
      </c>
      <c r="AI80">
        <v>232</v>
      </c>
      <c r="AJ80" t="s">
        <v>259</v>
      </c>
      <c r="AK80">
        <v>0</v>
      </c>
      <c r="AL80">
        <v>0</v>
      </c>
      <c r="AM80">
        <v>0</v>
      </c>
    </row>
    <row r="81" spans="1:39" x14ac:dyDescent="0.25">
      <c r="A81" t="s">
        <v>236</v>
      </c>
      <c r="B81" t="str">
        <f>'Basis Options'!C86</f>
        <v>NE7612</v>
      </c>
      <c r="C81" t="s">
        <v>258</v>
      </c>
      <c r="D81" t="s">
        <v>237</v>
      </c>
      <c r="E81" t="s">
        <v>20</v>
      </c>
      <c r="F81" t="str">
        <f>'Basis Options'!A86</f>
        <v>DYNEGYMARAND</v>
      </c>
      <c r="G81" t="s">
        <v>272</v>
      </c>
      <c r="H81" t="s">
        <v>257</v>
      </c>
      <c r="I81" t="s">
        <v>245</v>
      </c>
      <c r="J81" t="s">
        <v>238</v>
      </c>
      <c r="K81" s="393">
        <f>'Basis Options'!G86</f>
        <v>36708</v>
      </c>
      <c r="L81" s="239">
        <f>'Basis Options'!U86</f>
        <v>16541.850469578192</v>
      </c>
      <c r="M81" s="393">
        <f>'Basis Options'!Q86</f>
        <v>36706</v>
      </c>
      <c r="N81" t="str">
        <f>'Basis Options'!F86</f>
        <v>C</v>
      </c>
      <c r="O81">
        <f>'Basis Options'!I86</f>
        <v>-0.3</v>
      </c>
      <c r="P81">
        <v>0</v>
      </c>
      <c r="Q81">
        <v>0</v>
      </c>
      <c r="R81">
        <v>0</v>
      </c>
      <c r="S81">
        <v>0</v>
      </c>
      <c r="T81" t="s">
        <v>256</v>
      </c>
      <c r="U81" t="str">
        <f>IF('Basis Options'!D86="NGI/CHI. GATE","""NGI/CHI. GATE""",TRIM('Basis Options'!D86))</f>
        <v>IF-NWPL_ROCKY_M</v>
      </c>
      <c r="V81" t="s">
        <v>256</v>
      </c>
      <c r="W81" t="s">
        <v>135</v>
      </c>
      <c r="X81" t="s">
        <v>256</v>
      </c>
      <c r="Y81" t="s">
        <v>238</v>
      </c>
      <c r="Z81" t="s">
        <v>239</v>
      </c>
      <c r="AA81" t="s">
        <v>256</v>
      </c>
      <c r="AB81" t="s">
        <v>1</v>
      </c>
      <c r="AC81" s="239">
        <f>'Basis Options'!H86</f>
        <v>310000</v>
      </c>
      <c r="AD81" s="239">
        <f>'Basis Options'!W86</f>
        <v>5670.7921905266121</v>
      </c>
      <c r="AE81">
        <v>0</v>
      </c>
      <c r="AF81">
        <v>0</v>
      </c>
      <c r="AG81">
        <v>0</v>
      </c>
      <c r="AH81" s="239">
        <f>'Basis Options'!BC86</f>
        <v>-1711.2453453993257</v>
      </c>
      <c r="AI81">
        <v>232</v>
      </c>
      <c r="AJ81" t="s">
        <v>259</v>
      </c>
      <c r="AK81">
        <v>0</v>
      </c>
      <c r="AL81">
        <v>0</v>
      </c>
      <c r="AM81">
        <v>0</v>
      </c>
    </row>
    <row r="82" spans="1:39" x14ac:dyDescent="0.25">
      <c r="A82" t="s">
        <v>236</v>
      </c>
      <c r="B82" t="str">
        <f>'Basis Options'!C87</f>
        <v>NE7612</v>
      </c>
      <c r="C82" t="s">
        <v>258</v>
      </c>
      <c r="D82" t="s">
        <v>237</v>
      </c>
      <c r="E82" t="s">
        <v>20</v>
      </c>
      <c r="F82" t="str">
        <f>'Basis Options'!A87</f>
        <v>DYNEGYMARAND</v>
      </c>
      <c r="G82" t="s">
        <v>272</v>
      </c>
      <c r="H82" t="s">
        <v>257</v>
      </c>
      <c r="I82" t="s">
        <v>245</v>
      </c>
      <c r="J82" t="s">
        <v>238</v>
      </c>
      <c r="K82" s="393">
        <f>'Basis Options'!G87</f>
        <v>36739</v>
      </c>
      <c r="L82" s="239">
        <f>'Basis Options'!U87</f>
        <v>21060.388177066692</v>
      </c>
      <c r="M82" s="393">
        <f>'Basis Options'!Q87</f>
        <v>36735</v>
      </c>
      <c r="N82" t="str">
        <f>'Basis Options'!F87</f>
        <v>C</v>
      </c>
      <c r="O82">
        <f>'Basis Options'!I87</f>
        <v>-0.3</v>
      </c>
      <c r="P82">
        <v>0</v>
      </c>
      <c r="Q82">
        <v>0</v>
      </c>
      <c r="R82">
        <v>0</v>
      </c>
      <c r="S82">
        <v>0</v>
      </c>
      <c r="T82" t="s">
        <v>256</v>
      </c>
      <c r="U82" t="str">
        <f>IF('Basis Options'!D87="NGI/CHI. GATE","""NGI/CHI. GATE""",TRIM('Basis Options'!D87))</f>
        <v>IF-NWPL_ROCKY_M</v>
      </c>
      <c r="V82" t="s">
        <v>256</v>
      </c>
      <c r="W82" t="s">
        <v>135</v>
      </c>
      <c r="X82" t="s">
        <v>256</v>
      </c>
      <c r="Y82" t="s">
        <v>238</v>
      </c>
      <c r="Z82" t="s">
        <v>239</v>
      </c>
      <c r="AA82" t="s">
        <v>256</v>
      </c>
      <c r="AB82" t="s">
        <v>1</v>
      </c>
      <c r="AC82" s="239">
        <f>'Basis Options'!H87</f>
        <v>310000</v>
      </c>
      <c r="AD82" s="239">
        <f>'Basis Options'!W87</f>
        <v>6986.2839826447016</v>
      </c>
      <c r="AE82">
        <v>0</v>
      </c>
      <c r="AF82">
        <v>0</v>
      </c>
      <c r="AG82">
        <v>0</v>
      </c>
      <c r="AH82" s="239">
        <f>'Basis Options'!BC87</f>
        <v>-1646.3743442193663</v>
      </c>
      <c r="AI82">
        <v>232</v>
      </c>
      <c r="AJ82" t="s">
        <v>259</v>
      </c>
      <c r="AK82">
        <v>0</v>
      </c>
      <c r="AL82">
        <v>0</v>
      </c>
      <c r="AM82">
        <v>0</v>
      </c>
    </row>
    <row r="83" spans="1:39" x14ac:dyDescent="0.25">
      <c r="A83" t="s">
        <v>236</v>
      </c>
      <c r="B83" t="str">
        <f>'Basis Options'!C88</f>
        <v>NE7612</v>
      </c>
      <c r="C83" t="s">
        <v>258</v>
      </c>
      <c r="D83" t="s">
        <v>237</v>
      </c>
      <c r="E83" t="s">
        <v>20</v>
      </c>
      <c r="F83" t="str">
        <f>'Basis Options'!A88</f>
        <v>DYNEGYMARAND</v>
      </c>
      <c r="G83" t="s">
        <v>272</v>
      </c>
      <c r="H83" t="s">
        <v>257</v>
      </c>
      <c r="I83" t="s">
        <v>245</v>
      </c>
      <c r="J83" t="s">
        <v>238</v>
      </c>
      <c r="K83" s="393">
        <f>'Basis Options'!G88</f>
        <v>36770</v>
      </c>
      <c r="L83" s="239">
        <f>'Basis Options'!U88</f>
        <v>24140.242387522459</v>
      </c>
      <c r="M83" s="393">
        <f>'Basis Options'!Q88</f>
        <v>36768</v>
      </c>
      <c r="N83" t="str">
        <f>'Basis Options'!F88</f>
        <v>C</v>
      </c>
      <c r="O83">
        <f>'Basis Options'!I88</f>
        <v>-0.3</v>
      </c>
      <c r="P83">
        <v>0</v>
      </c>
      <c r="Q83">
        <v>0</v>
      </c>
      <c r="R83">
        <v>0</v>
      </c>
      <c r="S83">
        <v>0</v>
      </c>
      <c r="T83" t="s">
        <v>256</v>
      </c>
      <c r="U83" t="str">
        <f>IF('Basis Options'!D88="NGI/CHI. GATE","""NGI/CHI. GATE""",TRIM('Basis Options'!D88))</f>
        <v>IF-NWPL_ROCKY_M</v>
      </c>
      <c r="V83" t="s">
        <v>256</v>
      </c>
      <c r="W83" t="s">
        <v>135</v>
      </c>
      <c r="X83" t="s">
        <v>256</v>
      </c>
      <c r="Y83" t="s">
        <v>238</v>
      </c>
      <c r="Z83" t="s">
        <v>239</v>
      </c>
      <c r="AA83" t="s">
        <v>256</v>
      </c>
      <c r="AB83" t="s">
        <v>1</v>
      </c>
      <c r="AC83" s="239">
        <f>'Basis Options'!H88</f>
        <v>300000</v>
      </c>
      <c r="AD83" s="239">
        <f>'Basis Options'!W88</f>
        <v>7882.2463848382467</v>
      </c>
      <c r="AE83">
        <v>0</v>
      </c>
      <c r="AF83">
        <v>0</v>
      </c>
      <c r="AG83">
        <v>0</v>
      </c>
      <c r="AH83" s="239">
        <f>'Basis Options'!BC88</f>
        <v>-1529.5757280279431</v>
      </c>
      <c r="AI83">
        <v>232</v>
      </c>
      <c r="AJ83" t="s">
        <v>259</v>
      </c>
      <c r="AK83">
        <v>0</v>
      </c>
      <c r="AL83">
        <v>0</v>
      </c>
      <c r="AM83">
        <v>0</v>
      </c>
    </row>
    <row r="84" spans="1:39" x14ac:dyDescent="0.25">
      <c r="A84" t="s">
        <v>236</v>
      </c>
      <c r="B84" t="str">
        <f>'Basis Options'!C89</f>
        <v>NE7612</v>
      </c>
      <c r="C84" t="s">
        <v>258</v>
      </c>
      <c r="D84" t="s">
        <v>237</v>
      </c>
      <c r="E84" t="s">
        <v>20</v>
      </c>
      <c r="F84" t="str">
        <f>'Basis Options'!A89</f>
        <v>DYNEGYMARAND</v>
      </c>
      <c r="G84" t="s">
        <v>272</v>
      </c>
      <c r="H84" t="s">
        <v>257</v>
      </c>
      <c r="I84" t="s">
        <v>245</v>
      </c>
      <c r="J84" t="s">
        <v>238</v>
      </c>
      <c r="K84" s="393">
        <f>'Basis Options'!G89</f>
        <v>36800</v>
      </c>
      <c r="L84" s="239">
        <f>'Basis Options'!U89</f>
        <v>31684.640369528519</v>
      </c>
      <c r="M84" s="393">
        <f>'Basis Options'!Q89</f>
        <v>36797</v>
      </c>
      <c r="N84" t="str">
        <f>'Basis Options'!F89</f>
        <v>C</v>
      </c>
      <c r="O84">
        <f>'Basis Options'!I89</f>
        <v>-0.3</v>
      </c>
      <c r="P84">
        <v>0</v>
      </c>
      <c r="Q84">
        <v>0</v>
      </c>
      <c r="R84">
        <v>0</v>
      </c>
      <c r="S84">
        <v>0</v>
      </c>
      <c r="T84" t="s">
        <v>256</v>
      </c>
      <c r="U84" t="str">
        <f>IF('Basis Options'!D89="NGI/CHI. GATE","""NGI/CHI. GATE""",TRIM('Basis Options'!D89))</f>
        <v>IF-NWPL_ROCKY_M</v>
      </c>
      <c r="V84" t="s">
        <v>256</v>
      </c>
      <c r="W84" t="s">
        <v>135</v>
      </c>
      <c r="X84" t="s">
        <v>256</v>
      </c>
      <c r="Y84" t="s">
        <v>238</v>
      </c>
      <c r="Z84" t="s">
        <v>239</v>
      </c>
      <c r="AA84" t="s">
        <v>256</v>
      </c>
      <c r="AB84" t="s">
        <v>1</v>
      </c>
      <c r="AC84" s="239">
        <f>'Basis Options'!H89</f>
        <v>310000</v>
      </c>
      <c r="AD84" s="239">
        <f>'Basis Options'!W89</f>
        <v>9042.3781692642369</v>
      </c>
      <c r="AE84">
        <v>0</v>
      </c>
      <c r="AF84">
        <v>0</v>
      </c>
      <c r="AG84">
        <v>0</v>
      </c>
      <c r="AH84" s="239">
        <f>'Basis Options'!BC89</f>
        <v>-1724.7319661967886</v>
      </c>
      <c r="AI84">
        <v>232</v>
      </c>
      <c r="AJ84" t="s">
        <v>259</v>
      </c>
      <c r="AK84">
        <v>0</v>
      </c>
      <c r="AL84">
        <v>0</v>
      </c>
      <c r="AM84">
        <v>0</v>
      </c>
    </row>
    <row r="85" spans="1:39" x14ac:dyDescent="0.25">
      <c r="A85" t="s">
        <v>236</v>
      </c>
      <c r="B85" t="str">
        <f>'Basis Options'!C90</f>
        <v>NE7612</v>
      </c>
      <c r="C85" t="s">
        <v>258</v>
      </c>
      <c r="D85" t="s">
        <v>237</v>
      </c>
      <c r="E85" t="s">
        <v>20</v>
      </c>
      <c r="F85" t="str">
        <f>'Basis Options'!A90</f>
        <v>DYNEGYMARAND</v>
      </c>
      <c r="G85" t="s">
        <v>272</v>
      </c>
      <c r="H85" t="s">
        <v>257</v>
      </c>
      <c r="I85" t="s">
        <v>245</v>
      </c>
      <c r="J85" t="s">
        <v>238</v>
      </c>
      <c r="K85" s="393">
        <f>'Basis Options'!G90</f>
        <v>36647</v>
      </c>
      <c r="L85" s="239">
        <f>'Basis Options'!U90</f>
        <v>16901.064255383288</v>
      </c>
      <c r="M85" s="393">
        <f>'Basis Options'!Q90</f>
        <v>36643</v>
      </c>
      <c r="N85" t="str">
        <f>'Basis Options'!F90</f>
        <v>P</v>
      </c>
      <c r="O85">
        <f>'Basis Options'!I90</f>
        <v>-0.3</v>
      </c>
      <c r="P85">
        <v>0</v>
      </c>
      <c r="Q85">
        <v>0</v>
      </c>
      <c r="R85">
        <v>0</v>
      </c>
      <c r="S85">
        <v>0</v>
      </c>
      <c r="T85" t="s">
        <v>256</v>
      </c>
      <c r="U85" t="str">
        <f>IF('Basis Options'!D90="NGI/CHI. GATE","""NGI/CHI. GATE""",TRIM('Basis Options'!D90))</f>
        <v>IF-NWPL_ROCKY_M</v>
      </c>
      <c r="V85" t="s">
        <v>256</v>
      </c>
      <c r="W85" t="s">
        <v>135</v>
      </c>
      <c r="X85" t="s">
        <v>256</v>
      </c>
      <c r="Y85" t="s">
        <v>238</v>
      </c>
      <c r="Z85" t="s">
        <v>239</v>
      </c>
      <c r="AA85" t="s">
        <v>256</v>
      </c>
      <c r="AB85" t="s">
        <v>1</v>
      </c>
      <c r="AC85" s="239">
        <f>'Basis Options'!H90</f>
        <v>310000</v>
      </c>
      <c r="AD85" s="239">
        <f>'Basis Options'!W90</f>
        <v>1790.4276680085168</v>
      </c>
      <c r="AE85">
        <v>0</v>
      </c>
      <c r="AF85">
        <v>0</v>
      </c>
      <c r="AG85">
        <v>0</v>
      </c>
      <c r="AH85" s="239">
        <f>'Basis Options'!BC90</f>
        <v>6885.138177544075</v>
      </c>
      <c r="AI85">
        <v>232</v>
      </c>
      <c r="AJ85" t="s">
        <v>259</v>
      </c>
      <c r="AK85">
        <v>0</v>
      </c>
      <c r="AL85">
        <v>0</v>
      </c>
      <c r="AM85">
        <v>0</v>
      </c>
    </row>
    <row r="86" spans="1:39" x14ac:dyDescent="0.25">
      <c r="A86" t="s">
        <v>236</v>
      </c>
      <c r="B86" t="str">
        <f>'Basis Options'!C91</f>
        <v>NE7612</v>
      </c>
      <c r="C86" t="s">
        <v>258</v>
      </c>
      <c r="D86" t="s">
        <v>237</v>
      </c>
      <c r="E86" t="s">
        <v>20</v>
      </c>
      <c r="F86" t="str">
        <f>'Basis Options'!A91</f>
        <v>DYNEGYMARAND</v>
      </c>
      <c r="G86" t="s">
        <v>272</v>
      </c>
      <c r="H86" t="s">
        <v>257</v>
      </c>
      <c r="I86" t="s">
        <v>245</v>
      </c>
      <c r="J86" t="s">
        <v>238</v>
      </c>
      <c r="K86" s="393">
        <f>'Basis Options'!G91</f>
        <v>36678</v>
      </c>
      <c r="L86" s="239">
        <f>'Basis Options'!U91</f>
        <v>20976.838028865797</v>
      </c>
      <c r="M86" s="393">
        <f>'Basis Options'!Q91</f>
        <v>36676</v>
      </c>
      <c r="N86" t="str">
        <f>'Basis Options'!F91</f>
        <v>P</v>
      </c>
      <c r="O86">
        <f>'Basis Options'!I91</f>
        <v>-0.3</v>
      </c>
      <c r="P86">
        <v>0</v>
      </c>
      <c r="Q86">
        <v>0</v>
      </c>
      <c r="R86">
        <v>0</v>
      </c>
      <c r="S86">
        <v>0</v>
      </c>
      <c r="T86" t="s">
        <v>256</v>
      </c>
      <c r="U86" t="str">
        <f>IF('Basis Options'!D91="NGI/CHI. GATE","""NGI/CHI. GATE""",TRIM('Basis Options'!D91))</f>
        <v>IF-NWPL_ROCKY_M</v>
      </c>
      <c r="V86" t="s">
        <v>256</v>
      </c>
      <c r="W86" t="s">
        <v>135</v>
      </c>
      <c r="X86" t="s">
        <v>256</v>
      </c>
      <c r="Y86" t="s">
        <v>238</v>
      </c>
      <c r="Z86" t="s">
        <v>239</v>
      </c>
      <c r="AA86" t="s">
        <v>256</v>
      </c>
      <c r="AB86" t="s">
        <v>1</v>
      </c>
      <c r="AC86" s="239">
        <f>'Basis Options'!H91</f>
        <v>300000</v>
      </c>
      <c r="AD86" s="239">
        <f>'Basis Options'!W91</f>
        <v>3908.9978379835375</v>
      </c>
      <c r="AE86">
        <v>0</v>
      </c>
      <c r="AF86">
        <v>0</v>
      </c>
      <c r="AG86">
        <v>0</v>
      </c>
      <c r="AH86" s="239">
        <f>'Basis Options'!BC91</f>
        <v>4688.9038860021446</v>
      </c>
      <c r="AI86">
        <v>232</v>
      </c>
      <c r="AJ86" t="s">
        <v>259</v>
      </c>
      <c r="AK86">
        <v>0</v>
      </c>
      <c r="AL86">
        <v>0</v>
      </c>
      <c r="AM86">
        <v>0</v>
      </c>
    </row>
    <row r="87" spans="1:39" x14ac:dyDescent="0.25">
      <c r="A87" t="s">
        <v>236</v>
      </c>
      <c r="B87" t="str">
        <f>'Basis Options'!C92</f>
        <v>NE7612</v>
      </c>
      <c r="C87" t="s">
        <v>258</v>
      </c>
      <c r="D87" t="s">
        <v>237</v>
      </c>
      <c r="E87" t="s">
        <v>20</v>
      </c>
      <c r="F87" t="str">
        <f>'Basis Options'!A92</f>
        <v>DYNEGYMARAND</v>
      </c>
      <c r="G87" t="s">
        <v>272</v>
      </c>
      <c r="H87" t="s">
        <v>257</v>
      </c>
      <c r="I87" t="s">
        <v>245</v>
      </c>
      <c r="J87" t="s">
        <v>238</v>
      </c>
      <c r="K87" s="393">
        <f>'Basis Options'!G92</f>
        <v>36708</v>
      </c>
      <c r="L87" s="239">
        <f>'Basis Options'!U92</f>
        <v>23428.618662121546</v>
      </c>
      <c r="M87" s="393">
        <f>'Basis Options'!Q92</f>
        <v>36706</v>
      </c>
      <c r="N87" t="str">
        <f>'Basis Options'!F92</f>
        <v>P</v>
      </c>
      <c r="O87">
        <f>'Basis Options'!I92</f>
        <v>-0.3</v>
      </c>
      <c r="P87">
        <v>0</v>
      </c>
      <c r="Q87">
        <v>0</v>
      </c>
      <c r="R87">
        <v>0</v>
      </c>
      <c r="S87">
        <v>0</v>
      </c>
      <c r="T87" t="s">
        <v>256</v>
      </c>
      <c r="U87" t="str">
        <f>IF('Basis Options'!D92="NGI/CHI. GATE","""NGI/CHI. GATE""",TRIM('Basis Options'!D92))</f>
        <v>IF-NWPL_ROCKY_M</v>
      </c>
      <c r="V87" t="s">
        <v>256</v>
      </c>
      <c r="W87" t="s">
        <v>135</v>
      </c>
      <c r="X87" t="s">
        <v>256</v>
      </c>
      <c r="Y87" t="s">
        <v>238</v>
      </c>
      <c r="Z87" t="s">
        <v>239</v>
      </c>
      <c r="AA87" t="s">
        <v>256</v>
      </c>
      <c r="AB87" t="s">
        <v>1</v>
      </c>
      <c r="AC87" s="239">
        <f>'Basis Options'!H92</f>
        <v>310000</v>
      </c>
      <c r="AD87" s="239">
        <f>'Basis Options'!W92</f>
        <v>5670.792190526583</v>
      </c>
      <c r="AE87">
        <v>0</v>
      </c>
      <c r="AF87">
        <v>0</v>
      </c>
      <c r="AG87">
        <v>0</v>
      </c>
      <c r="AH87" s="239">
        <f>'Basis Options'!BC92</f>
        <v>2877.575843939645</v>
      </c>
      <c r="AI87">
        <v>232</v>
      </c>
      <c r="AJ87" t="s">
        <v>259</v>
      </c>
      <c r="AK87">
        <v>0</v>
      </c>
      <c r="AL87">
        <v>0</v>
      </c>
      <c r="AM87">
        <v>0</v>
      </c>
    </row>
    <row r="88" spans="1:39" x14ac:dyDescent="0.25">
      <c r="A88" t="s">
        <v>236</v>
      </c>
      <c r="B88" t="str">
        <f>'Basis Options'!C93</f>
        <v>NE7612</v>
      </c>
      <c r="C88" t="s">
        <v>258</v>
      </c>
      <c r="D88" t="s">
        <v>237</v>
      </c>
      <c r="E88" t="s">
        <v>20</v>
      </c>
      <c r="F88" t="str">
        <f>'Basis Options'!A93</f>
        <v>DYNEGYMARAND</v>
      </c>
      <c r="G88" t="s">
        <v>272</v>
      </c>
      <c r="H88" t="s">
        <v>257</v>
      </c>
      <c r="I88" t="s">
        <v>245</v>
      </c>
      <c r="J88" t="s">
        <v>238</v>
      </c>
      <c r="K88" s="393">
        <f>'Basis Options'!G93</f>
        <v>36739</v>
      </c>
      <c r="L88" s="239">
        <f>'Basis Options'!U93</f>
        <v>27910.876211794668</v>
      </c>
      <c r="M88" s="393">
        <f>'Basis Options'!Q93</f>
        <v>36735</v>
      </c>
      <c r="N88" t="str">
        <f>'Basis Options'!F93</f>
        <v>P</v>
      </c>
      <c r="O88">
        <f>'Basis Options'!I93</f>
        <v>-0.3</v>
      </c>
      <c r="P88">
        <v>0</v>
      </c>
      <c r="Q88">
        <v>0</v>
      </c>
      <c r="R88">
        <v>0</v>
      </c>
      <c r="S88">
        <v>0</v>
      </c>
      <c r="T88" t="s">
        <v>256</v>
      </c>
      <c r="U88" t="str">
        <f>IF('Basis Options'!D93="NGI/CHI. GATE","""NGI/CHI. GATE""",TRIM('Basis Options'!D93))</f>
        <v>IF-NWPL_ROCKY_M</v>
      </c>
      <c r="V88" t="s">
        <v>256</v>
      </c>
      <c r="W88" t="s">
        <v>135</v>
      </c>
      <c r="X88" t="s">
        <v>256</v>
      </c>
      <c r="Y88" t="s">
        <v>238</v>
      </c>
      <c r="Z88" t="s">
        <v>239</v>
      </c>
      <c r="AA88" t="s">
        <v>256</v>
      </c>
      <c r="AB88" t="s">
        <v>1</v>
      </c>
      <c r="AC88" s="239">
        <f>'Basis Options'!H93</f>
        <v>310000</v>
      </c>
      <c r="AD88" s="239">
        <f>'Basis Options'!W93</f>
        <v>6986.2839826447307</v>
      </c>
      <c r="AE88">
        <v>0</v>
      </c>
      <c r="AF88">
        <v>0</v>
      </c>
      <c r="AG88">
        <v>0</v>
      </c>
      <c r="AH88" s="239">
        <f>'Basis Options'!BC93</f>
        <v>2918.2330250483501</v>
      </c>
      <c r="AI88">
        <v>232</v>
      </c>
      <c r="AJ88" t="s">
        <v>259</v>
      </c>
      <c r="AK88">
        <v>0</v>
      </c>
      <c r="AL88">
        <v>0</v>
      </c>
      <c r="AM88">
        <v>0</v>
      </c>
    </row>
    <row r="89" spans="1:39" x14ac:dyDescent="0.25">
      <c r="A89" t="s">
        <v>236</v>
      </c>
      <c r="B89" t="str">
        <f>'Basis Options'!C94</f>
        <v>NE7612</v>
      </c>
      <c r="C89" t="s">
        <v>258</v>
      </c>
      <c r="D89" t="s">
        <v>237</v>
      </c>
      <c r="E89" t="s">
        <v>20</v>
      </c>
      <c r="F89" t="str">
        <f>'Basis Options'!A94</f>
        <v>DYNEGYMARAND</v>
      </c>
      <c r="G89" t="s">
        <v>272</v>
      </c>
      <c r="H89" t="s">
        <v>257</v>
      </c>
      <c r="I89" t="s">
        <v>245</v>
      </c>
      <c r="J89" t="s">
        <v>238</v>
      </c>
      <c r="K89" s="393">
        <f>'Basis Options'!G94</f>
        <v>36770</v>
      </c>
      <c r="L89" s="239">
        <f>'Basis Options'!U94</f>
        <v>30729.470265941865</v>
      </c>
      <c r="M89" s="393">
        <f>'Basis Options'!Q94</f>
        <v>36768</v>
      </c>
      <c r="N89" t="str">
        <f>'Basis Options'!F94</f>
        <v>P</v>
      </c>
      <c r="O89">
        <f>'Basis Options'!I94</f>
        <v>-0.3</v>
      </c>
      <c r="P89">
        <v>0</v>
      </c>
      <c r="Q89">
        <v>0</v>
      </c>
      <c r="R89">
        <v>0</v>
      </c>
      <c r="S89">
        <v>0</v>
      </c>
      <c r="T89" t="s">
        <v>256</v>
      </c>
      <c r="U89" t="str">
        <f>IF('Basis Options'!D94="NGI/CHI. GATE","""NGI/CHI. GATE""",TRIM('Basis Options'!D94))</f>
        <v>IF-NWPL_ROCKY_M</v>
      </c>
      <c r="V89" t="s">
        <v>256</v>
      </c>
      <c r="W89" t="s">
        <v>135</v>
      </c>
      <c r="X89" t="s">
        <v>256</v>
      </c>
      <c r="Y89" t="s">
        <v>238</v>
      </c>
      <c r="Z89" t="s">
        <v>239</v>
      </c>
      <c r="AA89" t="s">
        <v>256</v>
      </c>
      <c r="AB89" t="s">
        <v>1</v>
      </c>
      <c r="AC89" s="239">
        <f>'Basis Options'!H94</f>
        <v>300000</v>
      </c>
      <c r="AD89" s="239">
        <f>'Basis Options'!W94</f>
        <v>7882.2463848382467</v>
      </c>
      <c r="AE89">
        <v>0</v>
      </c>
      <c r="AF89">
        <v>0</v>
      </c>
      <c r="AG89">
        <v>0</v>
      </c>
      <c r="AH89" s="239">
        <f>'Basis Options'!BC94</f>
        <v>2860.8829363679579</v>
      </c>
      <c r="AI89">
        <v>232</v>
      </c>
      <c r="AJ89" t="s">
        <v>259</v>
      </c>
      <c r="AK89">
        <v>0</v>
      </c>
      <c r="AL89">
        <v>0</v>
      </c>
      <c r="AM89">
        <v>0</v>
      </c>
    </row>
    <row r="90" spans="1:39" x14ac:dyDescent="0.25">
      <c r="A90" t="s">
        <v>236</v>
      </c>
      <c r="B90" t="str">
        <f>'Basis Options'!C95</f>
        <v>NE7612</v>
      </c>
      <c r="C90" t="s">
        <v>258</v>
      </c>
      <c r="D90" t="s">
        <v>237</v>
      </c>
      <c r="E90" t="s">
        <v>20</v>
      </c>
      <c r="F90" t="str">
        <f>'Basis Options'!A95</f>
        <v>DYNEGYMARAND</v>
      </c>
      <c r="G90" t="s">
        <v>272</v>
      </c>
      <c r="H90" t="s">
        <v>257</v>
      </c>
      <c r="I90" t="s">
        <v>245</v>
      </c>
      <c r="J90" t="s">
        <v>238</v>
      </c>
      <c r="K90" s="393">
        <f>'Basis Options'!G95</f>
        <v>36800</v>
      </c>
      <c r="L90" s="239">
        <f>'Basis Options'!U95</f>
        <v>30932.208648425258</v>
      </c>
      <c r="M90" s="393">
        <f>'Basis Options'!Q95</f>
        <v>36797</v>
      </c>
      <c r="N90" t="str">
        <f>'Basis Options'!F95</f>
        <v>P</v>
      </c>
      <c r="O90">
        <f>'Basis Options'!I95</f>
        <v>-0.3</v>
      </c>
      <c r="P90">
        <v>0</v>
      </c>
      <c r="Q90">
        <v>0</v>
      </c>
      <c r="R90">
        <v>0</v>
      </c>
      <c r="S90">
        <v>0</v>
      </c>
      <c r="T90" t="s">
        <v>256</v>
      </c>
      <c r="U90" t="str">
        <f>IF('Basis Options'!D95="NGI/CHI. GATE","""NGI/CHI. GATE""",TRIM('Basis Options'!D95))</f>
        <v>IF-NWPL_ROCKY_M</v>
      </c>
      <c r="V90" t="s">
        <v>256</v>
      </c>
      <c r="W90" t="s">
        <v>135</v>
      </c>
      <c r="X90" t="s">
        <v>256</v>
      </c>
      <c r="Y90" t="s">
        <v>238</v>
      </c>
      <c r="Z90" t="s">
        <v>239</v>
      </c>
      <c r="AA90" t="s">
        <v>256</v>
      </c>
      <c r="AB90" t="s">
        <v>1</v>
      </c>
      <c r="AC90" s="239">
        <f>'Basis Options'!H95</f>
        <v>310000</v>
      </c>
      <c r="AD90" s="239">
        <f>'Basis Options'!W95</f>
        <v>9042.3781692642369</v>
      </c>
      <c r="AE90">
        <v>0</v>
      </c>
      <c r="AF90">
        <v>0</v>
      </c>
      <c r="AG90">
        <v>0</v>
      </c>
      <c r="AH90" s="239">
        <f>'Basis Options'!BC95</f>
        <v>2787.3439115996989</v>
      </c>
      <c r="AI90">
        <v>232</v>
      </c>
      <c r="AJ90" t="s">
        <v>259</v>
      </c>
      <c r="AK90">
        <v>0</v>
      </c>
      <c r="AL90">
        <v>0</v>
      </c>
      <c r="AM90">
        <v>0</v>
      </c>
    </row>
    <row r="91" spans="1:39" x14ac:dyDescent="0.25">
      <c r="A91" t="s">
        <v>236</v>
      </c>
      <c r="B91" t="str">
        <f>'Basis Options'!C96</f>
        <v>NE8609</v>
      </c>
      <c r="C91" t="s">
        <v>258</v>
      </c>
      <c r="D91" t="s">
        <v>237</v>
      </c>
      <c r="E91" t="s">
        <v>20</v>
      </c>
      <c r="F91" t="str">
        <f>'Basis Options'!A96</f>
        <v>ELPASMER</v>
      </c>
      <c r="G91" t="s">
        <v>272</v>
      </c>
      <c r="H91" t="s">
        <v>257</v>
      </c>
      <c r="I91" t="s">
        <v>245</v>
      </c>
      <c r="J91" t="s">
        <v>238</v>
      </c>
      <c r="K91" s="393">
        <f>'Basis Options'!G96</f>
        <v>36861</v>
      </c>
      <c r="L91" s="239">
        <f>'Basis Options'!U96</f>
        <v>74349.829803555593</v>
      </c>
      <c r="M91" s="393">
        <f>'Basis Options'!Q96</f>
        <v>36859</v>
      </c>
      <c r="N91" t="str">
        <f>'Basis Options'!F96</f>
        <v>P</v>
      </c>
      <c r="O91">
        <f>'Basis Options'!I96</f>
        <v>1</v>
      </c>
      <c r="P91">
        <v>0</v>
      </c>
      <c r="Q91">
        <v>0</v>
      </c>
      <c r="R91">
        <v>0</v>
      </c>
      <c r="S91">
        <v>0</v>
      </c>
      <c r="T91" t="s">
        <v>256</v>
      </c>
      <c r="U91" t="str">
        <f>IF('Basis Options'!D96="NGI/CHI. GATE","""NGI/CHI. GATE""",TRIM('Basis Options'!D96))</f>
        <v>IF-TRANSCO/Z6</v>
      </c>
      <c r="V91" t="s">
        <v>256</v>
      </c>
      <c r="W91" t="s">
        <v>135</v>
      </c>
      <c r="X91" t="s">
        <v>256</v>
      </c>
      <c r="Y91" t="s">
        <v>238</v>
      </c>
      <c r="Z91" t="s">
        <v>239</v>
      </c>
      <c r="AA91" t="s">
        <v>256</v>
      </c>
      <c r="AB91" t="s">
        <v>1</v>
      </c>
      <c r="AC91" s="239">
        <f>'Basis Options'!H96</f>
        <v>500000</v>
      </c>
      <c r="AD91" s="239">
        <f>'Basis Options'!W96</f>
        <v>17142.57975655538</v>
      </c>
      <c r="AE91">
        <v>0</v>
      </c>
      <c r="AF91">
        <v>0</v>
      </c>
      <c r="AG91">
        <v>0</v>
      </c>
      <c r="AH91" s="239">
        <f>'Basis Options'!BC96</f>
        <v>-6229.9717700868932</v>
      </c>
      <c r="AI91">
        <v>232</v>
      </c>
      <c r="AJ91" t="s">
        <v>259</v>
      </c>
      <c r="AK91">
        <v>0</v>
      </c>
      <c r="AL91">
        <v>0</v>
      </c>
      <c r="AM91">
        <v>0</v>
      </c>
    </row>
    <row r="92" spans="1:39" x14ac:dyDescent="0.25">
      <c r="A92" t="s">
        <v>236</v>
      </c>
      <c r="B92" t="str">
        <f>'Basis Options'!C97</f>
        <v>NE8609</v>
      </c>
      <c r="C92" t="s">
        <v>258</v>
      </c>
      <c r="D92" t="s">
        <v>237</v>
      </c>
      <c r="E92" t="s">
        <v>20</v>
      </c>
      <c r="F92" t="str">
        <f>'Basis Options'!A97</f>
        <v>ELPASMER</v>
      </c>
      <c r="G92" t="s">
        <v>272</v>
      </c>
      <c r="H92" t="s">
        <v>257</v>
      </c>
      <c r="I92" t="s">
        <v>245</v>
      </c>
      <c r="J92" t="s">
        <v>238</v>
      </c>
      <c r="K92" s="393">
        <f>'Basis Options'!G97</f>
        <v>36892</v>
      </c>
      <c r="L92" s="239">
        <f>'Basis Options'!U97</f>
        <v>31852.954653348643</v>
      </c>
      <c r="M92" s="393">
        <f>'Basis Options'!Q97</f>
        <v>36888</v>
      </c>
      <c r="N92" t="str">
        <f>'Basis Options'!F97</f>
        <v>P</v>
      </c>
      <c r="O92">
        <f>'Basis Options'!I97</f>
        <v>1</v>
      </c>
      <c r="P92">
        <v>0</v>
      </c>
      <c r="Q92">
        <v>0</v>
      </c>
      <c r="R92">
        <v>0</v>
      </c>
      <c r="S92">
        <v>0</v>
      </c>
      <c r="T92" t="s">
        <v>256</v>
      </c>
      <c r="U92" t="str">
        <f>IF('Basis Options'!D97="NGI/CHI. GATE","""NGI/CHI. GATE""",TRIM('Basis Options'!D97))</f>
        <v>IF-TRANSCO/Z6</v>
      </c>
      <c r="V92" t="s">
        <v>256</v>
      </c>
      <c r="W92" t="s">
        <v>135</v>
      </c>
      <c r="X92" t="s">
        <v>256</v>
      </c>
      <c r="Y92" t="s">
        <v>238</v>
      </c>
      <c r="Z92" t="s">
        <v>239</v>
      </c>
      <c r="AA92" t="s">
        <v>256</v>
      </c>
      <c r="AB92" t="s">
        <v>1</v>
      </c>
      <c r="AC92" s="239">
        <f>'Basis Options'!H97</f>
        <v>500000</v>
      </c>
      <c r="AD92" s="239">
        <f>'Basis Options'!W97</f>
        <v>10702.312106301848</v>
      </c>
      <c r="AE92">
        <v>0</v>
      </c>
      <c r="AF92">
        <v>0</v>
      </c>
      <c r="AG92">
        <v>0</v>
      </c>
      <c r="AH92" s="239">
        <f>'Basis Options'!BC97</f>
        <v>-5684.0165377201047</v>
      </c>
      <c r="AI92">
        <v>232</v>
      </c>
      <c r="AJ92" t="s">
        <v>259</v>
      </c>
      <c r="AK92">
        <v>0</v>
      </c>
      <c r="AL92">
        <v>0</v>
      </c>
      <c r="AM92">
        <v>0</v>
      </c>
    </row>
    <row r="93" spans="1:39" x14ac:dyDescent="0.25">
      <c r="A93" t="s">
        <v>236</v>
      </c>
      <c r="B93" t="str">
        <f>'Basis Options'!C98</f>
        <v>NE8609</v>
      </c>
      <c r="C93" t="s">
        <v>258</v>
      </c>
      <c r="D93" t="s">
        <v>237</v>
      </c>
      <c r="E93" t="s">
        <v>20</v>
      </c>
      <c r="F93" t="str">
        <f>'Basis Options'!A98</f>
        <v>ELPASMER</v>
      </c>
      <c r="G93" t="s">
        <v>272</v>
      </c>
      <c r="H93" t="s">
        <v>257</v>
      </c>
      <c r="I93" t="s">
        <v>245</v>
      </c>
      <c r="J93" t="s">
        <v>238</v>
      </c>
      <c r="K93" s="393">
        <f>'Basis Options'!G98</f>
        <v>36923</v>
      </c>
      <c r="L93" s="239">
        <f>'Basis Options'!U98</f>
        <v>55749.378010687578</v>
      </c>
      <c r="M93" s="393">
        <f>'Basis Options'!Q98</f>
        <v>36921</v>
      </c>
      <c r="N93" t="str">
        <f>'Basis Options'!F98</f>
        <v>P</v>
      </c>
      <c r="O93">
        <f>'Basis Options'!I98</f>
        <v>1</v>
      </c>
      <c r="P93">
        <v>0</v>
      </c>
      <c r="Q93">
        <v>0</v>
      </c>
      <c r="R93">
        <v>0</v>
      </c>
      <c r="S93">
        <v>0</v>
      </c>
      <c r="T93" t="s">
        <v>256</v>
      </c>
      <c r="U93" t="str">
        <f>IF('Basis Options'!D98="NGI/CHI. GATE","""NGI/CHI. GATE""",TRIM('Basis Options'!D98))</f>
        <v>IF-TRANSCO/Z6</v>
      </c>
      <c r="V93" t="s">
        <v>256</v>
      </c>
      <c r="W93" t="s">
        <v>135</v>
      </c>
      <c r="X93" t="s">
        <v>256</v>
      </c>
      <c r="Y93" t="s">
        <v>238</v>
      </c>
      <c r="Z93" t="s">
        <v>239</v>
      </c>
      <c r="AA93" t="s">
        <v>256</v>
      </c>
      <c r="AB93" t="s">
        <v>1</v>
      </c>
      <c r="AC93" s="239">
        <f>'Basis Options'!H98</f>
        <v>500000</v>
      </c>
      <c r="AD93" s="239">
        <f>'Basis Options'!W98</f>
        <v>15796.754542956536</v>
      </c>
      <c r="AE93">
        <v>0</v>
      </c>
      <c r="AF93">
        <v>0</v>
      </c>
      <c r="AG93">
        <v>0</v>
      </c>
      <c r="AH93" s="239">
        <f>'Basis Options'!BC98</f>
        <v>-5800.4343944362263</v>
      </c>
      <c r="AI93">
        <v>232</v>
      </c>
      <c r="AJ93" t="s">
        <v>259</v>
      </c>
      <c r="AK93">
        <v>0</v>
      </c>
      <c r="AL93">
        <v>0</v>
      </c>
      <c r="AM93">
        <v>0</v>
      </c>
    </row>
    <row r="94" spans="1:39" x14ac:dyDescent="0.25">
      <c r="A94" t="s">
        <v>236</v>
      </c>
      <c r="B94" t="str">
        <f>'Basis Options'!C99</f>
        <v>NE8644</v>
      </c>
      <c r="C94" t="s">
        <v>258</v>
      </c>
      <c r="D94" t="s">
        <v>237</v>
      </c>
      <c r="E94" t="s">
        <v>20</v>
      </c>
      <c r="F94" t="str">
        <f>'Basis Options'!A99</f>
        <v>JARON</v>
      </c>
      <c r="G94" t="s">
        <v>272</v>
      </c>
      <c r="H94" t="s">
        <v>257</v>
      </c>
      <c r="I94" t="s">
        <v>245</v>
      </c>
      <c r="J94" t="s">
        <v>238</v>
      </c>
      <c r="K94" s="393">
        <f>'Basis Options'!G99</f>
        <v>36831</v>
      </c>
      <c r="L94" s="239">
        <f>'Basis Options'!U99</f>
        <v>92994.103932723665</v>
      </c>
      <c r="M94" s="393">
        <f>'Basis Options'!Q99</f>
        <v>36829</v>
      </c>
      <c r="N94" t="str">
        <f>'Basis Options'!F99</f>
        <v>P</v>
      </c>
      <c r="O94">
        <f>'Basis Options'!I99</f>
        <v>0.75</v>
      </c>
      <c r="P94">
        <v>0</v>
      </c>
      <c r="Q94">
        <v>0</v>
      </c>
      <c r="R94">
        <v>0</v>
      </c>
      <c r="S94">
        <v>0</v>
      </c>
      <c r="T94" t="s">
        <v>256</v>
      </c>
      <c r="U94" t="str">
        <f>IF('Basis Options'!D99="NGI/CHI. GATE","""NGI/CHI. GATE""",TRIM('Basis Options'!D99))</f>
        <v>IF-TRANSCO/Z6</v>
      </c>
      <c r="V94" t="s">
        <v>256</v>
      </c>
      <c r="W94" t="s">
        <v>135</v>
      </c>
      <c r="X94" t="s">
        <v>256</v>
      </c>
      <c r="Y94" t="s">
        <v>238</v>
      </c>
      <c r="Z94" t="s">
        <v>239</v>
      </c>
      <c r="AA94" t="s">
        <v>256</v>
      </c>
      <c r="AB94" t="s">
        <v>1</v>
      </c>
      <c r="AC94" s="239">
        <f>'Basis Options'!H99</f>
        <v>500000</v>
      </c>
      <c r="AD94" s="239">
        <f>'Basis Options'!W99</f>
        <v>16129.528767555865</v>
      </c>
      <c r="AE94">
        <v>0</v>
      </c>
      <c r="AF94">
        <v>0</v>
      </c>
      <c r="AG94">
        <v>0</v>
      </c>
      <c r="AH94" s="239">
        <f>'Basis Options'!BC99</f>
        <v>1056.8413683653635</v>
      </c>
      <c r="AI94">
        <v>232</v>
      </c>
      <c r="AJ94" t="s">
        <v>259</v>
      </c>
      <c r="AK94">
        <v>0</v>
      </c>
      <c r="AL94">
        <v>0</v>
      </c>
      <c r="AM94">
        <v>0</v>
      </c>
    </row>
    <row r="95" spans="1:39" x14ac:dyDescent="0.25">
      <c r="A95" t="s">
        <v>236</v>
      </c>
      <c r="B95" t="str">
        <f>'Basis Options'!C100</f>
        <v>NE8644</v>
      </c>
      <c r="C95" t="s">
        <v>258</v>
      </c>
      <c r="D95" t="s">
        <v>237</v>
      </c>
      <c r="E95" t="s">
        <v>20</v>
      </c>
      <c r="F95" t="str">
        <f>'Basis Options'!A100</f>
        <v>JARON</v>
      </c>
      <c r="G95" t="s">
        <v>272</v>
      </c>
      <c r="H95" t="s">
        <v>257</v>
      </c>
      <c r="I95" t="s">
        <v>245</v>
      </c>
      <c r="J95" t="s">
        <v>238</v>
      </c>
      <c r="K95" s="393">
        <f>'Basis Options'!G100</f>
        <v>36861</v>
      </c>
      <c r="L95" s="239">
        <f>'Basis Options'!U100</f>
        <v>33021.354549055635</v>
      </c>
      <c r="M95" s="393">
        <f>'Basis Options'!Q100</f>
        <v>36859</v>
      </c>
      <c r="N95" t="str">
        <f>'Basis Options'!F100</f>
        <v>P</v>
      </c>
      <c r="O95">
        <f>'Basis Options'!I100</f>
        <v>0.75</v>
      </c>
      <c r="P95">
        <v>0</v>
      </c>
      <c r="Q95">
        <v>0</v>
      </c>
      <c r="R95">
        <v>0</v>
      </c>
      <c r="S95">
        <v>0</v>
      </c>
      <c r="T95" t="s">
        <v>256</v>
      </c>
      <c r="U95" t="str">
        <f>IF('Basis Options'!D100="NGI/CHI. GATE","""NGI/CHI. GATE""",TRIM('Basis Options'!D100))</f>
        <v>IF-TRANSCO/Z6</v>
      </c>
      <c r="V95" t="s">
        <v>256</v>
      </c>
      <c r="W95" t="s">
        <v>135</v>
      </c>
      <c r="X95" t="s">
        <v>256</v>
      </c>
      <c r="Y95" t="s">
        <v>238</v>
      </c>
      <c r="Z95" t="s">
        <v>239</v>
      </c>
      <c r="AA95" t="s">
        <v>256</v>
      </c>
      <c r="AB95" t="s">
        <v>1</v>
      </c>
      <c r="AC95" s="239">
        <f>'Basis Options'!H100</f>
        <v>500000</v>
      </c>
      <c r="AD95" s="239">
        <f>'Basis Options'!W100</f>
        <v>13354.382468314667</v>
      </c>
      <c r="AE95">
        <v>0</v>
      </c>
      <c r="AF95">
        <v>0</v>
      </c>
      <c r="AG95">
        <v>0</v>
      </c>
      <c r="AH95" s="239">
        <f>'Basis Options'!BC100</f>
        <v>-3357.1804103018621</v>
      </c>
      <c r="AI95">
        <v>232</v>
      </c>
      <c r="AJ95" t="s">
        <v>259</v>
      </c>
      <c r="AK95">
        <v>0</v>
      </c>
      <c r="AL95">
        <v>0</v>
      </c>
      <c r="AM95">
        <v>0</v>
      </c>
    </row>
    <row r="96" spans="1:39" x14ac:dyDescent="0.25">
      <c r="A96" t="s">
        <v>236</v>
      </c>
      <c r="B96" t="str">
        <f>'Basis Options'!C101</f>
        <v>NE8644</v>
      </c>
      <c r="C96" t="s">
        <v>258</v>
      </c>
      <c r="D96" t="s">
        <v>237</v>
      </c>
      <c r="E96" t="s">
        <v>20</v>
      </c>
      <c r="F96" t="str">
        <f>'Basis Options'!A101</f>
        <v>JARON</v>
      </c>
      <c r="G96" t="s">
        <v>272</v>
      </c>
      <c r="H96" t="s">
        <v>257</v>
      </c>
      <c r="I96" t="s">
        <v>245</v>
      </c>
      <c r="J96" t="s">
        <v>238</v>
      </c>
      <c r="K96" s="393">
        <f>'Basis Options'!G101</f>
        <v>36892</v>
      </c>
      <c r="L96" s="239">
        <f>'Basis Options'!U101</f>
        <v>10344.957634212336</v>
      </c>
      <c r="M96" s="393">
        <f>'Basis Options'!Q101</f>
        <v>36888</v>
      </c>
      <c r="N96" t="str">
        <f>'Basis Options'!F101</f>
        <v>P</v>
      </c>
      <c r="O96">
        <f>'Basis Options'!I101</f>
        <v>0.75</v>
      </c>
      <c r="P96">
        <v>0</v>
      </c>
      <c r="Q96">
        <v>0</v>
      </c>
      <c r="R96">
        <v>0</v>
      </c>
      <c r="S96">
        <v>0</v>
      </c>
      <c r="T96" t="s">
        <v>256</v>
      </c>
      <c r="U96" t="str">
        <f>IF('Basis Options'!D101="NGI/CHI. GATE","""NGI/CHI. GATE""",TRIM('Basis Options'!D101))</f>
        <v>IF-TRANSCO/Z6</v>
      </c>
      <c r="V96" t="s">
        <v>256</v>
      </c>
      <c r="W96" t="s">
        <v>135</v>
      </c>
      <c r="X96" t="s">
        <v>256</v>
      </c>
      <c r="Y96" t="s">
        <v>238</v>
      </c>
      <c r="Z96" t="s">
        <v>239</v>
      </c>
      <c r="AA96" t="s">
        <v>256</v>
      </c>
      <c r="AB96" t="s">
        <v>1</v>
      </c>
      <c r="AC96" s="239">
        <f>'Basis Options'!H101</f>
        <v>500000</v>
      </c>
      <c r="AD96" s="239">
        <f>'Basis Options'!W101</f>
        <v>6414.5285686084171</v>
      </c>
      <c r="AE96">
        <v>0</v>
      </c>
      <c r="AF96">
        <v>0</v>
      </c>
      <c r="AG96">
        <v>0</v>
      </c>
      <c r="AH96" s="239">
        <f>'Basis Options'!BC101</f>
        <v>-2324.7089420233024</v>
      </c>
      <c r="AI96">
        <v>232</v>
      </c>
      <c r="AJ96" t="s">
        <v>259</v>
      </c>
      <c r="AK96">
        <v>0</v>
      </c>
      <c r="AL96">
        <v>0</v>
      </c>
      <c r="AM96">
        <v>0</v>
      </c>
    </row>
    <row r="97" spans="1:39" x14ac:dyDescent="0.25">
      <c r="A97" t="s">
        <v>236</v>
      </c>
      <c r="B97" t="str">
        <f>'Basis Options'!C102</f>
        <v>NE8644</v>
      </c>
      <c r="C97" t="s">
        <v>258</v>
      </c>
      <c r="D97" t="s">
        <v>237</v>
      </c>
      <c r="E97" t="s">
        <v>20</v>
      </c>
      <c r="F97" t="str">
        <f>'Basis Options'!A102</f>
        <v>JARON</v>
      </c>
      <c r="G97" t="s">
        <v>272</v>
      </c>
      <c r="H97" t="s">
        <v>257</v>
      </c>
      <c r="I97" t="s">
        <v>245</v>
      </c>
      <c r="J97" t="s">
        <v>238</v>
      </c>
      <c r="K97" s="393">
        <f>'Basis Options'!G102</f>
        <v>36923</v>
      </c>
      <c r="L97" s="239">
        <f>'Basis Options'!U102</f>
        <v>23674.094184837457</v>
      </c>
      <c r="M97" s="393">
        <f>'Basis Options'!Q102</f>
        <v>36921</v>
      </c>
      <c r="N97" t="str">
        <f>'Basis Options'!F102</f>
        <v>P</v>
      </c>
      <c r="O97">
        <f>'Basis Options'!I102</f>
        <v>0.75</v>
      </c>
      <c r="P97">
        <v>0</v>
      </c>
      <c r="Q97">
        <v>0</v>
      </c>
      <c r="R97">
        <v>0</v>
      </c>
      <c r="S97">
        <v>0</v>
      </c>
      <c r="T97" t="s">
        <v>256</v>
      </c>
      <c r="U97" t="str">
        <f>IF('Basis Options'!D102="NGI/CHI. GATE","""NGI/CHI. GATE""",TRIM('Basis Options'!D102))</f>
        <v>IF-TRANSCO/Z6</v>
      </c>
      <c r="V97" t="s">
        <v>256</v>
      </c>
      <c r="W97" t="s">
        <v>135</v>
      </c>
      <c r="X97" t="s">
        <v>256</v>
      </c>
      <c r="Y97" t="s">
        <v>238</v>
      </c>
      <c r="Z97" t="s">
        <v>239</v>
      </c>
      <c r="AA97" t="s">
        <v>256</v>
      </c>
      <c r="AB97" t="s">
        <v>1</v>
      </c>
      <c r="AC97" s="239">
        <f>'Basis Options'!H102</f>
        <v>500000</v>
      </c>
      <c r="AD97" s="239">
        <f>'Basis Options'!W102</f>
        <v>11273.236794407108</v>
      </c>
      <c r="AE97">
        <v>0</v>
      </c>
      <c r="AF97">
        <v>0</v>
      </c>
      <c r="AG97">
        <v>0</v>
      </c>
      <c r="AH97" s="239">
        <f>'Basis Options'!BC102</f>
        <v>-2997.2113969423117</v>
      </c>
      <c r="AI97">
        <v>232</v>
      </c>
      <c r="AJ97" t="s">
        <v>259</v>
      </c>
      <c r="AK97">
        <v>0</v>
      </c>
      <c r="AL97">
        <v>0</v>
      </c>
      <c r="AM97">
        <v>0</v>
      </c>
    </row>
    <row r="98" spans="1:39" x14ac:dyDescent="0.25">
      <c r="A98" t="s">
        <v>236</v>
      </c>
      <c r="B98" t="str">
        <f>'Basis Options'!C103</f>
        <v>NE8644</v>
      </c>
      <c r="C98" t="s">
        <v>258</v>
      </c>
      <c r="D98" t="s">
        <v>237</v>
      </c>
      <c r="E98" t="s">
        <v>20</v>
      </c>
      <c r="F98" t="str">
        <f>'Basis Options'!A103</f>
        <v>JARON</v>
      </c>
      <c r="G98" t="s">
        <v>272</v>
      </c>
      <c r="H98" t="s">
        <v>257</v>
      </c>
      <c r="I98" t="s">
        <v>245</v>
      </c>
      <c r="J98" t="s">
        <v>238</v>
      </c>
      <c r="K98" s="393">
        <f>'Basis Options'!G103</f>
        <v>36951</v>
      </c>
      <c r="L98" s="239">
        <f>'Basis Options'!U103</f>
        <v>82333.9902515508</v>
      </c>
      <c r="M98" s="393">
        <f>'Basis Options'!Q103</f>
        <v>36949</v>
      </c>
      <c r="N98" t="str">
        <f>'Basis Options'!F103</f>
        <v>P</v>
      </c>
      <c r="O98">
        <f>'Basis Options'!I103</f>
        <v>0.75</v>
      </c>
      <c r="P98">
        <v>0</v>
      </c>
      <c r="Q98">
        <v>0</v>
      </c>
      <c r="R98">
        <v>0</v>
      </c>
      <c r="S98">
        <v>0</v>
      </c>
      <c r="T98" t="s">
        <v>256</v>
      </c>
      <c r="U98" t="str">
        <f>IF('Basis Options'!D103="NGI/CHI. GATE","""NGI/CHI. GATE""",TRIM('Basis Options'!D103))</f>
        <v>IF-TRANSCO/Z6</v>
      </c>
      <c r="V98" t="s">
        <v>256</v>
      </c>
      <c r="W98" t="s">
        <v>135</v>
      </c>
      <c r="X98" t="s">
        <v>256</v>
      </c>
      <c r="Y98" t="s">
        <v>238</v>
      </c>
      <c r="Z98" t="s">
        <v>239</v>
      </c>
      <c r="AA98" t="s">
        <v>256</v>
      </c>
      <c r="AB98" t="s">
        <v>1</v>
      </c>
      <c r="AC98" s="239">
        <f>'Basis Options'!H103</f>
        <v>500000</v>
      </c>
      <c r="AD98" s="239">
        <f>'Basis Options'!W103</f>
        <v>19553.829316448682</v>
      </c>
      <c r="AE98">
        <v>0</v>
      </c>
      <c r="AF98">
        <v>0</v>
      </c>
      <c r="AG98">
        <v>0</v>
      </c>
      <c r="AH98" s="239">
        <f>'Basis Options'!BC103</f>
        <v>22448.560898885589</v>
      </c>
      <c r="AI98">
        <v>232</v>
      </c>
      <c r="AJ98" t="s">
        <v>259</v>
      </c>
      <c r="AK98">
        <v>0</v>
      </c>
      <c r="AL98">
        <v>0</v>
      </c>
      <c r="AM98">
        <v>0</v>
      </c>
    </row>
    <row r="99" spans="1:39" x14ac:dyDescent="0.25">
      <c r="A99" t="s">
        <v>236</v>
      </c>
      <c r="B99" t="str">
        <f>'Basis Options'!C104</f>
        <v>NE9017</v>
      </c>
      <c r="C99" t="s">
        <v>258</v>
      </c>
      <c r="D99" t="s">
        <v>237</v>
      </c>
      <c r="E99" t="s">
        <v>20</v>
      </c>
      <c r="F99" t="str">
        <f>'Basis Options'!A104</f>
        <v>ELPASMER</v>
      </c>
      <c r="G99" t="s">
        <v>272</v>
      </c>
      <c r="H99" t="s">
        <v>257</v>
      </c>
      <c r="I99" t="s">
        <v>245</v>
      </c>
      <c r="J99" t="s">
        <v>238</v>
      </c>
      <c r="K99" s="393">
        <f>'Basis Options'!G104</f>
        <v>36831</v>
      </c>
      <c r="L99" s="239">
        <f>'Basis Options'!U104</f>
        <v>-23065.540089900747</v>
      </c>
      <c r="M99" s="393">
        <f>'Basis Options'!Q104</f>
        <v>36829</v>
      </c>
      <c r="N99" t="str">
        <f>'Basis Options'!F104</f>
        <v>C</v>
      </c>
      <c r="O99">
        <f>'Basis Options'!I104</f>
        <v>1.1499999999999999</v>
      </c>
      <c r="P99">
        <v>0</v>
      </c>
      <c r="Q99">
        <v>0</v>
      </c>
      <c r="R99">
        <v>0</v>
      </c>
      <c r="S99">
        <v>0</v>
      </c>
      <c r="T99" t="s">
        <v>256</v>
      </c>
      <c r="U99" t="str">
        <f>IF('Basis Options'!D104="NGI/CHI. GATE","""NGI/CHI. GATE""",TRIM('Basis Options'!D104))</f>
        <v>IF-TRANSCO/Z6</v>
      </c>
      <c r="V99" t="s">
        <v>256</v>
      </c>
      <c r="W99" t="s">
        <v>135</v>
      </c>
      <c r="X99" t="s">
        <v>256</v>
      </c>
      <c r="Y99" t="s">
        <v>238</v>
      </c>
      <c r="Z99" t="s">
        <v>239</v>
      </c>
      <c r="AA99" t="s">
        <v>256</v>
      </c>
      <c r="AB99" t="s">
        <v>1</v>
      </c>
      <c r="AC99" s="239">
        <f>'Basis Options'!H104</f>
        <v>-500000</v>
      </c>
      <c r="AD99" s="239">
        <f>'Basis Options'!W104</f>
        <v>-10168.202732750477</v>
      </c>
      <c r="AE99">
        <v>0</v>
      </c>
      <c r="AF99">
        <v>0</v>
      </c>
      <c r="AG99">
        <v>0</v>
      </c>
      <c r="AH99" s="239">
        <f>'Basis Options'!BC104</f>
        <v>-661.10792033238249</v>
      </c>
      <c r="AI99">
        <v>232</v>
      </c>
      <c r="AJ99" t="s">
        <v>259</v>
      </c>
      <c r="AK99">
        <v>0</v>
      </c>
      <c r="AL99">
        <v>0</v>
      </c>
      <c r="AM99">
        <v>0</v>
      </c>
    </row>
    <row r="100" spans="1:39" x14ac:dyDescent="0.25">
      <c r="A100" t="s">
        <v>236</v>
      </c>
      <c r="B100" t="str">
        <f>'Basis Options'!C105</f>
        <v>NE9017</v>
      </c>
      <c r="C100" t="s">
        <v>258</v>
      </c>
      <c r="D100" t="s">
        <v>237</v>
      </c>
      <c r="E100" t="s">
        <v>20</v>
      </c>
      <c r="F100" t="str">
        <f>'Basis Options'!A105</f>
        <v>ELPASMER</v>
      </c>
      <c r="G100" t="s">
        <v>272</v>
      </c>
      <c r="H100" t="s">
        <v>257</v>
      </c>
      <c r="I100" t="s">
        <v>245</v>
      </c>
      <c r="J100" t="s">
        <v>238</v>
      </c>
      <c r="K100" s="393">
        <f>'Basis Options'!G105</f>
        <v>36861</v>
      </c>
      <c r="L100" s="239">
        <f>'Basis Options'!U105</f>
        <v>-165883.11365808162</v>
      </c>
      <c r="M100" s="393">
        <f>'Basis Options'!Q105</f>
        <v>36859</v>
      </c>
      <c r="N100" t="str">
        <f>'Basis Options'!F105</f>
        <v>C</v>
      </c>
      <c r="O100">
        <f>'Basis Options'!I105</f>
        <v>1.1499999999999999</v>
      </c>
      <c r="P100">
        <v>0</v>
      </c>
      <c r="Q100">
        <v>0</v>
      </c>
      <c r="R100">
        <v>0</v>
      </c>
      <c r="S100">
        <v>0</v>
      </c>
      <c r="T100" t="s">
        <v>256</v>
      </c>
      <c r="U100" t="str">
        <f>IF('Basis Options'!D105="NGI/CHI. GATE","""NGI/CHI. GATE""",TRIM('Basis Options'!D105))</f>
        <v>IF-TRANSCO/Z6</v>
      </c>
      <c r="V100" t="s">
        <v>256</v>
      </c>
      <c r="W100" t="s">
        <v>135</v>
      </c>
      <c r="X100" t="s">
        <v>256</v>
      </c>
      <c r="Y100" t="s">
        <v>238</v>
      </c>
      <c r="Z100" t="s">
        <v>239</v>
      </c>
      <c r="AA100" t="s">
        <v>256</v>
      </c>
      <c r="AB100" t="s">
        <v>1</v>
      </c>
      <c r="AC100" s="239">
        <f>'Basis Options'!H105</f>
        <v>-500000</v>
      </c>
      <c r="AD100" s="239">
        <f>'Basis Options'!W105</f>
        <v>-18175.342257449112</v>
      </c>
      <c r="AE100">
        <v>0</v>
      </c>
      <c r="AF100">
        <v>0</v>
      </c>
      <c r="AG100">
        <v>0</v>
      </c>
      <c r="AH100" s="239">
        <f>'Basis Options'!BC105</f>
        <v>-14673.673877534369</v>
      </c>
      <c r="AI100">
        <v>232</v>
      </c>
      <c r="AJ100" t="s">
        <v>259</v>
      </c>
      <c r="AK100">
        <v>0</v>
      </c>
      <c r="AL100">
        <v>0</v>
      </c>
      <c r="AM100">
        <v>0</v>
      </c>
    </row>
    <row r="101" spans="1:39" x14ac:dyDescent="0.25">
      <c r="A101" t="s">
        <v>236</v>
      </c>
      <c r="B101" t="str">
        <f>'Basis Options'!C106</f>
        <v>NE9017</v>
      </c>
      <c r="C101" t="s">
        <v>258</v>
      </c>
      <c r="D101" t="s">
        <v>237</v>
      </c>
      <c r="E101" t="s">
        <v>20</v>
      </c>
      <c r="F101" t="str">
        <f>'Basis Options'!A106</f>
        <v>ELPASMER</v>
      </c>
      <c r="G101" t="s">
        <v>272</v>
      </c>
      <c r="H101" t="s">
        <v>257</v>
      </c>
      <c r="I101" t="s">
        <v>245</v>
      </c>
      <c r="J101" t="s">
        <v>238</v>
      </c>
      <c r="K101" s="393">
        <f>'Basis Options'!G106</f>
        <v>36892</v>
      </c>
      <c r="L101" s="239">
        <f>'Basis Options'!U106</f>
        <v>-234559.40570049096</v>
      </c>
      <c r="M101" s="393">
        <f>'Basis Options'!Q106</f>
        <v>36888</v>
      </c>
      <c r="N101" t="str">
        <f>'Basis Options'!F106</f>
        <v>C</v>
      </c>
      <c r="O101">
        <f>'Basis Options'!I106</f>
        <v>1.1499999999999999</v>
      </c>
      <c r="P101">
        <v>0</v>
      </c>
      <c r="Q101">
        <v>0</v>
      </c>
      <c r="R101">
        <v>0</v>
      </c>
      <c r="S101">
        <v>0</v>
      </c>
      <c r="T101" t="s">
        <v>256</v>
      </c>
      <c r="U101" t="str">
        <f>IF('Basis Options'!D106="NGI/CHI. GATE","""NGI/CHI. GATE""",TRIM('Basis Options'!D106))</f>
        <v>IF-TRANSCO/Z6</v>
      </c>
      <c r="V101" t="s">
        <v>256</v>
      </c>
      <c r="W101" t="s">
        <v>135</v>
      </c>
      <c r="X101" t="s">
        <v>256</v>
      </c>
      <c r="Y101" t="s">
        <v>238</v>
      </c>
      <c r="Z101" t="s">
        <v>239</v>
      </c>
      <c r="AA101" t="s">
        <v>256</v>
      </c>
      <c r="AB101" t="s">
        <v>1</v>
      </c>
      <c r="AC101" s="239">
        <f>'Basis Options'!H106</f>
        <v>-500000</v>
      </c>
      <c r="AD101" s="239">
        <f>'Basis Options'!W106</f>
        <v>-12686.875274941442</v>
      </c>
      <c r="AE101">
        <v>0</v>
      </c>
      <c r="AF101">
        <v>0</v>
      </c>
      <c r="AG101">
        <v>0</v>
      </c>
      <c r="AH101" s="239">
        <f>'Basis Options'!BC106</f>
        <v>-26259.249610708619</v>
      </c>
      <c r="AI101">
        <v>232</v>
      </c>
      <c r="AJ101" t="s">
        <v>259</v>
      </c>
      <c r="AK101">
        <v>0</v>
      </c>
      <c r="AL101">
        <v>0</v>
      </c>
      <c r="AM101">
        <v>0</v>
      </c>
    </row>
    <row r="102" spans="1:39" x14ac:dyDescent="0.25">
      <c r="A102" t="s">
        <v>236</v>
      </c>
      <c r="B102" t="str">
        <f>'Basis Options'!C107</f>
        <v>NE9017</v>
      </c>
      <c r="C102" t="s">
        <v>258</v>
      </c>
      <c r="D102" t="s">
        <v>237</v>
      </c>
      <c r="E102" t="s">
        <v>20</v>
      </c>
      <c r="F102" t="str">
        <f>'Basis Options'!A107</f>
        <v>ELPASMER</v>
      </c>
      <c r="G102" t="s">
        <v>272</v>
      </c>
      <c r="H102" t="s">
        <v>257</v>
      </c>
      <c r="I102" t="s">
        <v>245</v>
      </c>
      <c r="J102" t="s">
        <v>238</v>
      </c>
      <c r="K102" s="393">
        <f>'Basis Options'!G107</f>
        <v>36923</v>
      </c>
      <c r="L102" s="239">
        <f>'Basis Options'!U107</f>
        <v>-244192.51558792003</v>
      </c>
      <c r="M102" s="393">
        <f>'Basis Options'!Q107</f>
        <v>36921</v>
      </c>
      <c r="N102" t="str">
        <f>'Basis Options'!F107</f>
        <v>C</v>
      </c>
      <c r="O102">
        <f>'Basis Options'!I107</f>
        <v>1.1499999999999999</v>
      </c>
      <c r="P102">
        <v>0</v>
      </c>
      <c r="Q102">
        <v>0</v>
      </c>
      <c r="R102">
        <v>0</v>
      </c>
      <c r="S102">
        <v>0</v>
      </c>
      <c r="T102" t="s">
        <v>256</v>
      </c>
      <c r="U102" t="str">
        <f>IF('Basis Options'!D107="NGI/CHI. GATE","""NGI/CHI. GATE""",TRIM('Basis Options'!D107))</f>
        <v>IF-TRANSCO/Z6</v>
      </c>
      <c r="V102" t="s">
        <v>256</v>
      </c>
      <c r="W102" t="s">
        <v>135</v>
      </c>
      <c r="X102" t="s">
        <v>256</v>
      </c>
      <c r="Y102" t="s">
        <v>238</v>
      </c>
      <c r="Z102" t="s">
        <v>239</v>
      </c>
      <c r="AA102" t="s">
        <v>256</v>
      </c>
      <c r="AB102" t="s">
        <v>1</v>
      </c>
      <c r="AC102" s="239">
        <f>'Basis Options'!H107</f>
        <v>-500000</v>
      </c>
      <c r="AD102" s="239">
        <f>'Basis Options'!W107</f>
        <v>-17642.696579375071</v>
      </c>
      <c r="AE102">
        <v>0</v>
      </c>
      <c r="AF102">
        <v>0</v>
      </c>
      <c r="AG102">
        <v>0</v>
      </c>
      <c r="AH102" s="239">
        <f>'Basis Options'!BC107</f>
        <v>-20701.78071577943</v>
      </c>
      <c r="AI102">
        <v>232</v>
      </c>
      <c r="AJ102" t="s">
        <v>259</v>
      </c>
      <c r="AK102">
        <v>0</v>
      </c>
      <c r="AL102">
        <v>0</v>
      </c>
      <c r="AM102">
        <v>0</v>
      </c>
    </row>
    <row r="103" spans="1:39" x14ac:dyDescent="0.25">
      <c r="A103" t="s">
        <v>236</v>
      </c>
      <c r="B103" t="str">
        <f>'Basis Options'!C108</f>
        <v>NE9017</v>
      </c>
      <c r="C103" t="s">
        <v>258</v>
      </c>
      <c r="D103" t="s">
        <v>237</v>
      </c>
      <c r="E103" t="s">
        <v>20</v>
      </c>
      <c r="F103" t="str">
        <f>'Basis Options'!A108</f>
        <v>ELPASMER</v>
      </c>
      <c r="G103" t="s">
        <v>272</v>
      </c>
      <c r="H103" t="s">
        <v>257</v>
      </c>
      <c r="I103" t="s">
        <v>245</v>
      </c>
      <c r="J103" t="s">
        <v>238</v>
      </c>
      <c r="K103" s="393">
        <f>'Basis Options'!G108</f>
        <v>36951</v>
      </c>
      <c r="L103" s="239">
        <f>'Basis Options'!U108</f>
        <v>-65785.895738464518</v>
      </c>
      <c r="M103" s="393">
        <f>'Basis Options'!Q108</f>
        <v>36949</v>
      </c>
      <c r="N103" t="str">
        <f>'Basis Options'!F108</f>
        <v>C</v>
      </c>
      <c r="O103">
        <f>'Basis Options'!I108</f>
        <v>1.1499999999999999</v>
      </c>
      <c r="P103">
        <v>0</v>
      </c>
      <c r="Q103">
        <v>0</v>
      </c>
      <c r="R103">
        <v>0</v>
      </c>
      <c r="S103">
        <v>0</v>
      </c>
      <c r="T103" t="s">
        <v>256</v>
      </c>
      <c r="U103" t="str">
        <f>IF('Basis Options'!D108="NGI/CHI. GATE","""NGI/CHI. GATE""",TRIM('Basis Options'!D108))</f>
        <v>IF-TRANSCO/Z6</v>
      </c>
      <c r="V103" t="s">
        <v>256</v>
      </c>
      <c r="W103" t="s">
        <v>135</v>
      </c>
      <c r="X103" t="s">
        <v>256</v>
      </c>
      <c r="Y103" t="s">
        <v>238</v>
      </c>
      <c r="Z103" t="s">
        <v>239</v>
      </c>
      <c r="AA103" t="s">
        <v>256</v>
      </c>
      <c r="AB103" t="s">
        <v>1</v>
      </c>
      <c r="AC103" s="239">
        <f>'Basis Options'!H108</f>
        <v>-500000</v>
      </c>
      <c r="AD103" s="239">
        <f>'Basis Options'!W108</f>
        <v>-17743.252485273144</v>
      </c>
      <c r="AE103">
        <v>0</v>
      </c>
      <c r="AF103">
        <v>0</v>
      </c>
      <c r="AG103">
        <v>0</v>
      </c>
      <c r="AH103" s="239">
        <f>'Basis Options'!BC108</f>
        <v>25244.168975130575</v>
      </c>
      <c r="AI103">
        <v>232</v>
      </c>
      <c r="AJ103" t="s">
        <v>259</v>
      </c>
      <c r="AK103">
        <v>0</v>
      </c>
      <c r="AL103">
        <v>0</v>
      </c>
      <c r="AM103">
        <v>0</v>
      </c>
    </row>
    <row r="104" spans="1:39" x14ac:dyDescent="0.25">
      <c r="A104" t="s">
        <v>236</v>
      </c>
      <c r="B104" t="str">
        <f>'Basis Options'!C109</f>
        <v>NF0077.1</v>
      </c>
      <c r="C104" t="s">
        <v>258</v>
      </c>
      <c r="D104" t="s">
        <v>237</v>
      </c>
      <c r="E104" t="s">
        <v>20</v>
      </c>
      <c r="F104" t="str">
        <f>'Basis Options'!A109</f>
        <v>JARON</v>
      </c>
      <c r="G104" t="s">
        <v>272</v>
      </c>
      <c r="H104" t="s">
        <v>257</v>
      </c>
      <c r="I104" t="s">
        <v>245</v>
      </c>
      <c r="J104" t="s">
        <v>238</v>
      </c>
      <c r="K104" s="393">
        <f>'Basis Options'!G109</f>
        <v>36647</v>
      </c>
      <c r="L104" s="239">
        <f>'Basis Options'!U109</f>
        <v>-2906.4471499456099</v>
      </c>
      <c r="M104" s="393">
        <f>'Basis Options'!Q109</f>
        <v>36643</v>
      </c>
      <c r="N104" t="str">
        <f>'Basis Options'!F109</f>
        <v>C</v>
      </c>
      <c r="O104">
        <f>'Basis Options'!I109</f>
        <v>0.3</v>
      </c>
      <c r="P104">
        <v>0</v>
      </c>
      <c r="Q104">
        <v>0</v>
      </c>
      <c r="R104">
        <v>0</v>
      </c>
      <c r="S104">
        <v>0</v>
      </c>
      <c r="T104" t="s">
        <v>256</v>
      </c>
      <c r="U104" t="str">
        <f>IF('Basis Options'!D109="NGI/CHI. GATE","""NGI/CHI. GATE""",TRIM('Basis Options'!D109))</f>
        <v>IF-TRANSCO/Z6</v>
      </c>
      <c r="V104" t="s">
        <v>256</v>
      </c>
      <c r="W104" t="s">
        <v>135</v>
      </c>
      <c r="X104" t="s">
        <v>256</v>
      </c>
      <c r="Y104" t="s">
        <v>238</v>
      </c>
      <c r="Z104" t="s">
        <v>239</v>
      </c>
      <c r="AA104" t="s">
        <v>256</v>
      </c>
      <c r="AB104" t="s">
        <v>1</v>
      </c>
      <c r="AC104" s="239">
        <f>'Basis Options'!H109</f>
        <v>-250000</v>
      </c>
      <c r="AD104" s="239">
        <f>'Basis Options'!W109</f>
        <v>-780.45037792972289</v>
      </c>
      <c r="AE104">
        <v>0</v>
      </c>
      <c r="AF104">
        <v>0</v>
      </c>
      <c r="AG104">
        <v>0</v>
      </c>
      <c r="AH104" s="239">
        <f>'Basis Options'!BC109</f>
        <v>-579.88247346293565</v>
      </c>
      <c r="AI104">
        <v>232</v>
      </c>
      <c r="AJ104" t="s">
        <v>259</v>
      </c>
      <c r="AK104">
        <v>0</v>
      </c>
      <c r="AL104">
        <v>0</v>
      </c>
      <c r="AM104">
        <v>0</v>
      </c>
    </row>
    <row r="105" spans="1:39" x14ac:dyDescent="0.25">
      <c r="A105" t="s">
        <v>236</v>
      </c>
      <c r="B105" t="str">
        <f>'Basis Options'!C110</f>
        <v>NF0077.1</v>
      </c>
      <c r="C105" t="s">
        <v>258</v>
      </c>
      <c r="D105" t="s">
        <v>237</v>
      </c>
      <c r="E105" t="s">
        <v>20</v>
      </c>
      <c r="F105" t="str">
        <f>'Basis Options'!A110</f>
        <v>JARON</v>
      </c>
      <c r="G105" t="s">
        <v>272</v>
      </c>
      <c r="H105" t="s">
        <v>257</v>
      </c>
      <c r="I105" t="s">
        <v>245</v>
      </c>
      <c r="J105" t="s">
        <v>238</v>
      </c>
      <c r="K105" s="393">
        <f>'Basis Options'!G110</f>
        <v>36678</v>
      </c>
      <c r="L105" s="239">
        <f>'Basis Options'!U110</f>
        <v>-7735.2403680687294</v>
      </c>
      <c r="M105" s="393">
        <f>'Basis Options'!Q110</f>
        <v>36676</v>
      </c>
      <c r="N105" t="str">
        <f>'Basis Options'!F110</f>
        <v>C</v>
      </c>
      <c r="O105">
        <f>'Basis Options'!I110</f>
        <v>0.3</v>
      </c>
      <c r="P105">
        <v>0</v>
      </c>
      <c r="Q105">
        <v>0</v>
      </c>
      <c r="R105">
        <v>0</v>
      </c>
      <c r="S105">
        <v>0</v>
      </c>
      <c r="T105" t="s">
        <v>256</v>
      </c>
      <c r="U105" t="str">
        <f>IF('Basis Options'!D110="NGI/CHI. GATE","""NGI/CHI. GATE""",TRIM('Basis Options'!D110))</f>
        <v>IF-TRANSCO/Z6</v>
      </c>
      <c r="V105" t="s">
        <v>256</v>
      </c>
      <c r="W105" t="s">
        <v>135</v>
      </c>
      <c r="X105" t="s">
        <v>256</v>
      </c>
      <c r="Y105" t="s">
        <v>238</v>
      </c>
      <c r="Z105" t="s">
        <v>239</v>
      </c>
      <c r="AA105" t="s">
        <v>256</v>
      </c>
      <c r="AB105" t="s">
        <v>1</v>
      </c>
      <c r="AC105" s="239">
        <f>'Basis Options'!H110</f>
        <v>-250000</v>
      </c>
      <c r="AD105" s="239">
        <f>'Basis Options'!W110</f>
        <v>-1503.7616224867525</v>
      </c>
      <c r="AE105">
        <v>0</v>
      </c>
      <c r="AF105">
        <v>0</v>
      </c>
      <c r="AG105">
        <v>0</v>
      </c>
      <c r="AH105" s="239">
        <f>'Basis Options'!BC110</f>
        <v>-2289.57107576203</v>
      </c>
      <c r="AI105">
        <v>232</v>
      </c>
      <c r="AJ105" t="s">
        <v>259</v>
      </c>
      <c r="AK105">
        <v>0</v>
      </c>
      <c r="AL105">
        <v>0</v>
      </c>
      <c r="AM105">
        <v>0</v>
      </c>
    </row>
    <row r="106" spans="1:39" x14ac:dyDescent="0.25">
      <c r="A106" t="s">
        <v>236</v>
      </c>
      <c r="B106" t="str">
        <f>'Basis Options'!C111</f>
        <v>NF0077.1</v>
      </c>
      <c r="C106" t="s">
        <v>258</v>
      </c>
      <c r="D106" t="s">
        <v>237</v>
      </c>
      <c r="E106" t="s">
        <v>20</v>
      </c>
      <c r="F106" t="str">
        <f>'Basis Options'!A111</f>
        <v>JARON</v>
      </c>
      <c r="G106" t="s">
        <v>272</v>
      </c>
      <c r="H106" t="s">
        <v>257</v>
      </c>
      <c r="I106" t="s">
        <v>245</v>
      </c>
      <c r="J106" t="s">
        <v>238</v>
      </c>
      <c r="K106" s="393">
        <f>'Basis Options'!G111</f>
        <v>36708</v>
      </c>
      <c r="L106" s="239">
        <f>'Basis Options'!U111</f>
        <v>-15740.016018950253</v>
      </c>
      <c r="M106" s="393">
        <f>'Basis Options'!Q111</f>
        <v>36706</v>
      </c>
      <c r="N106" t="str">
        <f>'Basis Options'!F111</f>
        <v>C</v>
      </c>
      <c r="O106">
        <f>'Basis Options'!I111</f>
        <v>0.3</v>
      </c>
      <c r="P106">
        <v>0</v>
      </c>
      <c r="Q106">
        <v>0</v>
      </c>
      <c r="R106">
        <v>0</v>
      </c>
      <c r="S106">
        <v>0</v>
      </c>
      <c r="T106" t="s">
        <v>256</v>
      </c>
      <c r="U106" t="str">
        <f>IF('Basis Options'!D111="NGI/CHI. GATE","""NGI/CHI. GATE""",TRIM('Basis Options'!D111))</f>
        <v>IF-TRANSCO/Z6</v>
      </c>
      <c r="V106" t="s">
        <v>256</v>
      </c>
      <c r="W106" t="s">
        <v>135</v>
      </c>
      <c r="X106" t="s">
        <v>256</v>
      </c>
      <c r="Y106" t="s">
        <v>238</v>
      </c>
      <c r="Z106" t="s">
        <v>239</v>
      </c>
      <c r="AA106" t="s">
        <v>256</v>
      </c>
      <c r="AB106" t="s">
        <v>1</v>
      </c>
      <c r="AC106" s="239">
        <f>'Basis Options'!H111</f>
        <v>-250000</v>
      </c>
      <c r="AD106" s="239">
        <f>'Basis Options'!W111</f>
        <v>-1777.693240129418</v>
      </c>
      <c r="AE106">
        <v>0</v>
      </c>
      <c r="AF106">
        <v>0</v>
      </c>
      <c r="AG106">
        <v>0</v>
      </c>
      <c r="AH106" s="239">
        <f>'Basis Options'!BC111</f>
        <v>-2611.9356263083973</v>
      </c>
      <c r="AI106">
        <v>232</v>
      </c>
      <c r="AJ106" t="s">
        <v>259</v>
      </c>
      <c r="AK106">
        <v>0</v>
      </c>
      <c r="AL106">
        <v>0</v>
      </c>
      <c r="AM106">
        <v>0</v>
      </c>
    </row>
    <row r="107" spans="1:39" x14ac:dyDescent="0.25">
      <c r="A107" t="s">
        <v>236</v>
      </c>
      <c r="B107" t="str">
        <f>'Basis Options'!C112</f>
        <v>NF0077.1</v>
      </c>
      <c r="C107" t="s">
        <v>258</v>
      </c>
      <c r="D107" t="s">
        <v>237</v>
      </c>
      <c r="E107" t="s">
        <v>20</v>
      </c>
      <c r="F107" t="str">
        <f>'Basis Options'!A112</f>
        <v>JARON</v>
      </c>
      <c r="G107" t="s">
        <v>272</v>
      </c>
      <c r="H107" t="s">
        <v>257</v>
      </c>
      <c r="I107" t="s">
        <v>245</v>
      </c>
      <c r="J107" t="s">
        <v>238</v>
      </c>
      <c r="K107" s="393">
        <f>'Basis Options'!G112</f>
        <v>36739</v>
      </c>
      <c r="L107" s="239">
        <f>'Basis Options'!U112</f>
        <v>-17592.526412455758</v>
      </c>
      <c r="M107" s="393">
        <f>'Basis Options'!Q112</f>
        <v>36735</v>
      </c>
      <c r="N107" t="str">
        <f>'Basis Options'!F112</f>
        <v>C</v>
      </c>
      <c r="O107">
        <f>'Basis Options'!I112</f>
        <v>0.3</v>
      </c>
      <c r="P107">
        <v>0</v>
      </c>
      <c r="Q107">
        <v>0</v>
      </c>
      <c r="R107">
        <v>0</v>
      </c>
      <c r="S107">
        <v>0</v>
      </c>
      <c r="T107" t="s">
        <v>256</v>
      </c>
      <c r="U107" t="str">
        <f>IF('Basis Options'!D112="NGI/CHI. GATE","""NGI/CHI. GATE""",TRIM('Basis Options'!D112))</f>
        <v>IF-TRANSCO/Z6</v>
      </c>
      <c r="V107" t="s">
        <v>256</v>
      </c>
      <c r="W107" t="s">
        <v>135</v>
      </c>
      <c r="X107" t="s">
        <v>256</v>
      </c>
      <c r="Y107" t="s">
        <v>238</v>
      </c>
      <c r="Z107" t="s">
        <v>239</v>
      </c>
      <c r="AA107" t="s">
        <v>256</v>
      </c>
      <c r="AB107" t="s">
        <v>1</v>
      </c>
      <c r="AC107" s="239">
        <f>'Basis Options'!H112</f>
        <v>-250000</v>
      </c>
      <c r="AD107" s="239">
        <f>'Basis Options'!W112</f>
        <v>-2275.1032543017354</v>
      </c>
      <c r="AE107">
        <v>0</v>
      </c>
      <c r="AF107">
        <v>0</v>
      </c>
      <c r="AG107">
        <v>0</v>
      </c>
      <c r="AH107" s="239">
        <f>'Basis Options'!BC112</f>
        <v>-2536.4653063064452</v>
      </c>
      <c r="AI107">
        <v>232</v>
      </c>
      <c r="AJ107" t="s">
        <v>259</v>
      </c>
      <c r="AK107">
        <v>0</v>
      </c>
      <c r="AL107">
        <v>0</v>
      </c>
      <c r="AM107">
        <v>0</v>
      </c>
    </row>
    <row r="108" spans="1:39" x14ac:dyDescent="0.25">
      <c r="A108" t="s">
        <v>236</v>
      </c>
      <c r="B108" t="str">
        <f>'Basis Options'!C113</f>
        <v>NF0077.1</v>
      </c>
      <c r="C108" t="s">
        <v>258</v>
      </c>
      <c r="D108" t="s">
        <v>237</v>
      </c>
      <c r="E108" t="s">
        <v>20</v>
      </c>
      <c r="F108" t="str">
        <f>'Basis Options'!A113</f>
        <v>JARON</v>
      </c>
      <c r="G108" t="s">
        <v>272</v>
      </c>
      <c r="H108" t="s">
        <v>257</v>
      </c>
      <c r="I108" t="s">
        <v>245</v>
      </c>
      <c r="J108" t="s">
        <v>238</v>
      </c>
      <c r="K108" s="393">
        <f>'Basis Options'!G113</f>
        <v>36770</v>
      </c>
      <c r="L108" s="239">
        <f>'Basis Options'!U113</f>
        <v>-14929.422503759903</v>
      </c>
      <c r="M108" s="393">
        <f>'Basis Options'!Q113</f>
        <v>36768</v>
      </c>
      <c r="N108" t="str">
        <f>'Basis Options'!F113</f>
        <v>C</v>
      </c>
      <c r="O108">
        <f>'Basis Options'!I113</f>
        <v>0.3</v>
      </c>
      <c r="P108">
        <v>0</v>
      </c>
      <c r="Q108">
        <v>0</v>
      </c>
      <c r="R108">
        <v>0</v>
      </c>
      <c r="S108">
        <v>0</v>
      </c>
      <c r="T108" t="s">
        <v>256</v>
      </c>
      <c r="U108" t="str">
        <f>IF('Basis Options'!D113="NGI/CHI. GATE","""NGI/CHI. GATE""",TRIM('Basis Options'!D113))</f>
        <v>IF-TRANSCO/Z6</v>
      </c>
      <c r="V108" t="s">
        <v>256</v>
      </c>
      <c r="W108" t="s">
        <v>135</v>
      </c>
      <c r="X108" t="s">
        <v>256</v>
      </c>
      <c r="Y108" t="s">
        <v>238</v>
      </c>
      <c r="Z108" t="s">
        <v>239</v>
      </c>
      <c r="AA108" t="s">
        <v>256</v>
      </c>
      <c r="AB108" t="s">
        <v>1</v>
      </c>
      <c r="AC108" s="239">
        <f>'Basis Options'!H113</f>
        <v>-250000</v>
      </c>
      <c r="AD108" s="239">
        <f>'Basis Options'!W113</f>
        <v>-2875.8035700172477</v>
      </c>
      <c r="AE108">
        <v>0</v>
      </c>
      <c r="AF108">
        <v>0</v>
      </c>
      <c r="AG108">
        <v>0</v>
      </c>
      <c r="AH108" s="239">
        <f>'Basis Options'!BC113</f>
        <v>-2484.4194541004381</v>
      </c>
      <c r="AI108">
        <v>232</v>
      </c>
      <c r="AJ108" t="s">
        <v>259</v>
      </c>
      <c r="AK108">
        <v>0</v>
      </c>
      <c r="AL108">
        <v>0</v>
      </c>
      <c r="AM108">
        <v>0</v>
      </c>
    </row>
    <row r="109" spans="1:39" x14ac:dyDescent="0.25">
      <c r="A109" t="s">
        <v>236</v>
      </c>
      <c r="B109" t="str">
        <f>'Basis Options'!C114</f>
        <v>NF0077.1</v>
      </c>
      <c r="C109" t="s">
        <v>258</v>
      </c>
      <c r="D109" t="s">
        <v>237</v>
      </c>
      <c r="E109" t="s">
        <v>20</v>
      </c>
      <c r="F109" t="str">
        <f>'Basis Options'!A114</f>
        <v>JARON</v>
      </c>
      <c r="G109" t="s">
        <v>272</v>
      </c>
      <c r="H109" t="s">
        <v>257</v>
      </c>
      <c r="I109" t="s">
        <v>245</v>
      </c>
      <c r="J109" t="s">
        <v>238</v>
      </c>
      <c r="K109" s="393">
        <f>'Basis Options'!G114</f>
        <v>36800</v>
      </c>
      <c r="L109" s="239">
        <f>'Basis Options'!U114</f>
        <v>-20543.790519514547</v>
      </c>
      <c r="M109" s="393">
        <f>'Basis Options'!Q114</f>
        <v>36797</v>
      </c>
      <c r="N109" t="str">
        <f>'Basis Options'!F114</f>
        <v>C</v>
      </c>
      <c r="O109">
        <f>'Basis Options'!I114</f>
        <v>0.3</v>
      </c>
      <c r="P109">
        <v>0</v>
      </c>
      <c r="Q109">
        <v>0</v>
      </c>
      <c r="R109">
        <v>0</v>
      </c>
      <c r="S109">
        <v>0</v>
      </c>
      <c r="T109" t="s">
        <v>256</v>
      </c>
      <c r="U109" t="str">
        <f>IF('Basis Options'!D114="NGI/CHI. GATE","""NGI/CHI. GATE""",TRIM('Basis Options'!D114))</f>
        <v>IF-TRANSCO/Z6</v>
      </c>
      <c r="V109" t="s">
        <v>256</v>
      </c>
      <c r="W109" t="s">
        <v>135</v>
      </c>
      <c r="X109" t="s">
        <v>256</v>
      </c>
      <c r="Y109" t="s">
        <v>238</v>
      </c>
      <c r="Z109" t="s">
        <v>239</v>
      </c>
      <c r="AA109" t="s">
        <v>256</v>
      </c>
      <c r="AB109" t="s">
        <v>1</v>
      </c>
      <c r="AC109" s="239">
        <f>'Basis Options'!H114</f>
        <v>-250000</v>
      </c>
      <c r="AD109" s="239">
        <f>'Basis Options'!W114</f>
        <v>-3018.8389523205988</v>
      </c>
      <c r="AE109">
        <v>0</v>
      </c>
      <c r="AF109">
        <v>0</v>
      </c>
      <c r="AG109">
        <v>0</v>
      </c>
      <c r="AH109" s="239">
        <f>'Basis Options'!BC114</f>
        <v>-3523.3193679801043</v>
      </c>
      <c r="AI109">
        <v>232</v>
      </c>
      <c r="AJ109" t="s">
        <v>259</v>
      </c>
      <c r="AK109">
        <v>0</v>
      </c>
      <c r="AL109">
        <v>0</v>
      </c>
      <c r="AM109">
        <v>0</v>
      </c>
    </row>
    <row r="110" spans="1:39" x14ac:dyDescent="0.25">
      <c r="A110" t="s">
        <v>236</v>
      </c>
      <c r="B110" t="str">
        <f>'Basis Options'!C115</f>
        <v>NF0077.2</v>
      </c>
      <c r="C110" t="s">
        <v>258</v>
      </c>
      <c r="D110" t="s">
        <v>237</v>
      </c>
      <c r="E110" t="s">
        <v>20</v>
      </c>
      <c r="F110" t="str">
        <f>'Basis Options'!A115</f>
        <v>JARON</v>
      </c>
      <c r="G110" t="s">
        <v>272</v>
      </c>
      <c r="H110" t="s">
        <v>257</v>
      </c>
      <c r="I110" t="s">
        <v>245</v>
      </c>
      <c r="J110" t="s">
        <v>238</v>
      </c>
      <c r="K110" s="393">
        <f>'Basis Options'!G115</f>
        <v>36647</v>
      </c>
      <c r="L110" s="239">
        <f>'Basis Options'!U115</f>
        <v>-4154.3037631853049</v>
      </c>
      <c r="M110" s="393">
        <f>'Basis Options'!Q115</f>
        <v>36643</v>
      </c>
      <c r="N110" t="str">
        <f>'Basis Options'!F115</f>
        <v>P</v>
      </c>
      <c r="O110">
        <f>'Basis Options'!I115</f>
        <v>0.3</v>
      </c>
      <c r="P110">
        <v>0</v>
      </c>
      <c r="Q110">
        <v>0</v>
      </c>
      <c r="R110">
        <v>0</v>
      </c>
      <c r="S110">
        <v>0</v>
      </c>
      <c r="T110" t="s">
        <v>256</v>
      </c>
      <c r="U110" t="str">
        <f>IF('Basis Options'!D115="NGI/CHI. GATE","""NGI/CHI. GATE""",TRIM('Basis Options'!D115))</f>
        <v>IF-TRANSCO/Z6</v>
      </c>
      <c r="V110" t="s">
        <v>256</v>
      </c>
      <c r="W110" t="s">
        <v>135</v>
      </c>
      <c r="X110" t="s">
        <v>256</v>
      </c>
      <c r="Y110" t="s">
        <v>238</v>
      </c>
      <c r="Z110" t="s">
        <v>239</v>
      </c>
      <c r="AA110" t="s">
        <v>256</v>
      </c>
      <c r="AB110" t="s">
        <v>1</v>
      </c>
      <c r="AC110" s="239">
        <f>'Basis Options'!H115</f>
        <v>-250000</v>
      </c>
      <c r="AD110" s="239">
        <f>'Basis Options'!W115</f>
        <v>-780.45037792972289</v>
      </c>
      <c r="AE110">
        <v>0</v>
      </c>
      <c r="AF110">
        <v>0</v>
      </c>
      <c r="AG110">
        <v>0</v>
      </c>
      <c r="AH110" s="239">
        <f>'Basis Options'!BC115</f>
        <v>667.3361585242119</v>
      </c>
      <c r="AI110">
        <v>232</v>
      </c>
      <c r="AJ110" t="s">
        <v>259</v>
      </c>
      <c r="AK110">
        <v>0</v>
      </c>
      <c r="AL110">
        <v>0</v>
      </c>
      <c r="AM110">
        <v>0</v>
      </c>
    </row>
    <row r="111" spans="1:39" x14ac:dyDescent="0.25">
      <c r="A111" t="s">
        <v>236</v>
      </c>
      <c r="B111" t="str">
        <f>'Basis Options'!C116</f>
        <v>NF0077.2</v>
      </c>
      <c r="C111" t="s">
        <v>258</v>
      </c>
      <c r="D111" t="s">
        <v>237</v>
      </c>
      <c r="E111" t="s">
        <v>20</v>
      </c>
      <c r="F111" t="str">
        <f>'Basis Options'!A116</f>
        <v>JARON</v>
      </c>
      <c r="G111" t="s">
        <v>272</v>
      </c>
      <c r="H111" t="s">
        <v>257</v>
      </c>
      <c r="I111" t="s">
        <v>245</v>
      </c>
      <c r="J111" t="s">
        <v>238</v>
      </c>
      <c r="K111" s="393">
        <f>'Basis Options'!G116</f>
        <v>36678</v>
      </c>
      <c r="L111" s="239">
        <f>'Basis Options'!U116</f>
        <v>-5874.1042590497173</v>
      </c>
      <c r="M111" s="393">
        <f>'Basis Options'!Q116</f>
        <v>36676</v>
      </c>
      <c r="N111" t="str">
        <f>'Basis Options'!F116</f>
        <v>P</v>
      </c>
      <c r="O111">
        <f>'Basis Options'!I116</f>
        <v>0.3</v>
      </c>
      <c r="P111">
        <v>0</v>
      </c>
      <c r="Q111">
        <v>0</v>
      </c>
      <c r="R111">
        <v>0</v>
      </c>
      <c r="S111">
        <v>0</v>
      </c>
      <c r="T111" t="s">
        <v>256</v>
      </c>
      <c r="U111" t="str">
        <f>IF('Basis Options'!D116="NGI/CHI. GATE","""NGI/CHI. GATE""",TRIM('Basis Options'!D116))</f>
        <v>IF-TRANSCO/Z6</v>
      </c>
      <c r="V111" t="s">
        <v>256</v>
      </c>
      <c r="W111" t="s">
        <v>135</v>
      </c>
      <c r="X111" t="s">
        <v>256</v>
      </c>
      <c r="Y111" t="s">
        <v>238</v>
      </c>
      <c r="Z111" t="s">
        <v>239</v>
      </c>
      <c r="AA111" t="s">
        <v>256</v>
      </c>
      <c r="AB111" t="s">
        <v>1</v>
      </c>
      <c r="AC111" s="239">
        <f>'Basis Options'!H116</f>
        <v>-250000</v>
      </c>
      <c r="AD111" s="239">
        <f>'Basis Options'!W116</f>
        <v>-1503.7616224867525</v>
      </c>
      <c r="AE111">
        <v>0</v>
      </c>
      <c r="AF111">
        <v>0</v>
      </c>
      <c r="AG111">
        <v>0</v>
      </c>
      <c r="AH111" s="239">
        <f>'Basis Options'!BC116</f>
        <v>2050.8457089065678</v>
      </c>
      <c r="AI111">
        <v>232</v>
      </c>
      <c r="AJ111" t="s">
        <v>259</v>
      </c>
      <c r="AK111">
        <v>0</v>
      </c>
      <c r="AL111">
        <v>0</v>
      </c>
      <c r="AM111">
        <v>0</v>
      </c>
    </row>
    <row r="112" spans="1:39" x14ac:dyDescent="0.25">
      <c r="A112" t="s">
        <v>236</v>
      </c>
      <c r="B112" t="str">
        <f>'Basis Options'!C117</f>
        <v>NF0077.2</v>
      </c>
      <c r="C112" t="s">
        <v>258</v>
      </c>
      <c r="D112" t="s">
        <v>237</v>
      </c>
      <c r="E112" t="s">
        <v>20</v>
      </c>
      <c r="F112" t="str">
        <f>'Basis Options'!A117</f>
        <v>JARON</v>
      </c>
      <c r="G112" t="s">
        <v>272</v>
      </c>
      <c r="H112" t="s">
        <v>257</v>
      </c>
      <c r="I112" t="s">
        <v>245</v>
      </c>
      <c r="J112" t="s">
        <v>238</v>
      </c>
      <c r="K112" s="393">
        <f>'Basis Options'!G117</f>
        <v>36708</v>
      </c>
      <c r="L112" s="239">
        <f>'Basis Options'!U117</f>
        <v>-4632.325385815775</v>
      </c>
      <c r="M112" s="393">
        <f>'Basis Options'!Q117</f>
        <v>36706</v>
      </c>
      <c r="N112" t="str">
        <f>'Basis Options'!F117</f>
        <v>P</v>
      </c>
      <c r="O112">
        <f>'Basis Options'!I117</f>
        <v>0.3</v>
      </c>
      <c r="P112">
        <v>0</v>
      </c>
      <c r="Q112">
        <v>0</v>
      </c>
      <c r="R112">
        <v>0</v>
      </c>
      <c r="S112">
        <v>0</v>
      </c>
      <c r="T112" t="s">
        <v>256</v>
      </c>
      <c r="U112" t="str">
        <f>IF('Basis Options'!D117="NGI/CHI. GATE","""NGI/CHI. GATE""",TRIM('Basis Options'!D117))</f>
        <v>IF-TRANSCO/Z6</v>
      </c>
      <c r="V112" t="s">
        <v>256</v>
      </c>
      <c r="W112" t="s">
        <v>135</v>
      </c>
      <c r="X112" t="s">
        <v>256</v>
      </c>
      <c r="Y112" t="s">
        <v>238</v>
      </c>
      <c r="Z112" t="s">
        <v>239</v>
      </c>
      <c r="AA112" t="s">
        <v>256</v>
      </c>
      <c r="AB112" t="s">
        <v>1</v>
      </c>
      <c r="AC112" s="239">
        <f>'Basis Options'!H117</f>
        <v>-250000</v>
      </c>
      <c r="AD112" s="239">
        <f>'Basis Options'!W117</f>
        <v>-1777.693240129418</v>
      </c>
      <c r="AE112">
        <v>0</v>
      </c>
      <c r="AF112">
        <v>0</v>
      </c>
      <c r="AG112">
        <v>0</v>
      </c>
      <c r="AH112" s="239">
        <f>'Basis Options'!BC117</f>
        <v>1088.7266231583981</v>
      </c>
      <c r="AI112">
        <v>232</v>
      </c>
      <c r="AJ112" t="s">
        <v>259</v>
      </c>
      <c r="AK112">
        <v>0</v>
      </c>
      <c r="AL112">
        <v>0</v>
      </c>
      <c r="AM112">
        <v>0</v>
      </c>
    </row>
    <row r="113" spans="1:39" x14ac:dyDescent="0.25">
      <c r="A113" t="s">
        <v>236</v>
      </c>
      <c r="B113" t="str">
        <f>'Basis Options'!C118</f>
        <v>NF0077.2</v>
      </c>
      <c r="C113" t="s">
        <v>258</v>
      </c>
      <c r="D113" t="s">
        <v>237</v>
      </c>
      <c r="E113" t="s">
        <v>20</v>
      </c>
      <c r="F113" t="str">
        <f>'Basis Options'!A118</f>
        <v>JARON</v>
      </c>
      <c r="G113" t="s">
        <v>272</v>
      </c>
      <c r="H113" t="s">
        <v>257</v>
      </c>
      <c r="I113" t="s">
        <v>245</v>
      </c>
      <c r="J113" t="s">
        <v>238</v>
      </c>
      <c r="K113" s="393">
        <f>'Basis Options'!G118</f>
        <v>36739</v>
      </c>
      <c r="L113" s="239">
        <f>'Basis Options'!U118</f>
        <v>-6543.3521628943809</v>
      </c>
      <c r="M113" s="393">
        <f>'Basis Options'!Q118</f>
        <v>36735</v>
      </c>
      <c r="N113" t="str">
        <f>'Basis Options'!F118</f>
        <v>P</v>
      </c>
      <c r="O113">
        <f>'Basis Options'!I118</f>
        <v>0.3</v>
      </c>
      <c r="P113">
        <v>0</v>
      </c>
      <c r="Q113">
        <v>0</v>
      </c>
      <c r="R113">
        <v>0</v>
      </c>
      <c r="S113">
        <v>0</v>
      </c>
      <c r="T113" t="s">
        <v>256</v>
      </c>
      <c r="U113" t="str">
        <f>IF('Basis Options'!D118="NGI/CHI. GATE","""NGI/CHI. GATE""",TRIM('Basis Options'!D118))</f>
        <v>IF-TRANSCO/Z6</v>
      </c>
      <c r="V113" t="s">
        <v>256</v>
      </c>
      <c r="W113" t="s">
        <v>135</v>
      </c>
      <c r="X113" t="s">
        <v>256</v>
      </c>
      <c r="Y113" t="s">
        <v>238</v>
      </c>
      <c r="Z113" t="s">
        <v>239</v>
      </c>
      <c r="AA113" t="s">
        <v>256</v>
      </c>
      <c r="AB113" t="s">
        <v>1</v>
      </c>
      <c r="AC113" s="239">
        <f>'Basis Options'!H118</f>
        <v>-250000</v>
      </c>
      <c r="AD113" s="239">
        <f>'Basis Options'!W118</f>
        <v>-2275.10325430175</v>
      </c>
      <c r="AE113">
        <v>0</v>
      </c>
      <c r="AF113">
        <v>0</v>
      </c>
      <c r="AG113">
        <v>0</v>
      </c>
      <c r="AH113" s="239">
        <f>'Basis Options'!BC118</f>
        <v>1144.6696689093596</v>
      </c>
      <c r="AI113">
        <v>232</v>
      </c>
      <c r="AJ113" t="s">
        <v>259</v>
      </c>
      <c r="AK113">
        <v>0</v>
      </c>
      <c r="AL113">
        <v>0</v>
      </c>
      <c r="AM113">
        <v>0</v>
      </c>
    </row>
    <row r="114" spans="1:39" x14ac:dyDescent="0.25">
      <c r="A114" t="s">
        <v>236</v>
      </c>
      <c r="B114" t="str">
        <f>'Basis Options'!C119</f>
        <v>NF0077.2</v>
      </c>
      <c r="C114" t="s">
        <v>258</v>
      </c>
      <c r="D114" t="s">
        <v>237</v>
      </c>
      <c r="E114" t="s">
        <v>20</v>
      </c>
      <c r="F114" t="str">
        <f>'Basis Options'!A119</f>
        <v>JARON</v>
      </c>
      <c r="G114" t="s">
        <v>272</v>
      </c>
      <c r="H114" t="s">
        <v>257</v>
      </c>
      <c r="I114" t="s">
        <v>245</v>
      </c>
      <c r="J114" t="s">
        <v>238</v>
      </c>
      <c r="K114" s="393">
        <f>'Basis Options'!G119</f>
        <v>36770</v>
      </c>
      <c r="L114" s="239">
        <f>'Basis Options'!U119</f>
        <v>-11268.74034908254</v>
      </c>
      <c r="M114" s="393">
        <f>'Basis Options'!Q119</f>
        <v>36768</v>
      </c>
      <c r="N114" t="str">
        <f>'Basis Options'!F119</f>
        <v>P</v>
      </c>
      <c r="O114">
        <f>'Basis Options'!I119</f>
        <v>0.3</v>
      </c>
      <c r="P114">
        <v>0</v>
      </c>
      <c r="Q114">
        <v>0</v>
      </c>
      <c r="R114">
        <v>0</v>
      </c>
      <c r="S114">
        <v>0</v>
      </c>
      <c r="T114" t="s">
        <v>256</v>
      </c>
      <c r="U114" t="str">
        <f>IF('Basis Options'!D119="NGI/CHI. GATE","""NGI/CHI. GATE""",TRIM('Basis Options'!D119))</f>
        <v>IF-TRANSCO/Z6</v>
      </c>
      <c r="V114" t="s">
        <v>256</v>
      </c>
      <c r="W114" t="s">
        <v>135</v>
      </c>
      <c r="X114" t="s">
        <v>256</v>
      </c>
      <c r="Y114" t="s">
        <v>238</v>
      </c>
      <c r="Z114" t="s">
        <v>239</v>
      </c>
      <c r="AA114" t="s">
        <v>256</v>
      </c>
      <c r="AB114" t="s">
        <v>1</v>
      </c>
      <c r="AC114" s="239">
        <f>'Basis Options'!H119</f>
        <v>-250000</v>
      </c>
      <c r="AD114" s="239">
        <f>'Basis Options'!W119</f>
        <v>-2875.8035700172768</v>
      </c>
      <c r="AE114">
        <v>0</v>
      </c>
      <c r="AF114">
        <v>0</v>
      </c>
      <c r="AG114">
        <v>0</v>
      </c>
      <c r="AH114" s="239">
        <f>'Basis Options'!BC119</f>
        <v>1784.0820251735495</v>
      </c>
      <c r="AI114">
        <v>232</v>
      </c>
      <c r="AJ114" t="s">
        <v>259</v>
      </c>
      <c r="AK114">
        <v>0</v>
      </c>
      <c r="AL114">
        <v>0</v>
      </c>
      <c r="AM114">
        <v>0</v>
      </c>
    </row>
    <row r="115" spans="1:39" x14ac:dyDescent="0.25">
      <c r="A115" t="s">
        <v>236</v>
      </c>
      <c r="B115" t="str">
        <f>'Basis Options'!C120</f>
        <v>NF0077.2</v>
      </c>
      <c r="C115" t="s">
        <v>258</v>
      </c>
      <c r="D115" t="s">
        <v>237</v>
      </c>
      <c r="E115" t="s">
        <v>20</v>
      </c>
      <c r="F115" t="str">
        <f>'Basis Options'!A120</f>
        <v>JARON</v>
      </c>
      <c r="G115" t="s">
        <v>272</v>
      </c>
      <c r="H115" t="s">
        <v>257</v>
      </c>
      <c r="I115" t="s">
        <v>245</v>
      </c>
      <c r="J115" t="s">
        <v>238</v>
      </c>
      <c r="K115" s="393">
        <f>'Basis Options'!G120</f>
        <v>36800</v>
      </c>
      <c r="L115" s="239">
        <f>'Basis Options'!U120</f>
        <v>-9621.3945680175548</v>
      </c>
      <c r="M115" s="393">
        <f>'Basis Options'!Q120</f>
        <v>36797</v>
      </c>
      <c r="N115" t="str">
        <f>'Basis Options'!F120</f>
        <v>P</v>
      </c>
      <c r="O115">
        <f>'Basis Options'!I120</f>
        <v>0.3</v>
      </c>
      <c r="P115">
        <v>0</v>
      </c>
      <c r="Q115">
        <v>0</v>
      </c>
      <c r="R115">
        <v>0</v>
      </c>
      <c r="S115">
        <v>0</v>
      </c>
      <c r="T115" t="s">
        <v>256</v>
      </c>
      <c r="U115" t="str">
        <f>IF('Basis Options'!D120="NGI/CHI. GATE","""NGI/CHI. GATE""",TRIM('Basis Options'!D120))</f>
        <v>IF-TRANSCO/Z6</v>
      </c>
      <c r="V115" t="s">
        <v>256</v>
      </c>
      <c r="W115" t="s">
        <v>135</v>
      </c>
      <c r="X115" t="s">
        <v>256</v>
      </c>
      <c r="Y115" t="s">
        <v>238</v>
      </c>
      <c r="Z115" t="s">
        <v>239</v>
      </c>
      <c r="AA115" t="s">
        <v>256</v>
      </c>
      <c r="AB115" t="s">
        <v>1</v>
      </c>
      <c r="AC115" s="239">
        <f>'Basis Options'!H120</f>
        <v>-250000</v>
      </c>
      <c r="AD115" s="239">
        <f>'Basis Options'!W120</f>
        <v>-3018.8389523205988</v>
      </c>
      <c r="AE115">
        <v>0</v>
      </c>
      <c r="AF115">
        <v>0</v>
      </c>
      <c r="AG115">
        <v>0</v>
      </c>
      <c r="AH115" s="239">
        <f>'Basis Options'!BC120</f>
        <v>1934.8369358062046</v>
      </c>
      <c r="AI115">
        <v>232</v>
      </c>
      <c r="AJ115" t="s">
        <v>259</v>
      </c>
      <c r="AK115">
        <v>0</v>
      </c>
      <c r="AL115">
        <v>0</v>
      </c>
      <c r="AM115">
        <v>0</v>
      </c>
    </row>
    <row r="116" spans="1:39" x14ac:dyDescent="0.25">
      <c r="A116" t="s">
        <v>236</v>
      </c>
      <c r="B116" t="str">
        <f>'Basis Options'!C121</f>
        <v>NF0106.1</v>
      </c>
      <c r="C116" t="s">
        <v>258</v>
      </c>
      <c r="D116" t="s">
        <v>237</v>
      </c>
      <c r="E116" t="s">
        <v>20</v>
      </c>
      <c r="F116" t="str">
        <f>'Basis Options'!A121</f>
        <v>ELPASMER</v>
      </c>
      <c r="G116" t="s">
        <v>272</v>
      </c>
      <c r="H116" t="s">
        <v>257</v>
      </c>
      <c r="I116" t="s">
        <v>245</v>
      </c>
      <c r="J116" t="s">
        <v>238</v>
      </c>
      <c r="K116" s="393">
        <f>'Basis Options'!G121</f>
        <v>36647</v>
      </c>
      <c r="L116" s="239">
        <f>'Basis Options'!U121</f>
        <v>-2906.4471499456099</v>
      </c>
      <c r="M116" s="393">
        <f>'Basis Options'!Q121</f>
        <v>36643</v>
      </c>
      <c r="N116" t="str">
        <f>'Basis Options'!F121</f>
        <v>C</v>
      </c>
      <c r="O116">
        <f>'Basis Options'!I121</f>
        <v>0.3</v>
      </c>
      <c r="P116">
        <v>0</v>
      </c>
      <c r="Q116">
        <v>0</v>
      </c>
      <c r="R116">
        <v>0</v>
      </c>
      <c r="S116">
        <v>0</v>
      </c>
      <c r="T116" t="s">
        <v>256</v>
      </c>
      <c r="U116" t="str">
        <f>IF('Basis Options'!D121="NGI/CHI. GATE","""NGI/CHI. GATE""",TRIM('Basis Options'!D121))</f>
        <v>IF-TRANSCO/Z6</v>
      </c>
      <c r="V116" t="s">
        <v>256</v>
      </c>
      <c r="W116" t="s">
        <v>135</v>
      </c>
      <c r="X116" t="s">
        <v>256</v>
      </c>
      <c r="Y116" t="s">
        <v>238</v>
      </c>
      <c r="Z116" t="s">
        <v>239</v>
      </c>
      <c r="AA116" t="s">
        <v>256</v>
      </c>
      <c r="AB116" t="s">
        <v>1</v>
      </c>
      <c r="AC116" s="239">
        <f>'Basis Options'!H121</f>
        <v>-250000</v>
      </c>
      <c r="AD116" s="239">
        <f>'Basis Options'!W121</f>
        <v>-780.45037792972289</v>
      </c>
      <c r="AE116">
        <v>0</v>
      </c>
      <c r="AF116">
        <v>0</v>
      </c>
      <c r="AG116">
        <v>0</v>
      </c>
      <c r="AH116" s="239">
        <f>'Basis Options'!BC121</f>
        <v>-579.88247346293565</v>
      </c>
      <c r="AI116">
        <v>232</v>
      </c>
      <c r="AJ116" t="s">
        <v>259</v>
      </c>
      <c r="AK116">
        <v>0</v>
      </c>
      <c r="AL116">
        <v>0</v>
      </c>
      <c r="AM116">
        <v>0</v>
      </c>
    </row>
    <row r="117" spans="1:39" x14ac:dyDescent="0.25">
      <c r="A117" t="s">
        <v>236</v>
      </c>
      <c r="B117" t="str">
        <f>'Basis Options'!C122</f>
        <v>NF0106.1</v>
      </c>
      <c r="C117" t="s">
        <v>258</v>
      </c>
      <c r="D117" t="s">
        <v>237</v>
      </c>
      <c r="E117" t="s">
        <v>20</v>
      </c>
      <c r="F117" t="str">
        <f>'Basis Options'!A122</f>
        <v>ELPASMER</v>
      </c>
      <c r="G117" t="s">
        <v>272</v>
      </c>
      <c r="H117" t="s">
        <v>257</v>
      </c>
      <c r="I117" t="s">
        <v>245</v>
      </c>
      <c r="J117" t="s">
        <v>238</v>
      </c>
      <c r="K117" s="393">
        <f>'Basis Options'!G122</f>
        <v>36678</v>
      </c>
      <c r="L117" s="239">
        <f>'Basis Options'!U122</f>
        <v>-7735.2403680687294</v>
      </c>
      <c r="M117" s="393">
        <f>'Basis Options'!Q122</f>
        <v>36676</v>
      </c>
      <c r="N117" t="str">
        <f>'Basis Options'!F122</f>
        <v>C</v>
      </c>
      <c r="O117">
        <f>'Basis Options'!I122</f>
        <v>0.3</v>
      </c>
      <c r="P117">
        <v>0</v>
      </c>
      <c r="Q117">
        <v>0</v>
      </c>
      <c r="R117">
        <v>0</v>
      </c>
      <c r="S117">
        <v>0</v>
      </c>
      <c r="T117" t="s">
        <v>256</v>
      </c>
      <c r="U117" t="str">
        <f>IF('Basis Options'!D122="NGI/CHI. GATE","""NGI/CHI. GATE""",TRIM('Basis Options'!D122))</f>
        <v>IF-TRANSCO/Z6</v>
      </c>
      <c r="V117" t="s">
        <v>256</v>
      </c>
      <c r="W117" t="s">
        <v>135</v>
      </c>
      <c r="X117" t="s">
        <v>256</v>
      </c>
      <c r="Y117" t="s">
        <v>238</v>
      </c>
      <c r="Z117" t="s">
        <v>239</v>
      </c>
      <c r="AA117" t="s">
        <v>256</v>
      </c>
      <c r="AB117" t="s">
        <v>1</v>
      </c>
      <c r="AC117" s="239">
        <f>'Basis Options'!H122</f>
        <v>-250000</v>
      </c>
      <c r="AD117" s="239">
        <f>'Basis Options'!W122</f>
        <v>-1503.7616224867525</v>
      </c>
      <c r="AE117">
        <v>0</v>
      </c>
      <c r="AF117">
        <v>0</v>
      </c>
      <c r="AG117">
        <v>0</v>
      </c>
      <c r="AH117" s="239">
        <f>'Basis Options'!BC122</f>
        <v>-2289.57107576203</v>
      </c>
      <c r="AI117">
        <v>232</v>
      </c>
      <c r="AJ117" t="s">
        <v>259</v>
      </c>
      <c r="AK117">
        <v>0</v>
      </c>
      <c r="AL117">
        <v>0</v>
      </c>
      <c r="AM117">
        <v>0</v>
      </c>
    </row>
    <row r="118" spans="1:39" x14ac:dyDescent="0.25">
      <c r="A118" t="s">
        <v>236</v>
      </c>
      <c r="B118" t="str">
        <f>'Basis Options'!C123</f>
        <v>NF0106.1</v>
      </c>
      <c r="C118" t="s">
        <v>258</v>
      </c>
      <c r="D118" t="s">
        <v>237</v>
      </c>
      <c r="E118" t="s">
        <v>20</v>
      </c>
      <c r="F118" t="str">
        <f>'Basis Options'!A123</f>
        <v>ELPASMER</v>
      </c>
      <c r="G118" t="s">
        <v>272</v>
      </c>
      <c r="H118" t="s">
        <v>257</v>
      </c>
      <c r="I118" t="s">
        <v>245</v>
      </c>
      <c r="J118" t="s">
        <v>238</v>
      </c>
      <c r="K118" s="393">
        <f>'Basis Options'!G123</f>
        <v>36708</v>
      </c>
      <c r="L118" s="239">
        <f>'Basis Options'!U123</f>
        <v>-15740.016018950253</v>
      </c>
      <c r="M118" s="393">
        <f>'Basis Options'!Q123</f>
        <v>36706</v>
      </c>
      <c r="N118" t="str">
        <f>'Basis Options'!F123</f>
        <v>C</v>
      </c>
      <c r="O118">
        <f>'Basis Options'!I123</f>
        <v>0.3</v>
      </c>
      <c r="P118">
        <v>0</v>
      </c>
      <c r="Q118">
        <v>0</v>
      </c>
      <c r="R118">
        <v>0</v>
      </c>
      <c r="S118">
        <v>0</v>
      </c>
      <c r="T118" t="s">
        <v>256</v>
      </c>
      <c r="U118" t="str">
        <f>IF('Basis Options'!D123="NGI/CHI. GATE","""NGI/CHI. GATE""",TRIM('Basis Options'!D123))</f>
        <v>IF-TRANSCO/Z6</v>
      </c>
      <c r="V118" t="s">
        <v>256</v>
      </c>
      <c r="W118" t="s">
        <v>135</v>
      </c>
      <c r="X118" t="s">
        <v>256</v>
      </c>
      <c r="Y118" t="s">
        <v>238</v>
      </c>
      <c r="Z118" t="s">
        <v>239</v>
      </c>
      <c r="AA118" t="s">
        <v>256</v>
      </c>
      <c r="AB118" t="s">
        <v>1</v>
      </c>
      <c r="AC118" s="239">
        <f>'Basis Options'!H123</f>
        <v>-250000</v>
      </c>
      <c r="AD118" s="239">
        <f>'Basis Options'!W123</f>
        <v>-1777.693240129418</v>
      </c>
      <c r="AE118">
        <v>0</v>
      </c>
      <c r="AF118">
        <v>0</v>
      </c>
      <c r="AG118">
        <v>0</v>
      </c>
      <c r="AH118" s="239">
        <f>'Basis Options'!BC123</f>
        <v>-2611.9356263083973</v>
      </c>
      <c r="AI118">
        <v>232</v>
      </c>
      <c r="AJ118" t="s">
        <v>259</v>
      </c>
      <c r="AK118">
        <v>0</v>
      </c>
      <c r="AL118">
        <v>0</v>
      </c>
      <c r="AM118">
        <v>0</v>
      </c>
    </row>
    <row r="119" spans="1:39" x14ac:dyDescent="0.25">
      <c r="A119" t="s">
        <v>236</v>
      </c>
      <c r="B119" t="str">
        <f>'Basis Options'!C124</f>
        <v>NF0106.1</v>
      </c>
      <c r="C119" t="s">
        <v>258</v>
      </c>
      <c r="D119" t="s">
        <v>237</v>
      </c>
      <c r="E119" t="s">
        <v>20</v>
      </c>
      <c r="F119" t="str">
        <f>'Basis Options'!A124</f>
        <v>ELPASMER</v>
      </c>
      <c r="G119" t="s">
        <v>272</v>
      </c>
      <c r="H119" t="s">
        <v>257</v>
      </c>
      <c r="I119" t="s">
        <v>245</v>
      </c>
      <c r="J119" t="s">
        <v>238</v>
      </c>
      <c r="K119" s="393">
        <f>'Basis Options'!G124</f>
        <v>36739</v>
      </c>
      <c r="L119" s="239">
        <f>'Basis Options'!U124</f>
        <v>-17592.526412455758</v>
      </c>
      <c r="M119" s="393">
        <f>'Basis Options'!Q124</f>
        <v>36735</v>
      </c>
      <c r="N119" t="str">
        <f>'Basis Options'!F124</f>
        <v>C</v>
      </c>
      <c r="O119">
        <f>'Basis Options'!I124</f>
        <v>0.3</v>
      </c>
      <c r="P119">
        <v>0</v>
      </c>
      <c r="Q119">
        <v>0</v>
      </c>
      <c r="R119">
        <v>0</v>
      </c>
      <c r="S119">
        <v>0</v>
      </c>
      <c r="T119" t="s">
        <v>256</v>
      </c>
      <c r="U119" t="str">
        <f>IF('Basis Options'!D124="NGI/CHI. GATE","""NGI/CHI. GATE""",TRIM('Basis Options'!D124))</f>
        <v>IF-TRANSCO/Z6</v>
      </c>
      <c r="V119" t="s">
        <v>256</v>
      </c>
      <c r="W119" t="s">
        <v>135</v>
      </c>
      <c r="X119" t="s">
        <v>256</v>
      </c>
      <c r="Y119" t="s">
        <v>238</v>
      </c>
      <c r="Z119" t="s">
        <v>239</v>
      </c>
      <c r="AA119" t="s">
        <v>256</v>
      </c>
      <c r="AB119" t="s">
        <v>1</v>
      </c>
      <c r="AC119" s="239">
        <f>'Basis Options'!H124</f>
        <v>-250000</v>
      </c>
      <c r="AD119" s="239">
        <f>'Basis Options'!W124</f>
        <v>-2275.1032543017354</v>
      </c>
      <c r="AE119">
        <v>0</v>
      </c>
      <c r="AF119">
        <v>0</v>
      </c>
      <c r="AG119">
        <v>0</v>
      </c>
      <c r="AH119" s="239">
        <f>'Basis Options'!BC124</f>
        <v>-2536.4653063064452</v>
      </c>
      <c r="AI119">
        <v>232</v>
      </c>
      <c r="AJ119" t="s">
        <v>259</v>
      </c>
      <c r="AK119">
        <v>0</v>
      </c>
      <c r="AL119">
        <v>0</v>
      </c>
      <c r="AM119">
        <v>0</v>
      </c>
    </row>
    <row r="120" spans="1:39" x14ac:dyDescent="0.25">
      <c r="A120" t="s">
        <v>236</v>
      </c>
      <c r="B120" t="str">
        <f>'Basis Options'!C125</f>
        <v>NF0106.1</v>
      </c>
      <c r="C120" t="s">
        <v>258</v>
      </c>
      <c r="D120" t="s">
        <v>237</v>
      </c>
      <c r="E120" t="s">
        <v>20</v>
      </c>
      <c r="F120" t="str">
        <f>'Basis Options'!A125</f>
        <v>ELPASMER</v>
      </c>
      <c r="G120" t="s">
        <v>272</v>
      </c>
      <c r="H120" t="s">
        <v>257</v>
      </c>
      <c r="I120" t="s">
        <v>245</v>
      </c>
      <c r="J120" t="s">
        <v>238</v>
      </c>
      <c r="K120" s="393">
        <f>'Basis Options'!G125</f>
        <v>36770</v>
      </c>
      <c r="L120" s="239">
        <f>'Basis Options'!U125</f>
        <v>-14929.422503759903</v>
      </c>
      <c r="M120" s="393">
        <f>'Basis Options'!Q125</f>
        <v>36768</v>
      </c>
      <c r="N120" t="str">
        <f>'Basis Options'!F125</f>
        <v>C</v>
      </c>
      <c r="O120">
        <f>'Basis Options'!I125</f>
        <v>0.3</v>
      </c>
      <c r="P120">
        <v>0</v>
      </c>
      <c r="Q120">
        <v>0</v>
      </c>
      <c r="R120">
        <v>0</v>
      </c>
      <c r="S120">
        <v>0</v>
      </c>
      <c r="T120" t="s">
        <v>256</v>
      </c>
      <c r="U120" t="str">
        <f>IF('Basis Options'!D125="NGI/CHI. GATE","""NGI/CHI. GATE""",TRIM('Basis Options'!D125))</f>
        <v>IF-TRANSCO/Z6</v>
      </c>
      <c r="V120" t="s">
        <v>256</v>
      </c>
      <c r="W120" t="s">
        <v>135</v>
      </c>
      <c r="X120" t="s">
        <v>256</v>
      </c>
      <c r="Y120" t="s">
        <v>238</v>
      </c>
      <c r="Z120" t="s">
        <v>239</v>
      </c>
      <c r="AA120" t="s">
        <v>256</v>
      </c>
      <c r="AB120" t="s">
        <v>1</v>
      </c>
      <c r="AC120" s="239">
        <f>'Basis Options'!H125</f>
        <v>-250000</v>
      </c>
      <c r="AD120" s="239">
        <f>'Basis Options'!W125</f>
        <v>-2875.8035700172477</v>
      </c>
      <c r="AE120">
        <v>0</v>
      </c>
      <c r="AF120">
        <v>0</v>
      </c>
      <c r="AG120">
        <v>0</v>
      </c>
      <c r="AH120" s="239">
        <f>'Basis Options'!BC125</f>
        <v>-2484.4194541004381</v>
      </c>
      <c r="AI120">
        <v>232</v>
      </c>
      <c r="AJ120" t="s">
        <v>259</v>
      </c>
      <c r="AK120">
        <v>0</v>
      </c>
      <c r="AL120">
        <v>0</v>
      </c>
      <c r="AM120">
        <v>0</v>
      </c>
    </row>
    <row r="121" spans="1:39" x14ac:dyDescent="0.25">
      <c r="A121" t="s">
        <v>236</v>
      </c>
      <c r="B121" t="str">
        <f>'Basis Options'!C126</f>
        <v>NF0106.1</v>
      </c>
      <c r="C121" t="s">
        <v>258</v>
      </c>
      <c r="D121" t="s">
        <v>237</v>
      </c>
      <c r="E121" t="s">
        <v>20</v>
      </c>
      <c r="F121" t="str">
        <f>'Basis Options'!A126</f>
        <v>ELPASMER</v>
      </c>
      <c r="G121" t="s">
        <v>272</v>
      </c>
      <c r="H121" t="s">
        <v>257</v>
      </c>
      <c r="I121" t="s">
        <v>245</v>
      </c>
      <c r="J121" t="s">
        <v>238</v>
      </c>
      <c r="K121" s="393">
        <f>'Basis Options'!G126</f>
        <v>36800</v>
      </c>
      <c r="L121" s="239">
        <f>'Basis Options'!U126</f>
        <v>-20543.790519514547</v>
      </c>
      <c r="M121" s="393">
        <f>'Basis Options'!Q126</f>
        <v>36797</v>
      </c>
      <c r="N121" t="str">
        <f>'Basis Options'!F126</f>
        <v>C</v>
      </c>
      <c r="O121">
        <f>'Basis Options'!I126</f>
        <v>0.3</v>
      </c>
      <c r="P121">
        <v>0</v>
      </c>
      <c r="Q121">
        <v>0</v>
      </c>
      <c r="R121">
        <v>0</v>
      </c>
      <c r="S121">
        <v>0</v>
      </c>
      <c r="T121" t="s">
        <v>256</v>
      </c>
      <c r="U121" t="str">
        <f>IF('Basis Options'!D126="NGI/CHI. GATE","""NGI/CHI. GATE""",TRIM('Basis Options'!D126))</f>
        <v>IF-TRANSCO/Z6</v>
      </c>
      <c r="V121" t="s">
        <v>256</v>
      </c>
      <c r="W121" t="s">
        <v>135</v>
      </c>
      <c r="X121" t="s">
        <v>256</v>
      </c>
      <c r="Y121" t="s">
        <v>238</v>
      </c>
      <c r="Z121" t="s">
        <v>239</v>
      </c>
      <c r="AA121" t="s">
        <v>256</v>
      </c>
      <c r="AB121" t="s">
        <v>1</v>
      </c>
      <c r="AC121" s="239">
        <f>'Basis Options'!H126</f>
        <v>-250000</v>
      </c>
      <c r="AD121" s="239">
        <f>'Basis Options'!W126</f>
        <v>-3018.8389523205988</v>
      </c>
      <c r="AE121">
        <v>0</v>
      </c>
      <c r="AF121">
        <v>0</v>
      </c>
      <c r="AG121">
        <v>0</v>
      </c>
      <c r="AH121" s="239">
        <f>'Basis Options'!BC126</f>
        <v>-3523.3193679801043</v>
      </c>
      <c r="AI121">
        <v>232</v>
      </c>
      <c r="AJ121" t="s">
        <v>259</v>
      </c>
      <c r="AK121">
        <v>0</v>
      </c>
      <c r="AL121">
        <v>0</v>
      </c>
      <c r="AM121">
        <v>0</v>
      </c>
    </row>
    <row r="122" spans="1:39" x14ac:dyDescent="0.25">
      <c r="A122" t="s">
        <v>236</v>
      </c>
      <c r="B122" t="str">
        <f>'Basis Options'!C127</f>
        <v>NF0106.2</v>
      </c>
      <c r="C122" t="s">
        <v>258</v>
      </c>
      <c r="D122" t="s">
        <v>237</v>
      </c>
      <c r="E122" t="s">
        <v>20</v>
      </c>
      <c r="F122" t="str">
        <f>'Basis Options'!A127</f>
        <v>ELPASMER</v>
      </c>
      <c r="G122" t="s">
        <v>272</v>
      </c>
      <c r="H122" t="s">
        <v>257</v>
      </c>
      <c r="I122" t="s">
        <v>245</v>
      </c>
      <c r="J122" t="s">
        <v>238</v>
      </c>
      <c r="K122" s="393">
        <f>'Basis Options'!G127</f>
        <v>36647</v>
      </c>
      <c r="L122" s="239">
        <f>'Basis Options'!U127</f>
        <v>-4154.3037631853049</v>
      </c>
      <c r="M122" s="393">
        <f>'Basis Options'!Q127</f>
        <v>36643</v>
      </c>
      <c r="N122" t="str">
        <f>'Basis Options'!F127</f>
        <v>P</v>
      </c>
      <c r="O122">
        <f>'Basis Options'!I127</f>
        <v>0.3</v>
      </c>
      <c r="P122">
        <v>0</v>
      </c>
      <c r="Q122">
        <v>0</v>
      </c>
      <c r="R122">
        <v>0</v>
      </c>
      <c r="S122">
        <v>0</v>
      </c>
      <c r="T122" t="s">
        <v>256</v>
      </c>
      <c r="U122" t="str">
        <f>IF('Basis Options'!D127="NGI/CHI. GATE","""NGI/CHI. GATE""",TRIM('Basis Options'!D127))</f>
        <v>IF-TRANSCO/Z6</v>
      </c>
      <c r="V122" t="s">
        <v>256</v>
      </c>
      <c r="W122" t="s">
        <v>135</v>
      </c>
      <c r="X122" t="s">
        <v>256</v>
      </c>
      <c r="Y122" t="s">
        <v>238</v>
      </c>
      <c r="Z122" t="s">
        <v>239</v>
      </c>
      <c r="AA122" t="s">
        <v>256</v>
      </c>
      <c r="AB122" t="s">
        <v>1</v>
      </c>
      <c r="AC122" s="239">
        <f>'Basis Options'!H127</f>
        <v>-250000</v>
      </c>
      <c r="AD122" s="239">
        <f>'Basis Options'!W127</f>
        <v>-780.45037792972289</v>
      </c>
      <c r="AE122">
        <v>0</v>
      </c>
      <c r="AF122">
        <v>0</v>
      </c>
      <c r="AG122">
        <v>0</v>
      </c>
      <c r="AH122" s="239">
        <f>'Basis Options'!BC127</f>
        <v>667.3361585242119</v>
      </c>
      <c r="AI122">
        <v>232</v>
      </c>
      <c r="AJ122" t="s">
        <v>259</v>
      </c>
      <c r="AK122">
        <v>0</v>
      </c>
      <c r="AL122">
        <v>0</v>
      </c>
      <c r="AM122">
        <v>0</v>
      </c>
    </row>
    <row r="123" spans="1:39" x14ac:dyDescent="0.25">
      <c r="A123" t="s">
        <v>236</v>
      </c>
      <c r="B123" t="str">
        <f>'Basis Options'!C128</f>
        <v>NF0106.2</v>
      </c>
      <c r="C123" t="s">
        <v>258</v>
      </c>
      <c r="D123" t="s">
        <v>237</v>
      </c>
      <c r="E123" t="s">
        <v>20</v>
      </c>
      <c r="F123" t="str">
        <f>'Basis Options'!A128</f>
        <v>ELPASMER</v>
      </c>
      <c r="G123" t="s">
        <v>272</v>
      </c>
      <c r="H123" t="s">
        <v>257</v>
      </c>
      <c r="I123" t="s">
        <v>245</v>
      </c>
      <c r="J123" t="s">
        <v>238</v>
      </c>
      <c r="K123" s="393">
        <f>'Basis Options'!G128</f>
        <v>36678</v>
      </c>
      <c r="L123" s="239">
        <f>'Basis Options'!U128</f>
        <v>-5874.1042590497173</v>
      </c>
      <c r="M123" s="393">
        <f>'Basis Options'!Q128</f>
        <v>36676</v>
      </c>
      <c r="N123" t="str">
        <f>'Basis Options'!F128</f>
        <v>P</v>
      </c>
      <c r="O123">
        <f>'Basis Options'!I128</f>
        <v>0.3</v>
      </c>
      <c r="P123">
        <v>0</v>
      </c>
      <c r="Q123">
        <v>0</v>
      </c>
      <c r="R123">
        <v>0</v>
      </c>
      <c r="S123">
        <v>0</v>
      </c>
      <c r="T123" t="s">
        <v>256</v>
      </c>
      <c r="U123" t="str">
        <f>IF('Basis Options'!D128="NGI/CHI. GATE","""NGI/CHI. GATE""",TRIM('Basis Options'!D128))</f>
        <v>IF-TRANSCO/Z6</v>
      </c>
      <c r="V123" t="s">
        <v>256</v>
      </c>
      <c r="W123" t="s">
        <v>135</v>
      </c>
      <c r="X123" t="s">
        <v>256</v>
      </c>
      <c r="Y123" t="s">
        <v>238</v>
      </c>
      <c r="Z123" t="s">
        <v>239</v>
      </c>
      <c r="AA123" t="s">
        <v>256</v>
      </c>
      <c r="AB123" t="s">
        <v>1</v>
      </c>
      <c r="AC123" s="239">
        <f>'Basis Options'!H128</f>
        <v>-250000</v>
      </c>
      <c r="AD123" s="239">
        <f>'Basis Options'!W128</f>
        <v>-1503.7616224867525</v>
      </c>
      <c r="AE123">
        <v>0</v>
      </c>
      <c r="AF123">
        <v>0</v>
      </c>
      <c r="AG123">
        <v>0</v>
      </c>
      <c r="AH123" s="239">
        <f>'Basis Options'!BC128</f>
        <v>2050.8457089065678</v>
      </c>
      <c r="AI123">
        <v>232</v>
      </c>
      <c r="AJ123" t="s">
        <v>259</v>
      </c>
      <c r="AK123">
        <v>0</v>
      </c>
      <c r="AL123">
        <v>0</v>
      </c>
      <c r="AM123">
        <v>0</v>
      </c>
    </row>
    <row r="124" spans="1:39" x14ac:dyDescent="0.25">
      <c r="A124" t="s">
        <v>236</v>
      </c>
      <c r="B124" t="str">
        <f>'Basis Options'!C129</f>
        <v>NF0106.2</v>
      </c>
      <c r="C124" t="s">
        <v>258</v>
      </c>
      <c r="D124" t="s">
        <v>237</v>
      </c>
      <c r="E124" t="s">
        <v>20</v>
      </c>
      <c r="F124" t="str">
        <f>'Basis Options'!A129</f>
        <v>ELPASMER</v>
      </c>
      <c r="G124" t="s">
        <v>272</v>
      </c>
      <c r="H124" t="s">
        <v>257</v>
      </c>
      <c r="I124" t="s">
        <v>245</v>
      </c>
      <c r="J124" t="s">
        <v>238</v>
      </c>
      <c r="K124" s="393">
        <f>'Basis Options'!G129</f>
        <v>36708</v>
      </c>
      <c r="L124" s="239">
        <f>'Basis Options'!U129</f>
        <v>-4632.325385815775</v>
      </c>
      <c r="M124" s="393">
        <f>'Basis Options'!Q129</f>
        <v>36706</v>
      </c>
      <c r="N124" t="str">
        <f>'Basis Options'!F129</f>
        <v>P</v>
      </c>
      <c r="O124">
        <f>'Basis Options'!I129</f>
        <v>0.3</v>
      </c>
      <c r="P124">
        <v>0</v>
      </c>
      <c r="Q124">
        <v>0</v>
      </c>
      <c r="R124">
        <v>0</v>
      </c>
      <c r="S124">
        <v>0</v>
      </c>
      <c r="T124" t="s">
        <v>256</v>
      </c>
      <c r="U124" t="str">
        <f>IF('Basis Options'!D129="NGI/CHI. GATE","""NGI/CHI. GATE""",TRIM('Basis Options'!D129))</f>
        <v>IF-TRANSCO/Z6</v>
      </c>
      <c r="V124" t="s">
        <v>256</v>
      </c>
      <c r="W124" t="s">
        <v>135</v>
      </c>
      <c r="X124" t="s">
        <v>256</v>
      </c>
      <c r="Y124" t="s">
        <v>238</v>
      </c>
      <c r="Z124" t="s">
        <v>239</v>
      </c>
      <c r="AA124" t="s">
        <v>256</v>
      </c>
      <c r="AB124" t="s">
        <v>1</v>
      </c>
      <c r="AC124" s="239">
        <f>'Basis Options'!H129</f>
        <v>-250000</v>
      </c>
      <c r="AD124" s="239">
        <f>'Basis Options'!W129</f>
        <v>-1777.693240129418</v>
      </c>
      <c r="AE124">
        <v>0</v>
      </c>
      <c r="AF124">
        <v>0</v>
      </c>
      <c r="AG124">
        <v>0</v>
      </c>
      <c r="AH124" s="239">
        <f>'Basis Options'!BC129</f>
        <v>1088.7266231583981</v>
      </c>
      <c r="AI124">
        <v>232</v>
      </c>
      <c r="AJ124" t="s">
        <v>259</v>
      </c>
      <c r="AK124">
        <v>0</v>
      </c>
      <c r="AL124">
        <v>0</v>
      </c>
      <c r="AM124">
        <v>0</v>
      </c>
    </row>
    <row r="125" spans="1:39" x14ac:dyDescent="0.25">
      <c r="A125" t="s">
        <v>236</v>
      </c>
      <c r="B125" t="str">
        <f>'Basis Options'!C130</f>
        <v>NF0106.2</v>
      </c>
      <c r="C125" t="s">
        <v>258</v>
      </c>
      <c r="D125" t="s">
        <v>237</v>
      </c>
      <c r="E125" t="s">
        <v>20</v>
      </c>
      <c r="F125" t="str">
        <f>'Basis Options'!A130</f>
        <v>ELPASMER</v>
      </c>
      <c r="G125" t="s">
        <v>272</v>
      </c>
      <c r="H125" t="s">
        <v>257</v>
      </c>
      <c r="I125" t="s">
        <v>245</v>
      </c>
      <c r="J125" t="s">
        <v>238</v>
      </c>
      <c r="K125" s="393">
        <f>'Basis Options'!G130</f>
        <v>36739</v>
      </c>
      <c r="L125" s="239">
        <f>'Basis Options'!U130</f>
        <v>-6543.3521628943809</v>
      </c>
      <c r="M125" s="393">
        <f>'Basis Options'!Q130</f>
        <v>36735</v>
      </c>
      <c r="N125" t="str">
        <f>'Basis Options'!F130</f>
        <v>P</v>
      </c>
      <c r="O125">
        <f>'Basis Options'!I130</f>
        <v>0.3</v>
      </c>
      <c r="P125">
        <v>0</v>
      </c>
      <c r="Q125">
        <v>0</v>
      </c>
      <c r="R125">
        <v>0</v>
      </c>
      <c r="S125">
        <v>0</v>
      </c>
      <c r="T125" t="s">
        <v>256</v>
      </c>
      <c r="U125" t="str">
        <f>IF('Basis Options'!D130="NGI/CHI. GATE","""NGI/CHI. GATE""",TRIM('Basis Options'!D130))</f>
        <v>IF-TRANSCO/Z6</v>
      </c>
      <c r="V125" t="s">
        <v>256</v>
      </c>
      <c r="W125" t="s">
        <v>135</v>
      </c>
      <c r="X125" t="s">
        <v>256</v>
      </c>
      <c r="Y125" t="s">
        <v>238</v>
      </c>
      <c r="Z125" t="s">
        <v>239</v>
      </c>
      <c r="AA125" t="s">
        <v>256</v>
      </c>
      <c r="AB125" t="s">
        <v>1</v>
      </c>
      <c r="AC125" s="239">
        <f>'Basis Options'!H130</f>
        <v>-250000</v>
      </c>
      <c r="AD125" s="239">
        <f>'Basis Options'!W130</f>
        <v>-2275.10325430175</v>
      </c>
      <c r="AE125">
        <v>0</v>
      </c>
      <c r="AF125">
        <v>0</v>
      </c>
      <c r="AG125">
        <v>0</v>
      </c>
      <c r="AH125" s="239">
        <f>'Basis Options'!BC130</f>
        <v>1144.6696689093596</v>
      </c>
      <c r="AI125">
        <v>232</v>
      </c>
      <c r="AJ125" t="s">
        <v>259</v>
      </c>
      <c r="AK125">
        <v>0</v>
      </c>
      <c r="AL125">
        <v>0</v>
      </c>
      <c r="AM125">
        <v>0</v>
      </c>
    </row>
    <row r="126" spans="1:39" x14ac:dyDescent="0.25">
      <c r="A126" t="s">
        <v>236</v>
      </c>
      <c r="B126" t="str">
        <f>'Basis Options'!C131</f>
        <v>NF0106.2</v>
      </c>
      <c r="C126" t="s">
        <v>258</v>
      </c>
      <c r="D126" t="s">
        <v>237</v>
      </c>
      <c r="E126" t="s">
        <v>20</v>
      </c>
      <c r="F126" t="str">
        <f>'Basis Options'!A131</f>
        <v>ELPASMER</v>
      </c>
      <c r="G126" t="s">
        <v>272</v>
      </c>
      <c r="H126" t="s">
        <v>257</v>
      </c>
      <c r="I126" t="s">
        <v>245</v>
      </c>
      <c r="J126" t="s">
        <v>238</v>
      </c>
      <c r="K126" s="393">
        <f>'Basis Options'!G131</f>
        <v>36770</v>
      </c>
      <c r="L126" s="239">
        <f>'Basis Options'!U131</f>
        <v>-11268.74034908254</v>
      </c>
      <c r="M126" s="393">
        <f>'Basis Options'!Q131</f>
        <v>36768</v>
      </c>
      <c r="N126" t="str">
        <f>'Basis Options'!F131</f>
        <v>P</v>
      </c>
      <c r="O126">
        <f>'Basis Options'!I131</f>
        <v>0.3</v>
      </c>
      <c r="P126">
        <v>0</v>
      </c>
      <c r="Q126">
        <v>0</v>
      </c>
      <c r="R126">
        <v>0</v>
      </c>
      <c r="S126">
        <v>0</v>
      </c>
      <c r="T126" t="s">
        <v>256</v>
      </c>
      <c r="U126" t="str">
        <f>IF('Basis Options'!D131="NGI/CHI. GATE","""NGI/CHI. GATE""",TRIM('Basis Options'!D131))</f>
        <v>IF-TRANSCO/Z6</v>
      </c>
      <c r="V126" t="s">
        <v>256</v>
      </c>
      <c r="W126" t="s">
        <v>135</v>
      </c>
      <c r="X126" t="s">
        <v>256</v>
      </c>
      <c r="Y126" t="s">
        <v>238</v>
      </c>
      <c r="Z126" t="s">
        <v>239</v>
      </c>
      <c r="AA126" t="s">
        <v>256</v>
      </c>
      <c r="AB126" t="s">
        <v>1</v>
      </c>
      <c r="AC126" s="239">
        <f>'Basis Options'!H131</f>
        <v>-250000</v>
      </c>
      <c r="AD126" s="239">
        <f>'Basis Options'!W131</f>
        <v>-2875.8035700172768</v>
      </c>
      <c r="AE126">
        <v>0</v>
      </c>
      <c r="AF126">
        <v>0</v>
      </c>
      <c r="AG126">
        <v>0</v>
      </c>
      <c r="AH126" s="239">
        <f>'Basis Options'!BC131</f>
        <v>1784.0820251735495</v>
      </c>
      <c r="AI126">
        <v>232</v>
      </c>
      <c r="AJ126" t="s">
        <v>259</v>
      </c>
      <c r="AK126">
        <v>0</v>
      </c>
      <c r="AL126">
        <v>0</v>
      </c>
      <c r="AM126">
        <v>0</v>
      </c>
    </row>
    <row r="127" spans="1:39" x14ac:dyDescent="0.25">
      <c r="A127" t="s">
        <v>236</v>
      </c>
      <c r="B127" t="str">
        <f>'Basis Options'!C132</f>
        <v>NF0106.2</v>
      </c>
      <c r="C127" t="s">
        <v>258</v>
      </c>
      <c r="D127" t="s">
        <v>237</v>
      </c>
      <c r="E127" t="s">
        <v>20</v>
      </c>
      <c r="F127" t="str">
        <f>'Basis Options'!A132</f>
        <v>ELPASMER</v>
      </c>
      <c r="G127" t="s">
        <v>272</v>
      </c>
      <c r="H127" t="s">
        <v>257</v>
      </c>
      <c r="I127" t="s">
        <v>245</v>
      </c>
      <c r="J127" t="s">
        <v>238</v>
      </c>
      <c r="K127" s="393">
        <f>'Basis Options'!G132</f>
        <v>36800</v>
      </c>
      <c r="L127" s="239">
        <f>'Basis Options'!U132</f>
        <v>-9621.3945680175548</v>
      </c>
      <c r="M127" s="393">
        <f>'Basis Options'!Q132</f>
        <v>36797</v>
      </c>
      <c r="N127" t="str">
        <f>'Basis Options'!F132</f>
        <v>P</v>
      </c>
      <c r="O127">
        <f>'Basis Options'!I132</f>
        <v>0.3</v>
      </c>
      <c r="P127">
        <v>0</v>
      </c>
      <c r="Q127">
        <v>0</v>
      </c>
      <c r="R127">
        <v>0</v>
      </c>
      <c r="S127">
        <v>0</v>
      </c>
      <c r="T127" t="s">
        <v>256</v>
      </c>
      <c r="U127" t="str">
        <f>IF('Basis Options'!D132="NGI/CHI. GATE","""NGI/CHI. GATE""",TRIM('Basis Options'!D132))</f>
        <v>IF-TRANSCO/Z6</v>
      </c>
      <c r="V127" t="s">
        <v>256</v>
      </c>
      <c r="W127" t="s">
        <v>135</v>
      </c>
      <c r="X127" t="s">
        <v>256</v>
      </c>
      <c r="Y127" t="s">
        <v>238</v>
      </c>
      <c r="Z127" t="s">
        <v>239</v>
      </c>
      <c r="AA127" t="s">
        <v>256</v>
      </c>
      <c r="AB127" t="s">
        <v>1</v>
      </c>
      <c r="AC127" s="239">
        <f>'Basis Options'!H132</f>
        <v>-250000</v>
      </c>
      <c r="AD127" s="239">
        <f>'Basis Options'!W132</f>
        <v>-3018.8389523205988</v>
      </c>
      <c r="AE127">
        <v>0</v>
      </c>
      <c r="AF127">
        <v>0</v>
      </c>
      <c r="AG127">
        <v>0</v>
      </c>
      <c r="AH127" s="239">
        <f>'Basis Options'!BC132</f>
        <v>1934.8369358062046</v>
      </c>
      <c r="AI127">
        <v>232</v>
      </c>
      <c r="AJ127" t="s">
        <v>259</v>
      </c>
      <c r="AK127">
        <v>0</v>
      </c>
      <c r="AL127">
        <v>0</v>
      </c>
      <c r="AM127">
        <v>0</v>
      </c>
    </row>
    <row r="128" spans="1:39" x14ac:dyDescent="0.25">
      <c r="A128" t="s">
        <v>236</v>
      </c>
      <c r="B128" t="str">
        <f>'Basis Options'!C133</f>
        <v>NF0106.1</v>
      </c>
      <c r="C128" t="s">
        <v>258</v>
      </c>
      <c r="D128" t="s">
        <v>237</v>
      </c>
      <c r="E128" t="s">
        <v>20</v>
      </c>
      <c r="F128" t="str">
        <f>'Basis Options'!A133</f>
        <v>ELPASMER</v>
      </c>
      <c r="G128" t="s">
        <v>272</v>
      </c>
      <c r="H128" t="s">
        <v>257</v>
      </c>
      <c r="I128" t="s">
        <v>245</v>
      </c>
      <c r="J128" t="s">
        <v>238</v>
      </c>
      <c r="K128" s="393">
        <f>'Basis Options'!G133</f>
        <v>36647</v>
      </c>
      <c r="L128" s="239">
        <f>'Basis Options'!U133</f>
        <v>-5812.8942998912198</v>
      </c>
      <c r="M128" s="393">
        <f>'Basis Options'!Q133</f>
        <v>36643</v>
      </c>
      <c r="N128" t="str">
        <f>'Basis Options'!F133</f>
        <v>C</v>
      </c>
      <c r="O128">
        <f>'Basis Options'!I133</f>
        <v>0.3</v>
      </c>
      <c r="P128">
        <v>0</v>
      </c>
      <c r="Q128">
        <v>0</v>
      </c>
      <c r="R128">
        <v>0</v>
      </c>
      <c r="S128">
        <v>0</v>
      </c>
      <c r="T128" t="s">
        <v>256</v>
      </c>
      <c r="U128" t="str">
        <f>IF('Basis Options'!D133="NGI/CHI. GATE","""NGI/CHI. GATE""",TRIM('Basis Options'!D133))</f>
        <v>IF-TRANSCO/Z6</v>
      </c>
      <c r="V128" t="s">
        <v>256</v>
      </c>
      <c r="W128" t="s">
        <v>135</v>
      </c>
      <c r="X128" t="s">
        <v>256</v>
      </c>
      <c r="Y128" t="s">
        <v>238</v>
      </c>
      <c r="Z128" t="s">
        <v>239</v>
      </c>
      <c r="AA128" t="s">
        <v>256</v>
      </c>
      <c r="AB128" t="s">
        <v>1</v>
      </c>
      <c r="AC128" s="239">
        <f>'Basis Options'!H133</f>
        <v>-500000</v>
      </c>
      <c r="AD128" s="239">
        <f>'Basis Options'!W133</f>
        <v>-1560.9007558594458</v>
      </c>
      <c r="AE128">
        <v>0</v>
      </c>
      <c r="AF128">
        <v>0</v>
      </c>
      <c r="AG128">
        <v>0</v>
      </c>
      <c r="AH128" s="239">
        <f>'Basis Options'!BC133</f>
        <v>-1159.7649469258713</v>
      </c>
      <c r="AI128">
        <v>232</v>
      </c>
      <c r="AJ128" t="s">
        <v>259</v>
      </c>
      <c r="AK128">
        <v>0</v>
      </c>
      <c r="AL128">
        <v>0</v>
      </c>
      <c r="AM128">
        <v>0</v>
      </c>
    </row>
    <row r="129" spans="1:39" x14ac:dyDescent="0.25">
      <c r="A129" t="s">
        <v>236</v>
      </c>
      <c r="B129" t="str">
        <f>'Basis Options'!C134</f>
        <v>NF0106.1</v>
      </c>
      <c r="C129" t="s">
        <v>258</v>
      </c>
      <c r="D129" t="s">
        <v>237</v>
      </c>
      <c r="E129" t="s">
        <v>20</v>
      </c>
      <c r="F129" t="str">
        <f>'Basis Options'!A134</f>
        <v>ELPASMER</v>
      </c>
      <c r="G129" t="s">
        <v>272</v>
      </c>
      <c r="H129" t="s">
        <v>257</v>
      </c>
      <c r="I129" t="s">
        <v>245</v>
      </c>
      <c r="J129" t="s">
        <v>238</v>
      </c>
      <c r="K129" s="393">
        <f>'Basis Options'!G134</f>
        <v>36678</v>
      </c>
      <c r="L129" s="239">
        <f>'Basis Options'!U134</f>
        <v>-15470.480736137459</v>
      </c>
      <c r="M129" s="393">
        <f>'Basis Options'!Q134</f>
        <v>36676</v>
      </c>
      <c r="N129" t="str">
        <f>'Basis Options'!F134</f>
        <v>C</v>
      </c>
      <c r="O129">
        <f>'Basis Options'!I134</f>
        <v>0.3</v>
      </c>
      <c r="P129">
        <v>0</v>
      </c>
      <c r="Q129">
        <v>0</v>
      </c>
      <c r="R129">
        <v>0</v>
      </c>
      <c r="S129">
        <v>0</v>
      </c>
      <c r="T129" t="s">
        <v>256</v>
      </c>
      <c r="U129" t="str">
        <f>IF('Basis Options'!D134="NGI/CHI. GATE","""NGI/CHI. GATE""",TRIM('Basis Options'!D134))</f>
        <v>IF-TRANSCO/Z6</v>
      </c>
      <c r="V129" t="s">
        <v>256</v>
      </c>
      <c r="W129" t="s">
        <v>135</v>
      </c>
      <c r="X129" t="s">
        <v>256</v>
      </c>
      <c r="Y129" t="s">
        <v>238</v>
      </c>
      <c r="Z129" t="s">
        <v>239</v>
      </c>
      <c r="AA129" t="s">
        <v>256</v>
      </c>
      <c r="AB129" t="s">
        <v>1</v>
      </c>
      <c r="AC129" s="239">
        <f>'Basis Options'!H134</f>
        <v>-500000</v>
      </c>
      <c r="AD129" s="239">
        <f>'Basis Options'!W134</f>
        <v>-3007.5232449735049</v>
      </c>
      <c r="AE129">
        <v>0</v>
      </c>
      <c r="AF129">
        <v>0</v>
      </c>
      <c r="AG129">
        <v>0</v>
      </c>
      <c r="AH129" s="239">
        <f>'Basis Options'!BC134</f>
        <v>-4579.14215152406</v>
      </c>
      <c r="AI129">
        <v>232</v>
      </c>
      <c r="AJ129" t="s">
        <v>259</v>
      </c>
      <c r="AK129">
        <v>0</v>
      </c>
      <c r="AL129">
        <v>0</v>
      </c>
      <c r="AM129">
        <v>0</v>
      </c>
    </row>
    <row r="130" spans="1:39" x14ac:dyDescent="0.25">
      <c r="A130" t="s">
        <v>236</v>
      </c>
      <c r="B130" t="str">
        <f>'Basis Options'!C135</f>
        <v>NF0106.1</v>
      </c>
      <c r="C130" t="s">
        <v>258</v>
      </c>
      <c r="D130" t="s">
        <v>237</v>
      </c>
      <c r="E130" t="s">
        <v>20</v>
      </c>
      <c r="F130" t="str">
        <f>'Basis Options'!A135</f>
        <v>ELPASMER</v>
      </c>
      <c r="G130" t="s">
        <v>272</v>
      </c>
      <c r="H130" t="s">
        <v>257</v>
      </c>
      <c r="I130" t="s">
        <v>245</v>
      </c>
      <c r="J130" t="s">
        <v>238</v>
      </c>
      <c r="K130" s="393">
        <f>'Basis Options'!G135</f>
        <v>36708</v>
      </c>
      <c r="L130" s="239">
        <f>'Basis Options'!U135</f>
        <v>-31480.032037900506</v>
      </c>
      <c r="M130" s="393">
        <f>'Basis Options'!Q135</f>
        <v>36706</v>
      </c>
      <c r="N130" t="str">
        <f>'Basis Options'!F135</f>
        <v>C</v>
      </c>
      <c r="O130">
        <f>'Basis Options'!I135</f>
        <v>0.3</v>
      </c>
      <c r="P130">
        <v>0</v>
      </c>
      <c r="Q130">
        <v>0</v>
      </c>
      <c r="R130">
        <v>0</v>
      </c>
      <c r="S130">
        <v>0</v>
      </c>
      <c r="T130" t="s">
        <v>256</v>
      </c>
      <c r="U130" t="str">
        <f>IF('Basis Options'!D135="NGI/CHI. GATE","""NGI/CHI. GATE""",TRIM('Basis Options'!D135))</f>
        <v>IF-TRANSCO/Z6</v>
      </c>
      <c r="V130" t="s">
        <v>256</v>
      </c>
      <c r="W130" t="s">
        <v>135</v>
      </c>
      <c r="X130" t="s">
        <v>256</v>
      </c>
      <c r="Y130" t="s">
        <v>238</v>
      </c>
      <c r="Z130" t="s">
        <v>239</v>
      </c>
      <c r="AA130" t="s">
        <v>256</v>
      </c>
      <c r="AB130" t="s">
        <v>1</v>
      </c>
      <c r="AC130" s="239">
        <f>'Basis Options'!H135</f>
        <v>-500000</v>
      </c>
      <c r="AD130" s="239">
        <f>'Basis Options'!W135</f>
        <v>-3555.3864802588359</v>
      </c>
      <c r="AE130">
        <v>0</v>
      </c>
      <c r="AF130">
        <v>0</v>
      </c>
      <c r="AG130">
        <v>0</v>
      </c>
      <c r="AH130" s="239">
        <f>'Basis Options'!BC135</f>
        <v>-5223.8712526167947</v>
      </c>
      <c r="AI130">
        <v>232</v>
      </c>
      <c r="AJ130" t="s">
        <v>259</v>
      </c>
      <c r="AK130">
        <v>0</v>
      </c>
      <c r="AL130">
        <v>0</v>
      </c>
      <c r="AM130">
        <v>0</v>
      </c>
    </row>
    <row r="131" spans="1:39" x14ac:dyDescent="0.25">
      <c r="A131" t="s">
        <v>236</v>
      </c>
      <c r="B131" t="str">
        <f>'Basis Options'!C136</f>
        <v>NF0106.1</v>
      </c>
      <c r="C131" t="s">
        <v>258</v>
      </c>
      <c r="D131" t="s">
        <v>237</v>
      </c>
      <c r="E131" t="s">
        <v>20</v>
      </c>
      <c r="F131" t="str">
        <f>'Basis Options'!A136</f>
        <v>ELPASMER</v>
      </c>
      <c r="G131" t="s">
        <v>272</v>
      </c>
      <c r="H131" t="s">
        <v>257</v>
      </c>
      <c r="I131" t="s">
        <v>245</v>
      </c>
      <c r="J131" t="s">
        <v>238</v>
      </c>
      <c r="K131" s="393">
        <f>'Basis Options'!G136</f>
        <v>36739</v>
      </c>
      <c r="L131" s="239">
        <f>'Basis Options'!U136</f>
        <v>-35185.052824911516</v>
      </c>
      <c r="M131" s="393">
        <f>'Basis Options'!Q136</f>
        <v>36735</v>
      </c>
      <c r="N131" t="str">
        <f>'Basis Options'!F136</f>
        <v>C</v>
      </c>
      <c r="O131">
        <f>'Basis Options'!I136</f>
        <v>0.3</v>
      </c>
      <c r="P131">
        <v>0</v>
      </c>
      <c r="Q131">
        <v>0</v>
      </c>
      <c r="R131">
        <v>0</v>
      </c>
      <c r="S131">
        <v>0</v>
      </c>
      <c r="T131" t="s">
        <v>256</v>
      </c>
      <c r="U131" t="str">
        <f>IF('Basis Options'!D136="NGI/CHI. GATE","""NGI/CHI. GATE""",TRIM('Basis Options'!D136))</f>
        <v>IF-TRANSCO/Z6</v>
      </c>
      <c r="V131" t="s">
        <v>256</v>
      </c>
      <c r="W131" t="s">
        <v>135</v>
      </c>
      <c r="X131" t="s">
        <v>256</v>
      </c>
      <c r="Y131" t="s">
        <v>238</v>
      </c>
      <c r="Z131" t="s">
        <v>239</v>
      </c>
      <c r="AA131" t="s">
        <v>256</v>
      </c>
      <c r="AB131" t="s">
        <v>1</v>
      </c>
      <c r="AC131" s="239">
        <f>'Basis Options'!H136</f>
        <v>-500000</v>
      </c>
      <c r="AD131" s="239">
        <f>'Basis Options'!W136</f>
        <v>-4550.2065086034709</v>
      </c>
      <c r="AE131">
        <v>0</v>
      </c>
      <c r="AF131">
        <v>0</v>
      </c>
      <c r="AG131">
        <v>0</v>
      </c>
      <c r="AH131" s="239">
        <f>'Basis Options'!BC136</f>
        <v>-5072.9306126128904</v>
      </c>
      <c r="AI131">
        <v>232</v>
      </c>
      <c r="AJ131" t="s">
        <v>259</v>
      </c>
      <c r="AK131">
        <v>0</v>
      </c>
      <c r="AL131">
        <v>0</v>
      </c>
      <c r="AM131">
        <v>0</v>
      </c>
    </row>
    <row r="132" spans="1:39" x14ac:dyDescent="0.25">
      <c r="A132" t="s">
        <v>236</v>
      </c>
      <c r="B132" t="str">
        <f>'Basis Options'!C137</f>
        <v>NF0106.1</v>
      </c>
      <c r="C132" t="s">
        <v>258</v>
      </c>
      <c r="D132" t="s">
        <v>237</v>
      </c>
      <c r="E132" t="s">
        <v>20</v>
      </c>
      <c r="F132" t="str">
        <f>'Basis Options'!A137</f>
        <v>ELPASMER</v>
      </c>
      <c r="G132" t="s">
        <v>272</v>
      </c>
      <c r="H132" t="s">
        <v>257</v>
      </c>
      <c r="I132" t="s">
        <v>245</v>
      </c>
      <c r="J132" t="s">
        <v>238</v>
      </c>
      <c r="K132" s="393">
        <f>'Basis Options'!G137</f>
        <v>36770</v>
      </c>
      <c r="L132" s="239">
        <f>'Basis Options'!U137</f>
        <v>-29858.845007519805</v>
      </c>
      <c r="M132" s="393">
        <f>'Basis Options'!Q137</f>
        <v>36768</v>
      </c>
      <c r="N132" t="str">
        <f>'Basis Options'!F137</f>
        <v>C</v>
      </c>
      <c r="O132">
        <f>'Basis Options'!I137</f>
        <v>0.3</v>
      </c>
      <c r="P132">
        <v>0</v>
      </c>
      <c r="Q132">
        <v>0</v>
      </c>
      <c r="R132">
        <v>0</v>
      </c>
      <c r="S132">
        <v>0</v>
      </c>
      <c r="T132" t="s">
        <v>256</v>
      </c>
      <c r="U132" t="str">
        <f>IF('Basis Options'!D137="NGI/CHI. GATE","""NGI/CHI. GATE""",TRIM('Basis Options'!D137))</f>
        <v>IF-TRANSCO/Z6</v>
      </c>
      <c r="V132" t="s">
        <v>256</v>
      </c>
      <c r="W132" t="s">
        <v>135</v>
      </c>
      <c r="X132" t="s">
        <v>256</v>
      </c>
      <c r="Y132" t="s">
        <v>238</v>
      </c>
      <c r="Z132" t="s">
        <v>239</v>
      </c>
      <c r="AA132" t="s">
        <v>256</v>
      </c>
      <c r="AB132" t="s">
        <v>1</v>
      </c>
      <c r="AC132" s="239">
        <f>'Basis Options'!H137</f>
        <v>-500000</v>
      </c>
      <c r="AD132" s="239">
        <f>'Basis Options'!W137</f>
        <v>-5751.6071400344954</v>
      </c>
      <c r="AE132">
        <v>0</v>
      </c>
      <c r="AF132">
        <v>0</v>
      </c>
      <c r="AG132">
        <v>0</v>
      </c>
      <c r="AH132" s="239">
        <f>'Basis Options'!BC137</f>
        <v>-4968.8389082008762</v>
      </c>
      <c r="AI132">
        <v>232</v>
      </c>
      <c r="AJ132" t="s">
        <v>259</v>
      </c>
      <c r="AK132">
        <v>0</v>
      </c>
      <c r="AL132">
        <v>0</v>
      </c>
      <c r="AM132">
        <v>0</v>
      </c>
    </row>
    <row r="133" spans="1:39" x14ac:dyDescent="0.25">
      <c r="A133" t="s">
        <v>236</v>
      </c>
      <c r="B133" t="str">
        <f>'Basis Options'!C138</f>
        <v>NF0106.1</v>
      </c>
      <c r="C133" t="s">
        <v>258</v>
      </c>
      <c r="D133" t="s">
        <v>237</v>
      </c>
      <c r="E133" t="s">
        <v>20</v>
      </c>
      <c r="F133" t="str">
        <f>'Basis Options'!A138</f>
        <v>ELPASMER</v>
      </c>
      <c r="G133" t="s">
        <v>272</v>
      </c>
      <c r="H133" t="s">
        <v>257</v>
      </c>
      <c r="I133" t="s">
        <v>245</v>
      </c>
      <c r="J133" t="s">
        <v>238</v>
      </c>
      <c r="K133" s="393">
        <f>'Basis Options'!G138</f>
        <v>36800</v>
      </c>
      <c r="L133" s="239">
        <f>'Basis Options'!U138</f>
        <v>-41087.581039029094</v>
      </c>
      <c r="M133" s="393">
        <f>'Basis Options'!Q138</f>
        <v>36797</v>
      </c>
      <c r="N133" t="str">
        <f>'Basis Options'!F138</f>
        <v>C</v>
      </c>
      <c r="O133">
        <f>'Basis Options'!I138</f>
        <v>0.3</v>
      </c>
      <c r="P133">
        <v>0</v>
      </c>
      <c r="Q133">
        <v>0</v>
      </c>
      <c r="R133">
        <v>0</v>
      </c>
      <c r="S133">
        <v>0</v>
      </c>
      <c r="T133" t="s">
        <v>256</v>
      </c>
      <c r="U133" t="str">
        <f>IF('Basis Options'!D138="NGI/CHI. GATE","""NGI/CHI. GATE""",TRIM('Basis Options'!D138))</f>
        <v>IF-TRANSCO/Z6</v>
      </c>
      <c r="V133" t="s">
        <v>256</v>
      </c>
      <c r="W133" t="s">
        <v>135</v>
      </c>
      <c r="X133" t="s">
        <v>256</v>
      </c>
      <c r="Y133" t="s">
        <v>238</v>
      </c>
      <c r="Z133" t="s">
        <v>239</v>
      </c>
      <c r="AA133" t="s">
        <v>256</v>
      </c>
      <c r="AB133" t="s">
        <v>1</v>
      </c>
      <c r="AC133" s="239">
        <f>'Basis Options'!H138</f>
        <v>-500000</v>
      </c>
      <c r="AD133" s="239">
        <f>'Basis Options'!W138</f>
        <v>-6037.6779046411975</v>
      </c>
      <c r="AE133">
        <v>0</v>
      </c>
      <c r="AF133">
        <v>0</v>
      </c>
      <c r="AG133">
        <v>0</v>
      </c>
      <c r="AH133" s="239">
        <f>'Basis Options'!BC138</f>
        <v>-7046.6387359602086</v>
      </c>
      <c r="AI133">
        <v>232</v>
      </c>
      <c r="AJ133" t="s">
        <v>259</v>
      </c>
      <c r="AK133">
        <v>0</v>
      </c>
      <c r="AL133">
        <v>0</v>
      </c>
      <c r="AM133">
        <v>0</v>
      </c>
    </row>
    <row r="134" spans="1:39" x14ac:dyDescent="0.25">
      <c r="A134" t="s">
        <v>236</v>
      </c>
      <c r="B134" t="str">
        <f>'Basis Options'!C139</f>
        <v>NF0106.2</v>
      </c>
      <c r="C134" t="s">
        <v>258</v>
      </c>
      <c r="D134" t="s">
        <v>237</v>
      </c>
      <c r="E134" t="s">
        <v>20</v>
      </c>
      <c r="F134" t="str">
        <f>'Basis Options'!A139</f>
        <v>ELPASMER</v>
      </c>
      <c r="G134" t="s">
        <v>272</v>
      </c>
      <c r="H134" t="s">
        <v>257</v>
      </c>
      <c r="I134" t="s">
        <v>245</v>
      </c>
      <c r="J134" t="s">
        <v>238</v>
      </c>
      <c r="K134" s="393">
        <f>'Basis Options'!G139</f>
        <v>36647</v>
      </c>
      <c r="L134" s="239">
        <f>'Basis Options'!U139</f>
        <v>-8308.6075263706098</v>
      </c>
      <c r="M134" s="393">
        <f>'Basis Options'!Q139</f>
        <v>36643</v>
      </c>
      <c r="N134" t="str">
        <f>'Basis Options'!F139</f>
        <v>P</v>
      </c>
      <c r="O134">
        <f>'Basis Options'!I139</f>
        <v>0.3</v>
      </c>
      <c r="P134">
        <v>0</v>
      </c>
      <c r="Q134">
        <v>0</v>
      </c>
      <c r="R134">
        <v>0</v>
      </c>
      <c r="S134">
        <v>0</v>
      </c>
      <c r="T134" t="s">
        <v>256</v>
      </c>
      <c r="U134" t="str">
        <f>IF('Basis Options'!D139="NGI/CHI. GATE","""NGI/CHI. GATE""",TRIM('Basis Options'!D139))</f>
        <v>IF-TRANSCO/Z6</v>
      </c>
      <c r="V134" t="s">
        <v>256</v>
      </c>
      <c r="W134" t="s">
        <v>135</v>
      </c>
      <c r="X134" t="s">
        <v>256</v>
      </c>
      <c r="Y134" t="s">
        <v>238</v>
      </c>
      <c r="Z134" t="s">
        <v>239</v>
      </c>
      <c r="AA134" t="s">
        <v>256</v>
      </c>
      <c r="AB134" t="s">
        <v>1</v>
      </c>
      <c r="AC134" s="239">
        <f>'Basis Options'!H139</f>
        <v>-500000</v>
      </c>
      <c r="AD134" s="239">
        <f>'Basis Options'!W139</f>
        <v>-1560.9007558594458</v>
      </c>
      <c r="AE134">
        <v>0</v>
      </c>
      <c r="AF134">
        <v>0</v>
      </c>
      <c r="AG134">
        <v>0</v>
      </c>
      <c r="AH134" s="239">
        <f>'Basis Options'!BC139</f>
        <v>1334.6723170484238</v>
      </c>
      <c r="AI134">
        <v>232</v>
      </c>
      <c r="AJ134" t="s">
        <v>259</v>
      </c>
      <c r="AK134">
        <v>0</v>
      </c>
      <c r="AL134">
        <v>0</v>
      </c>
      <c r="AM134">
        <v>0</v>
      </c>
    </row>
    <row r="135" spans="1:39" x14ac:dyDescent="0.25">
      <c r="A135" t="s">
        <v>236</v>
      </c>
      <c r="B135" t="str">
        <f>'Basis Options'!C140</f>
        <v>NF0106.2</v>
      </c>
      <c r="C135" t="s">
        <v>258</v>
      </c>
      <c r="D135" t="s">
        <v>237</v>
      </c>
      <c r="E135" t="s">
        <v>20</v>
      </c>
      <c r="F135" t="str">
        <f>'Basis Options'!A140</f>
        <v>ELPASMER</v>
      </c>
      <c r="G135" t="s">
        <v>272</v>
      </c>
      <c r="H135" t="s">
        <v>257</v>
      </c>
      <c r="I135" t="s">
        <v>245</v>
      </c>
      <c r="J135" t="s">
        <v>238</v>
      </c>
      <c r="K135" s="393">
        <f>'Basis Options'!G140</f>
        <v>36678</v>
      </c>
      <c r="L135" s="239">
        <f>'Basis Options'!U140</f>
        <v>-11748.208518099435</v>
      </c>
      <c r="M135" s="393">
        <f>'Basis Options'!Q140</f>
        <v>36676</v>
      </c>
      <c r="N135" t="str">
        <f>'Basis Options'!F140</f>
        <v>P</v>
      </c>
      <c r="O135">
        <f>'Basis Options'!I140</f>
        <v>0.3</v>
      </c>
      <c r="P135">
        <v>0</v>
      </c>
      <c r="Q135">
        <v>0</v>
      </c>
      <c r="R135">
        <v>0</v>
      </c>
      <c r="S135">
        <v>0</v>
      </c>
      <c r="T135" t="s">
        <v>256</v>
      </c>
      <c r="U135" t="str">
        <f>IF('Basis Options'!D140="NGI/CHI. GATE","""NGI/CHI. GATE""",TRIM('Basis Options'!D140))</f>
        <v>IF-TRANSCO/Z6</v>
      </c>
      <c r="V135" t="s">
        <v>256</v>
      </c>
      <c r="W135" t="s">
        <v>135</v>
      </c>
      <c r="X135" t="s">
        <v>256</v>
      </c>
      <c r="Y135" t="s">
        <v>238</v>
      </c>
      <c r="Z135" t="s">
        <v>239</v>
      </c>
      <c r="AA135" t="s">
        <v>256</v>
      </c>
      <c r="AB135" t="s">
        <v>1</v>
      </c>
      <c r="AC135" s="239">
        <f>'Basis Options'!H140</f>
        <v>-500000</v>
      </c>
      <c r="AD135" s="239">
        <f>'Basis Options'!W140</f>
        <v>-3007.5232449735049</v>
      </c>
      <c r="AE135">
        <v>0</v>
      </c>
      <c r="AF135">
        <v>0</v>
      </c>
      <c r="AG135">
        <v>0</v>
      </c>
      <c r="AH135" s="239">
        <f>'Basis Options'!BC140</f>
        <v>4101.6914178131356</v>
      </c>
      <c r="AI135">
        <v>232</v>
      </c>
      <c r="AJ135" t="s">
        <v>259</v>
      </c>
      <c r="AK135">
        <v>0</v>
      </c>
      <c r="AL135">
        <v>0</v>
      </c>
      <c r="AM135">
        <v>0</v>
      </c>
    </row>
    <row r="136" spans="1:39" x14ac:dyDescent="0.25">
      <c r="A136" t="s">
        <v>236</v>
      </c>
      <c r="B136" t="str">
        <f>'Basis Options'!C141</f>
        <v>NF0106.2</v>
      </c>
      <c r="C136" t="s">
        <v>258</v>
      </c>
      <c r="D136" t="s">
        <v>237</v>
      </c>
      <c r="E136" t="s">
        <v>20</v>
      </c>
      <c r="F136" t="str">
        <f>'Basis Options'!A141</f>
        <v>ELPASMER</v>
      </c>
      <c r="G136" t="s">
        <v>272</v>
      </c>
      <c r="H136" t="s">
        <v>257</v>
      </c>
      <c r="I136" t="s">
        <v>245</v>
      </c>
      <c r="J136" t="s">
        <v>238</v>
      </c>
      <c r="K136" s="393">
        <f>'Basis Options'!G141</f>
        <v>36708</v>
      </c>
      <c r="L136" s="239">
        <f>'Basis Options'!U141</f>
        <v>-9264.65077163155</v>
      </c>
      <c r="M136" s="393">
        <f>'Basis Options'!Q141</f>
        <v>36706</v>
      </c>
      <c r="N136" t="str">
        <f>'Basis Options'!F141</f>
        <v>P</v>
      </c>
      <c r="O136">
        <f>'Basis Options'!I141</f>
        <v>0.3</v>
      </c>
      <c r="P136">
        <v>0</v>
      </c>
      <c r="Q136">
        <v>0</v>
      </c>
      <c r="R136">
        <v>0</v>
      </c>
      <c r="S136">
        <v>0</v>
      </c>
      <c r="T136" t="s">
        <v>256</v>
      </c>
      <c r="U136" t="str">
        <f>IF('Basis Options'!D141="NGI/CHI. GATE","""NGI/CHI. GATE""",TRIM('Basis Options'!D141))</f>
        <v>IF-TRANSCO/Z6</v>
      </c>
      <c r="V136" t="s">
        <v>256</v>
      </c>
      <c r="W136" t="s">
        <v>135</v>
      </c>
      <c r="X136" t="s">
        <v>256</v>
      </c>
      <c r="Y136" t="s">
        <v>238</v>
      </c>
      <c r="Z136" t="s">
        <v>239</v>
      </c>
      <c r="AA136" t="s">
        <v>256</v>
      </c>
      <c r="AB136" t="s">
        <v>1</v>
      </c>
      <c r="AC136" s="239">
        <f>'Basis Options'!H141</f>
        <v>-500000</v>
      </c>
      <c r="AD136" s="239">
        <f>'Basis Options'!W141</f>
        <v>-3555.3864802588359</v>
      </c>
      <c r="AE136">
        <v>0</v>
      </c>
      <c r="AF136">
        <v>0</v>
      </c>
      <c r="AG136">
        <v>0</v>
      </c>
      <c r="AH136" s="239">
        <f>'Basis Options'!BC141</f>
        <v>2177.4532463167961</v>
      </c>
      <c r="AI136">
        <v>232</v>
      </c>
      <c r="AJ136" t="s">
        <v>259</v>
      </c>
      <c r="AK136">
        <v>0</v>
      </c>
      <c r="AL136">
        <v>0</v>
      </c>
      <c r="AM136">
        <v>0</v>
      </c>
    </row>
    <row r="137" spans="1:39" x14ac:dyDescent="0.25">
      <c r="A137" t="s">
        <v>236</v>
      </c>
      <c r="B137" t="str">
        <f>'Basis Options'!C142</f>
        <v>NF0106.2</v>
      </c>
      <c r="C137" t="s">
        <v>258</v>
      </c>
      <c r="D137" t="s">
        <v>237</v>
      </c>
      <c r="E137" t="s">
        <v>20</v>
      </c>
      <c r="F137" t="str">
        <f>'Basis Options'!A142</f>
        <v>ELPASMER</v>
      </c>
      <c r="G137" t="s">
        <v>272</v>
      </c>
      <c r="H137" t="s">
        <v>257</v>
      </c>
      <c r="I137" t="s">
        <v>245</v>
      </c>
      <c r="J137" t="s">
        <v>238</v>
      </c>
      <c r="K137" s="393">
        <f>'Basis Options'!G142</f>
        <v>36739</v>
      </c>
      <c r="L137" s="239">
        <f>'Basis Options'!U142</f>
        <v>-13086.704325788762</v>
      </c>
      <c r="M137" s="393">
        <f>'Basis Options'!Q142</f>
        <v>36735</v>
      </c>
      <c r="N137" t="str">
        <f>'Basis Options'!F142</f>
        <v>P</v>
      </c>
      <c r="O137">
        <f>'Basis Options'!I142</f>
        <v>0.3</v>
      </c>
      <c r="P137">
        <v>0</v>
      </c>
      <c r="Q137">
        <v>0</v>
      </c>
      <c r="R137">
        <v>0</v>
      </c>
      <c r="S137">
        <v>0</v>
      </c>
      <c r="T137" t="s">
        <v>256</v>
      </c>
      <c r="U137" t="str">
        <f>IF('Basis Options'!D142="NGI/CHI. GATE","""NGI/CHI. GATE""",TRIM('Basis Options'!D142))</f>
        <v>IF-TRANSCO/Z6</v>
      </c>
      <c r="V137" t="s">
        <v>256</v>
      </c>
      <c r="W137" t="s">
        <v>135</v>
      </c>
      <c r="X137" t="s">
        <v>256</v>
      </c>
      <c r="Y137" t="s">
        <v>238</v>
      </c>
      <c r="Z137" t="s">
        <v>239</v>
      </c>
      <c r="AA137" t="s">
        <v>256</v>
      </c>
      <c r="AB137" t="s">
        <v>1</v>
      </c>
      <c r="AC137" s="239">
        <f>'Basis Options'!H142</f>
        <v>-500000</v>
      </c>
      <c r="AD137" s="239">
        <f>'Basis Options'!W142</f>
        <v>-4550.2065086035</v>
      </c>
      <c r="AE137">
        <v>0</v>
      </c>
      <c r="AF137">
        <v>0</v>
      </c>
      <c r="AG137">
        <v>0</v>
      </c>
      <c r="AH137" s="239">
        <f>'Basis Options'!BC142</f>
        <v>2289.3393378187193</v>
      </c>
      <c r="AI137">
        <v>232</v>
      </c>
      <c r="AJ137" t="s">
        <v>259</v>
      </c>
      <c r="AK137">
        <v>0</v>
      </c>
      <c r="AL137">
        <v>0</v>
      </c>
      <c r="AM137">
        <v>0</v>
      </c>
    </row>
    <row r="138" spans="1:39" x14ac:dyDescent="0.25">
      <c r="A138" t="s">
        <v>236</v>
      </c>
      <c r="B138" t="str">
        <f>'Basis Options'!C143</f>
        <v>NF0106.2</v>
      </c>
      <c r="C138" t="s">
        <v>258</v>
      </c>
      <c r="D138" t="s">
        <v>237</v>
      </c>
      <c r="E138" t="s">
        <v>20</v>
      </c>
      <c r="F138" t="str">
        <f>'Basis Options'!A143</f>
        <v>ELPASMER</v>
      </c>
      <c r="G138" t="s">
        <v>272</v>
      </c>
      <c r="H138" t="s">
        <v>257</v>
      </c>
      <c r="I138" t="s">
        <v>245</v>
      </c>
      <c r="J138" t="s">
        <v>238</v>
      </c>
      <c r="K138" s="393">
        <f>'Basis Options'!G143</f>
        <v>36770</v>
      </c>
      <c r="L138" s="239">
        <f>'Basis Options'!U143</f>
        <v>-22537.48069816508</v>
      </c>
      <c r="M138" s="393">
        <f>'Basis Options'!Q143</f>
        <v>36768</v>
      </c>
      <c r="N138" t="str">
        <f>'Basis Options'!F143</f>
        <v>P</v>
      </c>
      <c r="O138">
        <f>'Basis Options'!I143</f>
        <v>0.3</v>
      </c>
      <c r="P138">
        <v>0</v>
      </c>
      <c r="Q138">
        <v>0</v>
      </c>
      <c r="R138">
        <v>0</v>
      </c>
      <c r="S138">
        <v>0</v>
      </c>
      <c r="T138" t="s">
        <v>256</v>
      </c>
      <c r="U138" t="str">
        <f>IF('Basis Options'!D143="NGI/CHI. GATE","""NGI/CHI. GATE""",TRIM('Basis Options'!D143))</f>
        <v>IF-TRANSCO/Z6</v>
      </c>
      <c r="V138" t="s">
        <v>256</v>
      </c>
      <c r="W138" t="s">
        <v>135</v>
      </c>
      <c r="X138" t="s">
        <v>256</v>
      </c>
      <c r="Y138" t="s">
        <v>238</v>
      </c>
      <c r="Z138" t="s">
        <v>239</v>
      </c>
      <c r="AA138" t="s">
        <v>256</v>
      </c>
      <c r="AB138" t="s">
        <v>1</v>
      </c>
      <c r="AC138" s="239">
        <f>'Basis Options'!H143</f>
        <v>-500000</v>
      </c>
      <c r="AD138" s="239">
        <f>'Basis Options'!W143</f>
        <v>-5751.6071400345536</v>
      </c>
      <c r="AE138">
        <v>0</v>
      </c>
      <c r="AF138">
        <v>0</v>
      </c>
      <c r="AG138">
        <v>0</v>
      </c>
      <c r="AH138" s="239">
        <f>'Basis Options'!BC143</f>
        <v>3568.164050347099</v>
      </c>
      <c r="AI138">
        <v>232</v>
      </c>
      <c r="AJ138" t="s">
        <v>259</v>
      </c>
      <c r="AK138">
        <v>0</v>
      </c>
      <c r="AL138">
        <v>0</v>
      </c>
      <c r="AM138">
        <v>0</v>
      </c>
    </row>
    <row r="139" spans="1:39" x14ac:dyDescent="0.25">
      <c r="A139" t="s">
        <v>236</v>
      </c>
      <c r="B139" t="str">
        <f>'Basis Options'!C144</f>
        <v>NF0106.2</v>
      </c>
      <c r="C139" t="s">
        <v>258</v>
      </c>
      <c r="D139" t="s">
        <v>237</v>
      </c>
      <c r="E139" t="s">
        <v>20</v>
      </c>
      <c r="F139" t="str">
        <f>'Basis Options'!A144</f>
        <v>ELPASMER</v>
      </c>
      <c r="G139" t="s">
        <v>272</v>
      </c>
      <c r="H139" t="s">
        <v>257</v>
      </c>
      <c r="I139" t="s">
        <v>245</v>
      </c>
      <c r="J139" t="s">
        <v>238</v>
      </c>
      <c r="K139" s="393">
        <f>'Basis Options'!G144</f>
        <v>36800</v>
      </c>
      <c r="L139" s="239">
        <f>'Basis Options'!U144</f>
        <v>-19242.78913603511</v>
      </c>
      <c r="M139" s="393">
        <f>'Basis Options'!Q144</f>
        <v>36797</v>
      </c>
      <c r="N139" t="str">
        <f>'Basis Options'!F144</f>
        <v>P</v>
      </c>
      <c r="O139">
        <f>'Basis Options'!I144</f>
        <v>0.3</v>
      </c>
      <c r="P139">
        <v>0</v>
      </c>
      <c r="Q139">
        <v>0</v>
      </c>
      <c r="R139">
        <v>0</v>
      </c>
      <c r="S139">
        <v>0</v>
      </c>
      <c r="T139" t="s">
        <v>256</v>
      </c>
      <c r="U139" t="str">
        <f>IF('Basis Options'!D144="NGI/CHI. GATE","""NGI/CHI. GATE""",TRIM('Basis Options'!D144))</f>
        <v>IF-TRANSCO/Z6</v>
      </c>
      <c r="V139" t="s">
        <v>256</v>
      </c>
      <c r="W139" t="s">
        <v>135</v>
      </c>
      <c r="X139" t="s">
        <v>256</v>
      </c>
      <c r="Y139" t="s">
        <v>238</v>
      </c>
      <c r="Z139" t="s">
        <v>239</v>
      </c>
      <c r="AA139" t="s">
        <v>256</v>
      </c>
      <c r="AB139" t="s">
        <v>1</v>
      </c>
      <c r="AC139" s="239">
        <f>'Basis Options'!H144</f>
        <v>-500000</v>
      </c>
      <c r="AD139" s="239">
        <f>'Basis Options'!W144</f>
        <v>-6037.6779046411975</v>
      </c>
      <c r="AE139">
        <v>0</v>
      </c>
      <c r="AF139">
        <v>0</v>
      </c>
      <c r="AG139">
        <v>0</v>
      </c>
      <c r="AH139" s="239">
        <f>'Basis Options'!BC144</f>
        <v>3869.6738716124091</v>
      </c>
      <c r="AI139">
        <v>232</v>
      </c>
      <c r="AJ139" t="s">
        <v>259</v>
      </c>
      <c r="AK139">
        <v>0</v>
      </c>
      <c r="AL139">
        <v>0</v>
      </c>
      <c r="AM139">
        <v>0</v>
      </c>
    </row>
    <row r="140" spans="1:39" x14ac:dyDescent="0.25">
      <c r="A140" t="s">
        <v>236</v>
      </c>
      <c r="B140" t="str">
        <f>'Basis Options'!C145</f>
        <v>NF1092.1</v>
      </c>
      <c r="C140" t="s">
        <v>258</v>
      </c>
      <c r="D140" t="s">
        <v>237</v>
      </c>
      <c r="E140" t="s">
        <v>20</v>
      </c>
      <c r="F140" t="str">
        <f>'Basis Options'!A145</f>
        <v>ELPASMER</v>
      </c>
      <c r="G140" t="s">
        <v>272</v>
      </c>
      <c r="H140" t="s">
        <v>257</v>
      </c>
      <c r="I140" t="s">
        <v>245</v>
      </c>
      <c r="J140" t="s">
        <v>238</v>
      </c>
      <c r="K140" s="393">
        <f>'Basis Options'!G145</f>
        <v>36647</v>
      </c>
      <c r="L140" s="239">
        <f>'Basis Options'!U145</f>
        <v>-1941.9279820334091</v>
      </c>
      <c r="M140" s="393">
        <f>'Basis Options'!Q145</f>
        <v>36643</v>
      </c>
      <c r="N140" t="str">
        <f>'Basis Options'!F145</f>
        <v>C</v>
      </c>
      <c r="O140">
        <f>'Basis Options'!I145</f>
        <v>-0.25</v>
      </c>
      <c r="P140">
        <v>0</v>
      </c>
      <c r="Q140">
        <v>0</v>
      </c>
      <c r="R140">
        <v>0</v>
      </c>
      <c r="S140">
        <v>0</v>
      </c>
      <c r="T140" t="s">
        <v>256</v>
      </c>
      <c r="U140" t="str">
        <f>IF('Basis Options'!D145="NGI/CHI. GATE","""NGI/CHI. GATE""",TRIM('Basis Options'!D145))</f>
        <v>IF-NWPL_ROCKY_M</v>
      </c>
      <c r="V140" t="s">
        <v>256</v>
      </c>
      <c r="W140" t="s">
        <v>135</v>
      </c>
      <c r="X140" t="s">
        <v>256</v>
      </c>
      <c r="Y140" t="s">
        <v>238</v>
      </c>
      <c r="Z140" t="s">
        <v>239</v>
      </c>
      <c r="AA140" t="s">
        <v>256</v>
      </c>
      <c r="AB140" t="s">
        <v>1</v>
      </c>
      <c r="AC140" s="239">
        <f>'Basis Options'!H145</f>
        <v>-1000000</v>
      </c>
      <c r="AD140" s="239">
        <f>'Basis Options'!W145</f>
        <v>-2451.3420646216109</v>
      </c>
      <c r="AE140">
        <v>0</v>
      </c>
      <c r="AF140">
        <v>0</v>
      </c>
      <c r="AG140">
        <v>0</v>
      </c>
      <c r="AH140" s="239">
        <f>'Basis Options'!BC145</f>
        <v>0</v>
      </c>
      <c r="AI140">
        <v>232</v>
      </c>
      <c r="AJ140" t="s">
        <v>259</v>
      </c>
      <c r="AK140">
        <v>0</v>
      </c>
      <c r="AL140">
        <v>0</v>
      </c>
      <c r="AM140">
        <v>0</v>
      </c>
    </row>
    <row r="141" spans="1:39" x14ac:dyDescent="0.25">
      <c r="A141" t="s">
        <v>236</v>
      </c>
      <c r="B141" t="str">
        <f>'Basis Options'!C146</f>
        <v>NF1092.1</v>
      </c>
      <c r="C141" t="s">
        <v>258</v>
      </c>
      <c r="D141" t="s">
        <v>237</v>
      </c>
      <c r="E141" t="s">
        <v>20</v>
      </c>
      <c r="F141" t="str">
        <f>'Basis Options'!A146</f>
        <v>ELPASMER</v>
      </c>
      <c r="G141" t="s">
        <v>272</v>
      </c>
      <c r="H141" t="s">
        <v>257</v>
      </c>
      <c r="I141" t="s">
        <v>245</v>
      </c>
      <c r="J141" t="s">
        <v>238</v>
      </c>
      <c r="K141" s="393">
        <f>'Basis Options'!G146</f>
        <v>36678</v>
      </c>
      <c r="L141" s="239">
        <f>'Basis Options'!U146</f>
        <v>-14887.424452426523</v>
      </c>
      <c r="M141" s="393">
        <f>'Basis Options'!Q146</f>
        <v>36676</v>
      </c>
      <c r="N141" t="str">
        <f>'Basis Options'!F146</f>
        <v>C</v>
      </c>
      <c r="O141">
        <f>'Basis Options'!I146</f>
        <v>-0.25</v>
      </c>
      <c r="P141">
        <v>0</v>
      </c>
      <c r="Q141">
        <v>0</v>
      </c>
      <c r="R141">
        <v>0</v>
      </c>
      <c r="S141">
        <v>0</v>
      </c>
      <c r="T141" t="s">
        <v>256</v>
      </c>
      <c r="U141" t="str">
        <f>IF('Basis Options'!D146="NGI/CHI. GATE","""NGI/CHI. GATE""",TRIM('Basis Options'!D146))</f>
        <v>IF-NWPL_ROCKY_M</v>
      </c>
      <c r="V141" t="s">
        <v>256</v>
      </c>
      <c r="W141" t="s">
        <v>135</v>
      </c>
      <c r="X141" t="s">
        <v>256</v>
      </c>
      <c r="Y141" t="s">
        <v>238</v>
      </c>
      <c r="Z141" t="s">
        <v>239</v>
      </c>
      <c r="AA141" t="s">
        <v>256</v>
      </c>
      <c r="AB141" t="s">
        <v>1</v>
      </c>
      <c r="AC141" s="239">
        <f>'Basis Options'!H146</f>
        <v>-1000000</v>
      </c>
      <c r="AD141" s="239">
        <f>'Basis Options'!W146</f>
        <v>-10423.879524806049</v>
      </c>
      <c r="AE141">
        <v>0</v>
      </c>
      <c r="AF141">
        <v>0</v>
      </c>
      <c r="AG141">
        <v>0</v>
      </c>
      <c r="AH141" s="239">
        <f>'Basis Options'!BC146</f>
        <v>0</v>
      </c>
      <c r="AI141">
        <v>232</v>
      </c>
      <c r="AJ141" t="s">
        <v>259</v>
      </c>
      <c r="AK141">
        <v>0</v>
      </c>
      <c r="AL141">
        <v>0</v>
      </c>
      <c r="AM141">
        <v>0</v>
      </c>
    </row>
    <row r="142" spans="1:39" x14ac:dyDescent="0.25">
      <c r="A142" t="s">
        <v>236</v>
      </c>
      <c r="B142" t="str">
        <f>'Basis Options'!C147</f>
        <v>NF1092.1</v>
      </c>
      <c r="C142" t="s">
        <v>258</v>
      </c>
      <c r="D142" t="s">
        <v>237</v>
      </c>
      <c r="E142" t="s">
        <v>20</v>
      </c>
      <c r="F142" t="str">
        <f>'Basis Options'!A147</f>
        <v>ELPASMER</v>
      </c>
      <c r="G142" t="s">
        <v>272</v>
      </c>
      <c r="H142" t="s">
        <v>257</v>
      </c>
      <c r="I142" t="s">
        <v>245</v>
      </c>
      <c r="J142" t="s">
        <v>238</v>
      </c>
      <c r="K142" s="393">
        <f>'Basis Options'!G147</f>
        <v>36708</v>
      </c>
      <c r="L142" s="239">
        <f>'Basis Options'!U147</f>
        <v>-33246.753108390229</v>
      </c>
      <c r="M142" s="393">
        <f>'Basis Options'!Q147</f>
        <v>36706</v>
      </c>
      <c r="N142" t="str">
        <f>'Basis Options'!F147</f>
        <v>C</v>
      </c>
      <c r="O142">
        <f>'Basis Options'!I147</f>
        <v>-0.25</v>
      </c>
      <c r="P142">
        <v>0</v>
      </c>
      <c r="Q142">
        <v>0</v>
      </c>
      <c r="R142">
        <v>0</v>
      </c>
      <c r="S142">
        <v>0</v>
      </c>
      <c r="T142" t="s">
        <v>256</v>
      </c>
      <c r="U142" t="str">
        <f>IF('Basis Options'!D147="NGI/CHI. GATE","""NGI/CHI. GATE""",TRIM('Basis Options'!D147))</f>
        <v>IF-NWPL_ROCKY_M</v>
      </c>
      <c r="V142" t="s">
        <v>256</v>
      </c>
      <c r="W142" t="s">
        <v>135</v>
      </c>
      <c r="X142" t="s">
        <v>256</v>
      </c>
      <c r="Y142" t="s">
        <v>238</v>
      </c>
      <c r="Z142" t="s">
        <v>239</v>
      </c>
      <c r="AA142" t="s">
        <v>256</v>
      </c>
      <c r="AB142" t="s">
        <v>1</v>
      </c>
      <c r="AC142" s="239">
        <f>'Basis Options'!H147</f>
        <v>-1000000</v>
      </c>
      <c r="AD142" s="239">
        <f>'Basis Options'!W147</f>
        <v>-16877.460087048297</v>
      </c>
      <c r="AE142">
        <v>0</v>
      </c>
      <c r="AF142">
        <v>0</v>
      </c>
      <c r="AG142">
        <v>0</v>
      </c>
      <c r="AH142" s="239">
        <f>'Basis Options'!BC147</f>
        <v>0</v>
      </c>
      <c r="AI142">
        <v>232</v>
      </c>
      <c r="AJ142" t="s">
        <v>259</v>
      </c>
      <c r="AK142">
        <v>0</v>
      </c>
      <c r="AL142">
        <v>0</v>
      </c>
      <c r="AM142">
        <v>0</v>
      </c>
    </row>
    <row r="143" spans="1:39" x14ac:dyDescent="0.25">
      <c r="A143" t="s">
        <v>236</v>
      </c>
      <c r="B143" t="str">
        <f>'Basis Options'!C148</f>
        <v>NF1092.1</v>
      </c>
      <c r="C143" t="s">
        <v>258</v>
      </c>
      <c r="D143" t="s">
        <v>237</v>
      </c>
      <c r="E143" t="s">
        <v>20</v>
      </c>
      <c r="F143" t="str">
        <f>'Basis Options'!A148</f>
        <v>ELPASMER</v>
      </c>
      <c r="G143" t="s">
        <v>272</v>
      </c>
      <c r="H143" t="s">
        <v>257</v>
      </c>
      <c r="I143" t="s">
        <v>245</v>
      </c>
      <c r="J143" t="s">
        <v>238</v>
      </c>
      <c r="K143" s="393">
        <f>'Basis Options'!G148</f>
        <v>36739</v>
      </c>
      <c r="L143" s="239">
        <f>'Basis Options'!U148</f>
        <v>-46571.436107695095</v>
      </c>
      <c r="M143" s="393">
        <f>'Basis Options'!Q148</f>
        <v>36735</v>
      </c>
      <c r="N143" t="str">
        <f>'Basis Options'!F148</f>
        <v>C</v>
      </c>
      <c r="O143">
        <f>'Basis Options'!I148</f>
        <v>-0.25</v>
      </c>
      <c r="P143">
        <v>0</v>
      </c>
      <c r="Q143">
        <v>0</v>
      </c>
      <c r="R143">
        <v>0</v>
      </c>
      <c r="S143">
        <v>0</v>
      </c>
      <c r="T143" t="s">
        <v>256</v>
      </c>
      <c r="U143" t="str">
        <f>IF('Basis Options'!D148="NGI/CHI. GATE","""NGI/CHI. GATE""",TRIM('Basis Options'!D148))</f>
        <v>IF-NWPL_ROCKY_M</v>
      </c>
      <c r="V143" t="s">
        <v>256</v>
      </c>
      <c r="W143" t="s">
        <v>135</v>
      </c>
      <c r="X143" t="s">
        <v>256</v>
      </c>
      <c r="Y143" t="s">
        <v>238</v>
      </c>
      <c r="Z143" t="s">
        <v>239</v>
      </c>
      <c r="AA143" t="s">
        <v>256</v>
      </c>
      <c r="AB143" t="s">
        <v>1</v>
      </c>
      <c r="AC143" s="239">
        <f>'Basis Options'!H148</f>
        <v>-1000000</v>
      </c>
      <c r="AD143" s="239">
        <f>'Basis Options'!W148</f>
        <v>-21477.969893203175</v>
      </c>
      <c r="AE143">
        <v>0</v>
      </c>
      <c r="AF143">
        <v>0</v>
      </c>
      <c r="AG143">
        <v>0</v>
      </c>
      <c r="AH143" s="239">
        <f>'Basis Options'!BC148</f>
        <v>0</v>
      </c>
      <c r="AI143">
        <v>232</v>
      </c>
      <c r="AJ143" t="s">
        <v>259</v>
      </c>
      <c r="AK143">
        <v>0</v>
      </c>
      <c r="AL143">
        <v>0</v>
      </c>
      <c r="AM143">
        <v>0</v>
      </c>
    </row>
    <row r="144" spans="1:39" x14ac:dyDescent="0.25">
      <c r="A144" t="s">
        <v>236</v>
      </c>
      <c r="B144" t="str">
        <f>'Basis Options'!C149</f>
        <v>NF1092.1</v>
      </c>
      <c r="C144" t="s">
        <v>258</v>
      </c>
      <c r="D144" t="s">
        <v>237</v>
      </c>
      <c r="E144" t="s">
        <v>20</v>
      </c>
      <c r="F144" t="str">
        <f>'Basis Options'!A149</f>
        <v>ELPASMER</v>
      </c>
      <c r="G144" t="s">
        <v>272</v>
      </c>
      <c r="H144" t="s">
        <v>257</v>
      </c>
      <c r="I144" t="s">
        <v>245</v>
      </c>
      <c r="J144" t="s">
        <v>238</v>
      </c>
      <c r="K144" s="393">
        <f>'Basis Options'!G149</f>
        <v>36770</v>
      </c>
      <c r="L144" s="239">
        <f>'Basis Options'!U149</f>
        <v>-58334.520561907462</v>
      </c>
      <c r="M144" s="393">
        <f>'Basis Options'!Q149</f>
        <v>36768</v>
      </c>
      <c r="N144" t="str">
        <f>'Basis Options'!F149</f>
        <v>C</v>
      </c>
      <c r="O144">
        <f>'Basis Options'!I149</f>
        <v>-0.25</v>
      </c>
      <c r="P144">
        <v>0</v>
      </c>
      <c r="Q144">
        <v>0</v>
      </c>
      <c r="R144">
        <v>0</v>
      </c>
      <c r="S144">
        <v>0</v>
      </c>
      <c r="T144" t="s">
        <v>256</v>
      </c>
      <c r="U144" t="str">
        <f>IF('Basis Options'!D149="NGI/CHI. GATE","""NGI/CHI. GATE""",TRIM('Basis Options'!D149))</f>
        <v>IF-NWPL_ROCKY_M</v>
      </c>
      <c r="V144" t="s">
        <v>256</v>
      </c>
      <c r="W144" t="s">
        <v>135</v>
      </c>
      <c r="X144" t="s">
        <v>256</v>
      </c>
      <c r="Y144" t="s">
        <v>238</v>
      </c>
      <c r="Z144" t="s">
        <v>239</v>
      </c>
      <c r="AA144" t="s">
        <v>256</v>
      </c>
      <c r="AB144" t="s">
        <v>1</v>
      </c>
      <c r="AC144" s="239">
        <f>'Basis Options'!H149</f>
        <v>-1000000</v>
      </c>
      <c r="AD144" s="239">
        <f>'Basis Options'!W149</f>
        <v>-25457.465526303451</v>
      </c>
      <c r="AE144">
        <v>0</v>
      </c>
      <c r="AF144">
        <v>0</v>
      </c>
      <c r="AG144">
        <v>0</v>
      </c>
      <c r="AH144" s="239">
        <f>'Basis Options'!BC149</f>
        <v>0</v>
      </c>
      <c r="AI144">
        <v>232</v>
      </c>
      <c r="AJ144" t="s">
        <v>259</v>
      </c>
      <c r="AK144">
        <v>0</v>
      </c>
      <c r="AL144">
        <v>0</v>
      </c>
      <c r="AM144">
        <v>0</v>
      </c>
    </row>
    <row r="145" spans="1:39" x14ac:dyDescent="0.25">
      <c r="A145" t="s">
        <v>236</v>
      </c>
      <c r="B145" t="str">
        <f>'Basis Options'!C150</f>
        <v>NF1092.1</v>
      </c>
      <c r="C145" t="s">
        <v>258</v>
      </c>
      <c r="D145" t="s">
        <v>237</v>
      </c>
      <c r="E145" t="s">
        <v>20</v>
      </c>
      <c r="F145" t="str">
        <f>'Basis Options'!A150</f>
        <v>ELPASMER</v>
      </c>
      <c r="G145" t="s">
        <v>272</v>
      </c>
      <c r="H145" t="s">
        <v>257</v>
      </c>
      <c r="I145" t="s">
        <v>245</v>
      </c>
      <c r="J145" t="s">
        <v>238</v>
      </c>
      <c r="K145" s="393">
        <f>'Basis Options'!G150</f>
        <v>36800</v>
      </c>
      <c r="L145" s="239">
        <f>'Basis Options'!U150</f>
        <v>-77734.533990509532</v>
      </c>
      <c r="M145" s="393">
        <f>'Basis Options'!Q150</f>
        <v>36797</v>
      </c>
      <c r="N145" t="str">
        <f>'Basis Options'!F150</f>
        <v>C</v>
      </c>
      <c r="O145">
        <f>'Basis Options'!I150</f>
        <v>-0.25</v>
      </c>
      <c r="P145">
        <v>0</v>
      </c>
      <c r="Q145">
        <v>0</v>
      </c>
      <c r="R145">
        <v>0</v>
      </c>
      <c r="S145">
        <v>0</v>
      </c>
      <c r="T145" t="s">
        <v>256</v>
      </c>
      <c r="U145" t="str">
        <f>IF('Basis Options'!D150="NGI/CHI. GATE","""NGI/CHI. GATE""",TRIM('Basis Options'!D150))</f>
        <v>IF-NWPL_ROCKY_M</v>
      </c>
      <c r="V145" t="s">
        <v>256</v>
      </c>
      <c r="W145" t="s">
        <v>135</v>
      </c>
      <c r="X145" t="s">
        <v>256</v>
      </c>
      <c r="Y145" t="s">
        <v>238</v>
      </c>
      <c r="Z145" t="s">
        <v>239</v>
      </c>
      <c r="AA145" t="s">
        <v>256</v>
      </c>
      <c r="AB145" t="s">
        <v>1</v>
      </c>
      <c r="AC145" s="239">
        <f>'Basis Options'!H150</f>
        <v>-1000000</v>
      </c>
      <c r="AD145" s="239">
        <f>'Basis Options'!W150</f>
        <v>-29046.887607487908</v>
      </c>
      <c r="AE145">
        <v>0</v>
      </c>
      <c r="AF145">
        <v>0</v>
      </c>
      <c r="AG145">
        <v>0</v>
      </c>
      <c r="AH145" s="239">
        <f>'Basis Options'!BC150</f>
        <v>0</v>
      </c>
      <c r="AI145">
        <v>232</v>
      </c>
      <c r="AJ145" t="s">
        <v>259</v>
      </c>
      <c r="AK145">
        <v>0</v>
      </c>
      <c r="AL145">
        <v>0</v>
      </c>
      <c r="AM145">
        <v>0</v>
      </c>
    </row>
    <row r="146" spans="1:39" x14ac:dyDescent="0.25">
      <c r="A146" t="s">
        <v>236</v>
      </c>
      <c r="B146" t="str">
        <f>'Basis Options'!C151</f>
        <v>NF1092.2</v>
      </c>
      <c r="C146" t="s">
        <v>258</v>
      </c>
      <c r="D146" t="s">
        <v>237</v>
      </c>
      <c r="E146" t="s">
        <v>20</v>
      </c>
      <c r="F146" t="str">
        <f>'Basis Options'!A151</f>
        <v>ELPASMER</v>
      </c>
      <c r="G146" t="s">
        <v>272</v>
      </c>
      <c r="H146" t="s">
        <v>257</v>
      </c>
      <c r="I146" t="s">
        <v>245</v>
      </c>
      <c r="J146" t="s">
        <v>238</v>
      </c>
      <c r="K146" s="393">
        <f>'Basis Options'!G151</f>
        <v>36647</v>
      </c>
      <c r="L146" s="239">
        <f>'Basis Options'!U151</f>
        <v>8331.846743316366</v>
      </c>
      <c r="M146" s="393">
        <f>'Basis Options'!Q151</f>
        <v>36643</v>
      </c>
      <c r="N146" t="str">
        <f>'Basis Options'!F151</f>
        <v>P</v>
      </c>
      <c r="O146">
        <f>'Basis Options'!I151</f>
        <v>-0.4</v>
      </c>
      <c r="P146">
        <v>0</v>
      </c>
      <c r="Q146">
        <v>0</v>
      </c>
      <c r="R146">
        <v>0</v>
      </c>
      <c r="S146">
        <v>0</v>
      </c>
      <c r="T146" t="s">
        <v>256</v>
      </c>
      <c r="U146" t="str">
        <f>IF('Basis Options'!D151="NGI/CHI. GATE","""NGI/CHI. GATE""",TRIM('Basis Options'!D151))</f>
        <v>IF-NWPL_ROCKY_M</v>
      </c>
      <c r="V146" t="s">
        <v>256</v>
      </c>
      <c r="W146" t="s">
        <v>135</v>
      </c>
      <c r="X146" t="s">
        <v>256</v>
      </c>
      <c r="Y146" t="s">
        <v>238</v>
      </c>
      <c r="Z146" t="s">
        <v>239</v>
      </c>
      <c r="AA146" t="s">
        <v>256</v>
      </c>
      <c r="AB146" t="s">
        <v>1</v>
      </c>
      <c r="AC146" s="239">
        <f>'Basis Options'!H151</f>
        <v>1000000</v>
      </c>
      <c r="AD146" s="239">
        <f>'Basis Options'!W151</f>
        <v>5234.4670983874239</v>
      </c>
      <c r="AE146">
        <v>0</v>
      </c>
      <c r="AF146">
        <v>0</v>
      </c>
      <c r="AG146">
        <v>0</v>
      </c>
      <c r="AH146" s="239">
        <f>'Basis Options'!BC151</f>
        <v>0</v>
      </c>
      <c r="AI146">
        <v>232</v>
      </c>
      <c r="AJ146" t="s">
        <v>259</v>
      </c>
      <c r="AK146">
        <v>0</v>
      </c>
      <c r="AL146">
        <v>0</v>
      </c>
      <c r="AM146">
        <v>0</v>
      </c>
    </row>
    <row r="147" spans="1:39" x14ac:dyDescent="0.25">
      <c r="A147" t="s">
        <v>236</v>
      </c>
      <c r="B147" t="str">
        <f>'Basis Options'!C152</f>
        <v>NF1092.2</v>
      </c>
      <c r="C147" t="s">
        <v>258</v>
      </c>
      <c r="D147" t="s">
        <v>237</v>
      </c>
      <c r="E147" t="s">
        <v>20</v>
      </c>
      <c r="F147" t="str">
        <f>'Basis Options'!A152</f>
        <v>ELPASMER</v>
      </c>
      <c r="G147" t="s">
        <v>272</v>
      </c>
      <c r="H147" t="s">
        <v>257</v>
      </c>
      <c r="I147" t="s">
        <v>245</v>
      </c>
      <c r="J147" t="s">
        <v>238</v>
      </c>
      <c r="K147" s="393">
        <f>'Basis Options'!G152</f>
        <v>36678</v>
      </c>
      <c r="L147" s="239">
        <f>'Basis Options'!U152</f>
        <v>25299.55571926893</v>
      </c>
      <c r="M147" s="393">
        <f>'Basis Options'!Q152</f>
        <v>36676</v>
      </c>
      <c r="N147" t="str">
        <f>'Basis Options'!F152</f>
        <v>P</v>
      </c>
      <c r="O147">
        <f>'Basis Options'!I152</f>
        <v>-0.4</v>
      </c>
      <c r="P147">
        <v>0</v>
      </c>
      <c r="Q147">
        <v>0</v>
      </c>
      <c r="R147">
        <v>0</v>
      </c>
      <c r="S147">
        <v>0</v>
      </c>
      <c r="T147" t="s">
        <v>256</v>
      </c>
      <c r="U147" t="str">
        <f>IF('Basis Options'!D152="NGI/CHI. GATE","""NGI/CHI. GATE""",TRIM('Basis Options'!D152))</f>
        <v>IF-NWPL_ROCKY_M</v>
      </c>
      <c r="V147" t="s">
        <v>256</v>
      </c>
      <c r="W147" t="s">
        <v>135</v>
      </c>
      <c r="X147" t="s">
        <v>256</v>
      </c>
      <c r="Y147" t="s">
        <v>238</v>
      </c>
      <c r="Z147" t="s">
        <v>239</v>
      </c>
      <c r="AA147" t="s">
        <v>256</v>
      </c>
      <c r="AB147" t="s">
        <v>1</v>
      </c>
      <c r="AC147" s="239">
        <f>'Basis Options'!H152</f>
        <v>1000000</v>
      </c>
      <c r="AD147" s="239">
        <f>'Basis Options'!W152</f>
        <v>11945.902427198191</v>
      </c>
      <c r="AE147">
        <v>0</v>
      </c>
      <c r="AF147">
        <v>0</v>
      </c>
      <c r="AG147">
        <v>0</v>
      </c>
      <c r="AH147" s="239">
        <f>'Basis Options'!BC152</f>
        <v>0</v>
      </c>
      <c r="AI147">
        <v>232</v>
      </c>
      <c r="AJ147" t="s">
        <v>259</v>
      </c>
      <c r="AK147">
        <v>0</v>
      </c>
      <c r="AL147">
        <v>0</v>
      </c>
      <c r="AM147">
        <v>0</v>
      </c>
    </row>
    <row r="148" spans="1:39" x14ac:dyDescent="0.25">
      <c r="A148" t="s">
        <v>236</v>
      </c>
      <c r="B148" t="str">
        <f>'Basis Options'!C153</f>
        <v>NF1092.2</v>
      </c>
      <c r="C148" t="s">
        <v>258</v>
      </c>
      <c r="D148" t="s">
        <v>237</v>
      </c>
      <c r="E148" t="s">
        <v>20</v>
      </c>
      <c r="F148" t="str">
        <f>'Basis Options'!A153</f>
        <v>ELPASMER</v>
      </c>
      <c r="G148" t="s">
        <v>272</v>
      </c>
      <c r="H148" t="s">
        <v>257</v>
      </c>
      <c r="I148" t="s">
        <v>245</v>
      </c>
      <c r="J148" t="s">
        <v>238</v>
      </c>
      <c r="K148" s="393">
        <f>'Basis Options'!G153</f>
        <v>36708</v>
      </c>
      <c r="L148" s="239">
        <f>'Basis Options'!U153</f>
        <v>35172.063358679879</v>
      </c>
      <c r="M148" s="393">
        <f>'Basis Options'!Q153</f>
        <v>36706</v>
      </c>
      <c r="N148" t="str">
        <f>'Basis Options'!F153</f>
        <v>P</v>
      </c>
      <c r="O148">
        <f>'Basis Options'!I153</f>
        <v>-0.4</v>
      </c>
      <c r="P148">
        <v>0</v>
      </c>
      <c r="Q148">
        <v>0</v>
      </c>
      <c r="R148">
        <v>0</v>
      </c>
      <c r="S148">
        <v>0</v>
      </c>
      <c r="T148" t="s">
        <v>256</v>
      </c>
      <c r="U148" t="str">
        <f>IF('Basis Options'!D153="NGI/CHI. GATE","""NGI/CHI. GATE""",TRIM('Basis Options'!D153))</f>
        <v>IF-NWPL_ROCKY_M</v>
      </c>
      <c r="V148" t="s">
        <v>256</v>
      </c>
      <c r="W148" t="s">
        <v>135</v>
      </c>
      <c r="X148" t="s">
        <v>256</v>
      </c>
      <c r="Y148" t="s">
        <v>238</v>
      </c>
      <c r="Z148" t="s">
        <v>239</v>
      </c>
      <c r="AA148" t="s">
        <v>256</v>
      </c>
      <c r="AB148" t="s">
        <v>1</v>
      </c>
      <c r="AC148" s="239">
        <f>'Basis Options'!H153</f>
        <v>1000000</v>
      </c>
      <c r="AD148" s="239">
        <f>'Basis Options'!W153</f>
        <v>16197.912192482676</v>
      </c>
      <c r="AE148">
        <v>0</v>
      </c>
      <c r="AF148">
        <v>0</v>
      </c>
      <c r="AG148">
        <v>0</v>
      </c>
      <c r="AH148" s="239">
        <f>'Basis Options'!BC153</f>
        <v>0</v>
      </c>
      <c r="AI148">
        <v>232</v>
      </c>
      <c r="AJ148" t="s">
        <v>259</v>
      </c>
      <c r="AK148">
        <v>0</v>
      </c>
      <c r="AL148">
        <v>0</v>
      </c>
      <c r="AM148">
        <v>0</v>
      </c>
    </row>
    <row r="149" spans="1:39" x14ac:dyDescent="0.25">
      <c r="A149" t="s">
        <v>236</v>
      </c>
      <c r="B149" t="str">
        <f>'Basis Options'!C154</f>
        <v>NF1092.2</v>
      </c>
      <c r="C149" t="s">
        <v>258</v>
      </c>
      <c r="D149" t="s">
        <v>237</v>
      </c>
      <c r="E149" t="s">
        <v>20</v>
      </c>
      <c r="F149" t="str">
        <f>'Basis Options'!A154</f>
        <v>ELPASMER</v>
      </c>
      <c r="G149" t="s">
        <v>272</v>
      </c>
      <c r="H149" t="s">
        <v>257</v>
      </c>
      <c r="I149" t="s">
        <v>245</v>
      </c>
      <c r="J149" t="s">
        <v>238</v>
      </c>
      <c r="K149" s="393">
        <f>'Basis Options'!G154</f>
        <v>36739</v>
      </c>
      <c r="L149" s="239">
        <f>'Basis Options'!U154</f>
        <v>49324.185810084884</v>
      </c>
      <c r="M149" s="393">
        <f>'Basis Options'!Q154</f>
        <v>36735</v>
      </c>
      <c r="N149" t="str">
        <f>'Basis Options'!F154</f>
        <v>P</v>
      </c>
      <c r="O149">
        <f>'Basis Options'!I154</f>
        <v>-0.4</v>
      </c>
      <c r="P149">
        <v>0</v>
      </c>
      <c r="Q149">
        <v>0</v>
      </c>
      <c r="R149">
        <v>0</v>
      </c>
      <c r="S149">
        <v>0</v>
      </c>
      <c r="T149" t="s">
        <v>256</v>
      </c>
      <c r="U149" t="str">
        <f>IF('Basis Options'!D154="NGI/CHI. GATE","""NGI/CHI. GATE""",TRIM('Basis Options'!D154))</f>
        <v>IF-NWPL_ROCKY_M</v>
      </c>
      <c r="V149" t="s">
        <v>256</v>
      </c>
      <c r="W149" t="s">
        <v>135</v>
      </c>
      <c r="X149" t="s">
        <v>256</v>
      </c>
      <c r="Y149" t="s">
        <v>238</v>
      </c>
      <c r="Z149" t="s">
        <v>239</v>
      </c>
      <c r="AA149" t="s">
        <v>256</v>
      </c>
      <c r="AB149" t="s">
        <v>1</v>
      </c>
      <c r="AC149" s="239">
        <f>'Basis Options'!H154</f>
        <v>1000000</v>
      </c>
      <c r="AD149" s="239">
        <f>'Basis Options'!W154</f>
        <v>20630.785266121966</v>
      </c>
      <c r="AE149">
        <v>0</v>
      </c>
      <c r="AF149">
        <v>0</v>
      </c>
      <c r="AG149">
        <v>0</v>
      </c>
      <c r="AH149" s="239">
        <f>'Basis Options'!BC154</f>
        <v>0</v>
      </c>
      <c r="AI149">
        <v>232</v>
      </c>
      <c r="AJ149" t="s">
        <v>259</v>
      </c>
      <c r="AK149">
        <v>0</v>
      </c>
      <c r="AL149">
        <v>0</v>
      </c>
      <c r="AM149">
        <v>0</v>
      </c>
    </row>
    <row r="150" spans="1:39" x14ac:dyDescent="0.25">
      <c r="A150" t="s">
        <v>236</v>
      </c>
      <c r="B150" t="str">
        <f>'Basis Options'!C155</f>
        <v>NF1092.2</v>
      </c>
      <c r="C150" t="s">
        <v>258</v>
      </c>
      <c r="D150" t="s">
        <v>237</v>
      </c>
      <c r="E150" t="s">
        <v>20</v>
      </c>
      <c r="F150" t="str">
        <f>'Basis Options'!A155</f>
        <v>ELPASMER</v>
      </c>
      <c r="G150" t="s">
        <v>272</v>
      </c>
      <c r="H150" t="s">
        <v>257</v>
      </c>
      <c r="I150" t="s">
        <v>245</v>
      </c>
      <c r="J150" t="s">
        <v>238</v>
      </c>
      <c r="K150" s="393">
        <f>'Basis Options'!G155</f>
        <v>36770</v>
      </c>
      <c r="L150" s="239">
        <f>'Basis Options'!U155</f>
        <v>61806.484886073034</v>
      </c>
      <c r="M150" s="393">
        <f>'Basis Options'!Q155</f>
        <v>36768</v>
      </c>
      <c r="N150" t="str">
        <f>'Basis Options'!F155</f>
        <v>P</v>
      </c>
      <c r="O150">
        <f>'Basis Options'!I155</f>
        <v>-0.4</v>
      </c>
      <c r="P150">
        <v>0</v>
      </c>
      <c r="Q150">
        <v>0</v>
      </c>
      <c r="R150">
        <v>0</v>
      </c>
      <c r="S150">
        <v>0</v>
      </c>
      <c r="T150" t="s">
        <v>256</v>
      </c>
      <c r="U150" t="str">
        <f>IF('Basis Options'!D155="NGI/CHI. GATE","""NGI/CHI. GATE""",TRIM('Basis Options'!D155))</f>
        <v>IF-NWPL_ROCKY_M</v>
      </c>
      <c r="V150" t="s">
        <v>256</v>
      </c>
      <c r="W150" t="s">
        <v>135</v>
      </c>
      <c r="X150" t="s">
        <v>256</v>
      </c>
      <c r="Y150" t="s">
        <v>238</v>
      </c>
      <c r="Z150" t="s">
        <v>239</v>
      </c>
      <c r="AA150" t="s">
        <v>256</v>
      </c>
      <c r="AB150" t="s">
        <v>1</v>
      </c>
      <c r="AC150" s="239">
        <f>'Basis Options'!H155</f>
        <v>1000000</v>
      </c>
      <c r="AD150" s="239">
        <f>'Basis Options'!W155</f>
        <v>24450.719611998997</v>
      </c>
      <c r="AE150">
        <v>0</v>
      </c>
      <c r="AF150">
        <v>0</v>
      </c>
      <c r="AG150">
        <v>0</v>
      </c>
      <c r="AH150" s="239">
        <f>'Basis Options'!BC155</f>
        <v>0</v>
      </c>
      <c r="AI150">
        <v>232</v>
      </c>
      <c r="AJ150" t="s">
        <v>259</v>
      </c>
      <c r="AK150">
        <v>0</v>
      </c>
      <c r="AL150">
        <v>0</v>
      </c>
      <c r="AM150">
        <v>0</v>
      </c>
    </row>
    <row r="151" spans="1:39" x14ac:dyDescent="0.25">
      <c r="A151" t="s">
        <v>236</v>
      </c>
      <c r="B151" t="str">
        <f>'Basis Options'!C156</f>
        <v>NF1092.2</v>
      </c>
      <c r="C151" t="s">
        <v>258</v>
      </c>
      <c r="D151" t="s">
        <v>237</v>
      </c>
      <c r="E151" t="s">
        <v>20</v>
      </c>
      <c r="F151" t="str">
        <f>'Basis Options'!A156</f>
        <v>ELPASMER</v>
      </c>
      <c r="G151" t="s">
        <v>272</v>
      </c>
      <c r="H151" t="s">
        <v>257</v>
      </c>
      <c r="I151" t="s">
        <v>245</v>
      </c>
      <c r="J151" t="s">
        <v>238</v>
      </c>
      <c r="K151" s="393">
        <f>'Basis Options'!G156</f>
        <v>36800</v>
      </c>
      <c r="L151" s="239">
        <f>'Basis Options'!U156</f>
        <v>62840.081894201925</v>
      </c>
      <c r="M151" s="393">
        <f>'Basis Options'!Q156</f>
        <v>36797</v>
      </c>
      <c r="N151" t="str">
        <f>'Basis Options'!F156</f>
        <v>P</v>
      </c>
      <c r="O151">
        <f>'Basis Options'!I156</f>
        <v>-0.4</v>
      </c>
      <c r="P151">
        <v>0</v>
      </c>
      <c r="Q151">
        <v>0</v>
      </c>
      <c r="R151">
        <v>0</v>
      </c>
      <c r="S151">
        <v>0</v>
      </c>
      <c r="T151" t="s">
        <v>256</v>
      </c>
      <c r="U151" t="str">
        <f>IF('Basis Options'!D156="NGI/CHI. GATE","""NGI/CHI. GATE""",TRIM('Basis Options'!D156))</f>
        <v>IF-NWPL_ROCKY_M</v>
      </c>
      <c r="V151" t="s">
        <v>256</v>
      </c>
      <c r="W151" t="s">
        <v>135</v>
      </c>
      <c r="X151" t="s">
        <v>256</v>
      </c>
      <c r="Y151" t="s">
        <v>238</v>
      </c>
      <c r="Z151" t="s">
        <v>239</v>
      </c>
      <c r="AA151" t="s">
        <v>256</v>
      </c>
      <c r="AB151" t="s">
        <v>1</v>
      </c>
      <c r="AC151" s="239">
        <f>'Basis Options'!H156</f>
        <v>1000000</v>
      </c>
      <c r="AD151" s="239">
        <f>'Basis Options'!W156</f>
        <v>26510.466827562079</v>
      </c>
      <c r="AE151">
        <v>0</v>
      </c>
      <c r="AF151">
        <v>0</v>
      </c>
      <c r="AG151">
        <v>0</v>
      </c>
      <c r="AH151" s="239">
        <f>'Basis Options'!BC156</f>
        <v>0</v>
      </c>
      <c r="AI151">
        <v>232</v>
      </c>
      <c r="AJ151" t="s">
        <v>259</v>
      </c>
      <c r="AK151">
        <v>0</v>
      </c>
      <c r="AL151">
        <v>0</v>
      </c>
      <c r="AM151">
        <v>0</v>
      </c>
    </row>
    <row r="152" spans="1:39" x14ac:dyDescent="0.25">
      <c r="A152" t="s">
        <v>236</v>
      </c>
      <c r="B152" t="str">
        <f>'Basis Options'!C157</f>
        <v>NF1105.1</v>
      </c>
      <c r="C152" t="s">
        <v>258</v>
      </c>
      <c r="D152" t="s">
        <v>237</v>
      </c>
      <c r="E152" t="s">
        <v>20</v>
      </c>
      <c r="F152" t="str">
        <f>'Basis Options'!A157</f>
        <v>ELPASMER</v>
      </c>
      <c r="G152" t="s">
        <v>272</v>
      </c>
      <c r="H152" t="s">
        <v>257</v>
      </c>
      <c r="I152" t="s">
        <v>245</v>
      </c>
      <c r="J152" t="s">
        <v>238</v>
      </c>
      <c r="K152" s="393">
        <f>'Basis Options'!G157</f>
        <v>36831</v>
      </c>
      <c r="L152" s="239">
        <f>'Basis Options'!U157</f>
        <v>-11532.770044950374</v>
      </c>
      <c r="M152" s="393">
        <f>'Basis Options'!Q157</f>
        <v>36829</v>
      </c>
      <c r="N152" t="str">
        <f>'Basis Options'!F157</f>
        <v>C</v>
      </c>
      <c r="O152">
        <f>'Basis Options'!I157</f>
        <v>1.1499999999999999</v>
      </c>
      <c r="P152">
        <v>0</v>
      </c>
      <c r="Q152">
        <v>0</v>
      </c>
      <c r="R152">
        <v>0</v>
      </c>
      <c r="S152">
        <v>0</v>
      </c>
      <c r="T152" t="s">
        <v>256</v>
      </c>
      <c r="U152" t="str">
        <f>IF('Basis Options'!D157="NGI/CHI. GATE","""NGI/CHI. GATE""",TRIM('Basis Options'!D157))</f>
        <v>IF-TRANSCO/Z6</v>
      </c>
      <c r="V152" t="s">
        <v>256</v>
      </c>
      <c r="W152" t="s">
        <v>135</v>
      </c>
      <c r="X152" t="s">
        <v>256</v>
      </c>
      <c r="Y152" t="s">
        <v>238</v>
      </c>
      <c r="Z152" t="s">
        <v>239</v>
      </c>
      <c r="AA152" t="s">
        <v>256</v>
      </c>
      <c r="AB152" t="s">
        <v>1</v>
      </c>
      <c r="AC152" s="239">
        <f>'Basis Options'!H157</f>
        <v>-250000</v>
      </c>
      <c r="AD152" s="239">
        <f>'Basis Options'!W157</f>
        <v>-5084.1013663752383</v>
      </c>
      <c r="AE152">
        <v>0</v>
      </c>
      <c r="AF152">
        <v>0</v>
      </c>
      <c r="AG152">
        <v>0</v>
      </c>
      <c r="AH152" s="239">
        <f>'Basis Options'!BC157</f>
        <v>0</v>
      </c>
      <c r="AI152">
        <v>232</v>
      </c>
      <c r="AJ152" t="s">
        <v>259</v>
      </c>
      <c r="AK152">
        <v>0</v>
      </c>
      <c r="AL152">
        <v>0</v>
      </c>
      <c r="AM152">
        <v>0</v>
      </c>
    </row>
    <row r="153" spans="1:39" x14ac:dyDescent="0.25">
      <c r="A153" t="s">
        <v>236</v>
      </c>
      <c r="B153" t="str">
        <f>'Basis Options'!C158</f>
        <v>NF1105.1</v>
      </c>
      <c r="C153" t="s">
        <v>258</v>
      </c>
      <c r="D153" t="s">
        <v>237</v>
      </c>
      <c r="E153" t="s">
        <v>20</v>
      </c>
      <c r="F153" t="str">
        <f>'Basis Options'!A158</f>
        <v>ELPASMER</v>
      </c>
      <c r="G153" t="s">
        <v>272</v>
      </c>
      <c r="H153" t="s">
        <v>257</v>
      </c>
      <c r="I153" t="s">
        <v>245</v>
      </c>
      <c r="J153" t="s">
        <v>238</v>
      </c>
      <c r="K153" s="393">
        <f>'Basis Options'!G158</f>
        <v>36861</v>
      </c>
      <c r="L153" s="239">
        <f>'Basis Options'!U158</f>
        <v>-82941.556829040812</v>
      </c>
      <c r="M153" s="393">
        <f>'Basis Options'!Q158</f>
        <v>36859</v>
      </c>
      <c r="N153" t="str">
        <f>'Basis Options'!F158</f>
        <v>C</v>
      </c>
      <c r="O153">
        <f>'Basis Options'!I158</f>
        <v>1.1499999999999999</v>
      </c>
      <c r="P153">
        <v>0</v>
      </c>
      <c r="Q153">
        <v>0</v>
      </c>
      <c r="R153">
        <v>0</v>
      </c>
      <c r="S153">
        <v>0</v>
      </c>
      <c r="T153" t="s">
        <v>256</v>
      </c>
      <c r="U153" t="str">
        <f>IF('Basis Options'!D158="NGI/CHI. GATE","""NGI/CHI. GATE""",TRIM('Basis Options'!D158))</f>
        <v>IF-TRANSCO/Z6</v>
      </c>
      <c r="V153" t="s">
        <v>256</v>
      </c>
      <c r="W153" t="s">
        <v>135</v>
      </c>
      <c r="X153" t="s">
        <v>256</v>
      </c>
      <c r="Y153" t="s">
        <v>238</v>
      </c>
      <c r="Z153" t="s">
        <v>239</v>
      </c>
      <c r="AA153" t="s">
        <v>256</v>
      </c>
      <c r="AB153" t="s">
        <v>1</v>
      </c>
      <c r="AC153" s="239">
        <f>'Basis Options'!H158</f>
        <v>-250000</v>
      </c>
      <c r="AD153" s="239">
        <f>'Basis Options'!W158</f>
        <v>-9087.6711287245562</v>
      </c>
      <c r="AE153">
        <v>0</v>
      </c>
      <c r="AF153">
        <v>0</v>
      </c>
      <c r="AG153">
        <v>0</v>
      </c>
      <c r="AH153" s="239">
        <f>'Basis Options'!BC158</f>
        <v>0</v>
      </c>
      <c r="AI153">
        <v>232</v>
      </c>
      <c r="AJ153" t="s">
        <v>259</v>
      </c>
      <c r="AK153">
        <v>0</v>
      </c>
      <c r="AL153">
        <v>0</v>
      </c>
      <c r="AM153">
        <v>0</v>
      </c>
    </row>
    <row r="154" spans="1:39" x14ac:dyDescent="0.25">
      <c r="A154" t="s">
        <v>236</v>
      </c>
      <c r="B154" t="str">
        <f>'Basis Options'!C159</f>
        <v>NF1105.1</v>
      </c>
      <c r="C154" t="s">
        <v>258</v>
      </c>
      <c r="D154" t="s">
        <v>237</v>
      </c>
      <c r="E154" t="s">
        <v>20</v>
      </c>
      <c r="F154" t="str">
        <f>'Basis Options'!A159</f>
        <v>ELPASMER</v>
      </c>
      <c r="G154" t="s">
        <v>272</v>
      </c>
      <c r="H154" t="s">
        <v>257</v>
      </c>
      <c r="I154" t="s">
        <v>245</v>
      </c>
      <c r="J154" t="s">
        <v>238</v>
      </c>
      <c r="K154" s="393">
        <f>'Basis Options'!G159</f>
        <v>36892</v>
      </c>
      <c r="L154" s="239">
        <f>'Basis Options'!U159</f>
        <v>-117279.70285024548</v>
      </c>
      <c r="M154" s="393">
        <f>'Basis Options'!Q159</f>
        <v>36888</v>
      </c>
      <c r="N154" t="str">
        <f>'Basis Options'!F159</f>
        <v>C</v>
      </c>
      <c r="O154">
        <f>'Basis Options'!I159</f>
        <v>1.1499999999999999</v>
      </c>
      <c r="P154">
        <v>0</v>
      </c>
      <c r="Q154">
        <v>0</v>
      </c>
      <c r="R154">
        <v>0</v>
      </c>
      <c r="S154">
        <v>0</v>
      </c>
      <c r="T154" t="s">
        <v>256</v>
      </c>
      <c r="U154" t="str">
        <f>IF('Basis Options'!D159="NGI/CHI. GATE","""NGI/CHI. GATE""",TRIM('Basis Options'!D159))</f>
        <v>IF-TRANSCO/Z6</v>
      </c>
      <c r="V154" t="s">
        <v>256</v>
      </c>
      <c r="W154" t="s">
        <v>135</v>
      </c>
      <c r="X154" t="s">
        <v>256</v>
      </c>
      <c r="Y154" t="s">
        <v>238</v>
      </c>
      <c r="Z154" t="s">
        <v>239</v>
      </c>
      <c r="AA154" t="s">
        <v>256</v>
      </c>
      <c r="AB154" t="s">
        <v>1</v>
      </c>
      <c r="AC154" s="239">
        <f>'Basis Options'!H159</f>
        <v>-250000</v>
      </c>
      <c r="AD154" s="239">
        <f>'Basis Options'!W159</f>
        <v>-6343.4376374707208</v>
      </c>
      <c r="AE154">
        <v>0</v>
      </c>
      <c r="AF154">
        <v>0</v>
      </c>
      <c r="AG154">
        <v>0</v>
      </c>
      <c r="AH154" s="239">
        <f>'Basis Options'!BC159</f>
        <v>0</v>
      </c>
      <c r="AI154">
        <v>232</v>
      </c>
      <c r="AJ154" t="s">
        <v>259</v>
      </c>
      <c r="AK154">
        <v>0</v>
      </c>
      <c r="AL154">
        <v>0</v>
      </c>
      <c r="AM154">
        <v>0</v>
      </c>
    </row>
    <row r="155" spans="1:39" x14ac:dyDescent="0.25">
      <c r="A155" t="s">
        <v>236</v>
      </c>
      <c r="B155" t="str">
        <f>'Basis Options'!C160</f>
        <v>NF1105.1</v>
      </c>
      <c r="C155" t="s">
        <v>258</v>
      </c>
      <c r="D155" t="s">
        <v>237</v>
      </c>
      <c r="E155" t="s">
        <v>20</v>
      </c>
      <c r="F155" t="str">
        <f>'Basis Options'!A160</f>
        <v>ELPASMER</v>
      </c>
      <c r="G155" t="s">
        <v>272</v>
      </c>
      <c r="H155" t="s">
        <v>257</v>
      </c>
      <c r="I155" t="s">
        <v>245</v>
      </c>
      <c r="J155" t="s">
        <v>238</v>
      </c>
      <c r="K155" s="393">
        <f>'Basis Options'!G160</f>
        <v>36923</v>
      </c>
      <c r="L155" s="239">
        <f>'Basis Options'!U160</f>
        <v>-122096.25779396002</v>
      </c>
      <c r="M155" s="393">
        <f>'Basis Options'!Q160</f>
        <v>36921</v>
      </c>
      <c r="N155" t="str">
        <f>'Basis Options'!F160</f>
        <v>C</v>
      </c>
      <c r="O155">
        <f>'Basis Options'!I160</f>
        <v>1.1499999999999999</v>
      </c>
      <c r="P155">
        <v>0</v>
      </c>
      <c r="Q155">
        <v>0</v>
      </c>
      <c r="R155">
        <v>0</v>
      </c>
      <c r="S155">
        <v>0</v>
      </c>
      <c r="T155" t="s">
        <v>256</v>
      </c>
      <c r="U155" t="str">
        <f>IF('Basis Options'!D160="NGI/CHI. GATE","""NGI/CHI. GATE""",TRIM('Basis Options'!D160))</f>
        <v>IF-TRANSCO/Z6</v>
      </c>
      <c r="V155" t="s">
        <v>256</v>
      </c>
      <c r="W155" t="s">
        <v>135</v>
      </c>
      <c r="X155" t="s">
        <v>256</v>
      </c>
      <c r="Y155" t="s">
        <v>238</v>
      </c>
      <c r="Z155" t="s">
        <v>239</v>
      </c>
      <c r="AA155" t="s">
        <v>256</v>
      </c>
      <c r="AB155" t="s">
        <v>1</v>
      </c>
      <c r="AC155" s="239">
        <f>'Basis Options'!H160</f>
        <v>-250000</v>
      </c>
      <c r="AD155" s="239">
        <f>'Basis Options'!W160</f>
        <v>-8821.3482896875357</v>
      </c>
      <c r="AE155">
        <v>0</v>
      </c>
      <c r="AF155">
        <v>0</v>
      </c>
      <c r="AG155">
        <v>0</v>
      </c>
      <c r="AH155" s="239">
        <f>'Basis Options'!BC160</f>
        <v>0</v>
      </c>
      <c r="AI155">
        <v>232</v>
      </c>
      <c r="AJ155" t="s">
        <v>259</v>
      </c>
      <c r="AK155">
        <v>0</v>
      </c>
      <c r="AL155">
        <v>0</v>
      </c>
      <c r="AM155">
        <v>0</v>
      </c>
    </row>
    <row r="156" spans="1:39" x14ac:dyDescent="0.25">
      <c r="A156" t="s">
        <v>236</v>
      </c>
      <c r="B156" t="str">
        <f>'Basis Options'!C161</f>
        <v>NF1105.1</v>
      </c>
      <c r="C156" t="s">
        <v>258</v>
      </c>
      <c r="D156" t="s">
        <v>237</v>
      </c>
      <c r="E156" t="s">
        <v>20</v>
      </c>
      <c r="F156" t="str">
        <f>'Basis Options'!A161</f>
        <v>ELPASMER</v>
      </c>
      <c r="G156" t="s">
        <v>272</v>
      </c>
      <c r="H156" t="s">
        <v>257</v>
      </c>
      <c r="I156" t="s">
        <v>245</v>
      </c>
      <c r="J156" t="s">
        <v>238</v>
      </c>
      <c r="K156" s="393">
        <f>'Basis Options'!G161</f>
        <v>36951</v>
      </c>
      <c r="L156" s="239">
        <f>'Basis Options'!U161</f>
        <v>-32892.947869232259</v>
      </c>
      <c r="M156" s="393">
        <f>'Basis Options'!Q161</f>
        <v>36949</v>
      </c>
      <c r="N156" t="str">
        <f>'Basis Options'!F161</f>
        <v>C</v>
      </c>
      <c r="O156">
        <f>'Basis Options'!I161</f>
        <v>1.1499999999999999</v>
      </c>
      <c r="P156">
        <v>0</v>
      </c>
      <c r="Q156">
        <v>0</v>
      </c>
      <c r="R156">
        <v>0</v>
      </c>
      <c r="S156">
        <v>0</v>
      </c>
      <c r="T156" t="s">
        <v>256</v>
      </c>
      <c r="U156" t="str">
        <f>IF('Basis Options'!D161="NGI/CHI. GATE","""NGI/CHI. GATE""",TRIM('Basis Options'!D161))</f>
        <v>IF-TRANSCO/Z6</v>
      </c>
      <c r="V156" t="s">
        <v>256</v>
      </c>
      <c r="W156" t="s">
        <v>135</v>
      </c>
      <c r="X156" t="s">
        <v>256</v>
      </c>
      <c r="Y156" t="s">
        <v>238</v>
      </c>
      <c r="Z156" t="s">
        <v>239</v>
      </c>
      <c r="AA156" t="s">
        <v>256</v>
      </c>
      <c r="AB156" t="s">
        <v>1</v>
      </c>
      <c r="AC156" s="239">
        <f>'Basis Options'!H161</f>
        <v>-250000</v>
      </c>
      <c r="AD156" s="239">
        <f>'Basis Options'!W161</f>
        <v>-8871.626242636572</v>
      </c>
      <c r="AE156">
        <v>0</v>
      </c>
      <c r="AF156">
        <v>0</v>
      </c>
      <c r="AG156">
        <v>0</v>
      </c>
      <c r="AH156" s="239">
        <f>'Basis Options'!BC161</f>
        <v>0</v>
      </c>
      <c r="AI156">
        <v>232</v>
      </c>
      <c r="AJ156" t="s">
        <v>259</v>
      </c>
      <c r="AK156">
        <v>0</v>
      </c>
      <c r="AL156">
        <v>0</v>
      </c>
      <c r="AM156">
        <v>0</v>
      </c>
    </row>
    <row r="157" spans="1:39" x14ac:dyDescent="0.25">
      <c r="A157" t="s">
        <v>236</v>
      </c>
      <c r="B157" t="str">
        <f>'Basis Options'!C162</f>
        <v>NF1105.2</v>
      </c>
      <c r="C157" t="s">
        <v>258</v>
      </c>
      <c r="D157" t="s">
        <v>237</v>
      </c>
      <c r="E157" t="s">
        <v>20</v>
      </c>
      <c r="F157" t="str">
        <f>'Basis Options'!A162</f>
        <v>ELPASMER</v>
      </c>
      <c r="G157" t="s">
        <v>272</v>
      </c>
      <c r="H157" t="s">
        <v>257</v>
      </c>
      <c r="I157" t="s">
        <v>245</v>
      </c>
      <c r="J157" t="s">
        <v>238</v>
      </c>
      <c r="K157" s="393">
        <f>'Basis Options'!G162</f>
        <v>36831</v>
      </c>
      <c r="L157" s="239">
        <f>'Basis Options'!U162</f>
        <v>-118294.35069540162</v>
      </c>
      <c r="M157" s="393">
        <f>'Basis Options'!Q162</f>
        <v>36829</v>
      </c>
      <c r="N157" t="str">
        <f>'Basis Options'!F162</f>
        <v>P</v>
      </c>
      <c r="O157">
        <f>'Basis Options'!I162</f>
        <v>1.1499999999999999</v>
      </c>
      <c r="P157">
        <v>0</v>
      </c>
      <c r="Q157">
        <v>0</v>
      </c>
      <c r="R157">
        <v>0</v>
      </c>
      <c r="S157">
        <v>0</v>
      </c>
      <c r="T157" t="s">
        <v>256</v>
      </c>
      <c r="U157" t="str">
        <f>IF('Basis Options'!D162="NGI/CHI. GATE","""NGI/CHI. GATE""",TRIM('Basis Options'!D162))</f>
        <v>IF-TRANSCO/Z6</v>
      </c>
      <c r="V157" t="s">
        <v>256</v>
      </c>
      <c r="W157" t="s">
        <v>135</v>
      </c>
      <c r="X157" t="s">
        <v>256</v>
      </c>
      <c r="Y157" t="s">
        <v>238</v>
      </c>
      <c r="Z157" t="s">
        <v>239</v>
      </c>
      <c r="AA157" t="s">
        <v>256</v>
      </c>
      <c r="AB157" t="s">
        <v>1</v>
      </c>
      <c r="AC157" s="239">
        <f>'Basis Options'!H162</f>
        <v>-250000</v>
      </c>
      <c r="AD157" s="239">
        <f>'Basis Options'!W162</f>
        <v>-5084.1013663752528</v>
      </c>
      <c r="AE157">
        <v>0</v>
      </c>
      <c r="AF157">
        <v>0</v>
      </c>
      <c r="AG157">
        <v>0</v>
      </c>
      <c r="AH157" s="239">
        <f>'Basis Options'!BC162</f>
        <v>0</v>
      </c>
      <c r="AI157">
        <v>232</v>
      </c>
      <c r="AJ157" t="s">
        <v>259</v>
      </c>
      <c r="AK157">
        <v>0</v>
      </c>
      <c r="AL157">
        <v>0</v>
      </c>
      <c r="AM157">
        <v>0</v>
      </c>
    </row>
    <row r="158" spans="1:39" x14ac:dyDescent="0.25">
      <c r="A158" t="s">
        <v>236</v>
      </c>
      <c r="B158" t="str">
        <f>'Basis Options'!C163</f>
        <v>NF1105.2</v>
      </c>
      <c r="C158" t="s">
        <v>258</v>
      </c>
      <c r="D158" t="s">
        <v>237</v>
      </c>
      <c r="E158" t="s">
        <v>20</v>
      </c>
      <c r="F158" t="str">
        <f>'Basis Options'!A163</f>
        <v>ELPASMER</v>
      </c>
      <c r="G158" t="s">
        <v>272</v>
      </c>
      <c r="H158" t="s">
        <v>257</v>
      </c>
      <c r="I158" t="s">
        <v>245</v>
      </c>
      <c r="J158" t="s">
        <v>238</v>
      </c>
      <c r="K158" s="393">
        <f>'Basis Options'!G163</f>
        <v>36861</v>
      </c>
      <c r="L158" s="239">
        <f>'Basis Options'!U163</f>
        <v>-54153.71683042236</v>
      </c>
      <c r="M158" s="393">
        <f>'Basis Options'!Q163</f>
        <v>36859</v>
      </c>
      <c r="N158" t="str">
        <f>'Basis Options'!F163</f>
        <v>P</v>
      </c>
      <c r="O158">
        <f>'Basis Options'!I163</f>
        <v>1.1499999999999999</v>
      </c>
      <c r="P158">
        <v>0</v>
      </c>
      <c r="Q158">
        <v>0</v>
      </c>
      <c r="R158">
        <v>0</v>
      </c>
      <c r="S158">
        <v>0</v>
      </c>
      <c r="T158" t="s">
        <v>256</v>
      </c>
      <c r="U158" t="str">
        <f>IF('Basis Options'!D163="NGI/CHI. GATE","""NGI/CHI. GATE""",TRIM('Basis Options'!D163))</f>
        <v>IF-TRANSCO/Z6</v>
      </c>
      <c r="V158" t="s">
        <v>256</v>
      </c>
      <c r="W158" t="s">
        <v>135</v>
      </c>
      <c r="X158" t="s">
        <v>256</v>
      </c>
      <c r="Y158" t="s">
        <v>238</v>
      </c>
      <c r="Z158" t="s">
        <v>239</v>
      </c>
      <c r="AA158" t="s">
        <v>256</v>
      </c>
      <c r="AB158" t="s">
        <v>1</v>
      </c>
      <c r="AC158" s="239">
        <f>'Basis Options'!H163</f>
        <v>-250000</v>
      </c>
      <c r="AD158" s="239">
        <f>'Basis Options'!W163</f>
        <v>-9087.6711287245562</v>
      </c>
      <c r="AE158">
        <v>0</v>
      </c>
      <c r="AF158">
        <v>0</v>
      </c>
      <c r="AG158">
        <v>0</v>
      </c>
      <c r="AH158" s="239">
        <f>'Basis Options'!BC163</f>
        <v>0</v>
      </c>
      <c r="AI158">
        <v>232</v>
      </c>
      <c r="AJ158" t="s">
        <v>259</v>
      </c>
      <c r="AK158">
        <v>0</v>
      </c>
      <c r="AL158">
        <v>0</v>
      </c>
      <c r="AM158">
        <v>0</v>
      </c>
    </row>
    <row r="159" spans="1:39" x14ac:dyDescent="0.25">
      <c r="A159" t="s">
        <v>236</v>
      </c>
      <c r="B159" t="str">
        <f>'Basis Options'!C164</f>
        <v>NF1105.2</v>
      </c>
      <c r="C159" t="s">
        <v>258</v>
      </c>
      <c r="D159" t="s">
        <v>237</v>
      </c>
      <c r="E159" t="s">
        <v>20</v>
      </c>
      <c r="F159" t="str">
        <f>'Basis Options'!A164</f>
        <v>ELPASMER</v>
      </c>
      <c r="G159" t="s">
        <v>272</v>
      </c>
      <c r="H159" t="s">
        <v>257</v>
      </c>
      <c r="I159" t="s">
        <v>245</v>
      </c>
      <c r="J159" t="s">
        <v>238</v>
      </c>
      <c r="K159" s="393">
        <f>'Basis Options'!G164</f>
        <v>36892</v>
      </c>
      <c r="L159" s="239">
        <f>'Basis Options'!U164</f>
        <v>-26623.971669545776</v>
      </c>
      <c r="M159" s="393">
        <f>'Basis Options'!Q164</f>
        <v>36888</v>
      </c>
      <c r="N159" t="str">
        <f>'Basis Options'!F164</f>
        <v>P</v>
      </c>
      <c r="O159">
        <f>'Basis Options'!I164</f>
        <v>1.1499999999999999</v>
      </c>
      <c r="P159">
        <v>0</v>
      </c>
      <c r="Q159">
        <v>0</v>
      </c>
      <c r="R159">
        <v>0</v>
      </c>
      <c r="S159">
        <v>0</v>
      </c>
      <c r="T159" t="s">
        <v>256</v>
      </c>
      <c r="U159" t="str">
        <f>IF('Basis Options'!D164="NGI/CHI. GATE","""NGI/CHI. GATE""",TRIM('Basis Options'!D164))</f>
        <v>IF-TRANSCO/Z6</v>
      </c>
      <c r="V159" t="s">
        <v>256</v>
      </c>
      <c r="W159" t="s">
        <v>135</v>
      </c>
      <c r="X159" t="s">
        <v>256</v>
      </c>
      <c r="Y159" t="s">
        <v>238</v>
      </c>
      <c r="Z159" t="s">
        <v>239</v>
      </c>
      <c r="AA159" t="s">
        <v>256</v>
      </c>
      <c r="AB159" t="s">
        <v>1</v>
      </c>
      <c r="AC159" s="239">
        <f>'Basis Options'!H164</f>
        <v>-250000</v>
      </c>
      <c r="AD159" s="239">
        <f>'Basis Options'!W164</f>
        <v>-6343.4376374707208</v>
      </c>
      <c r="AE159">
        <v>0</v>
      </c>
      <c r="AF159">
        <v>0</v>
      </c>
      <c r="AG159">
        <v>0</v>
      </c>
      <c r="AH159" s="239">
        <f>'Basis Options'!BC164</f>
        <v>0</v>
      </c>
      <c r="AI159">
        <v>232</v>
      </c>
      <c r="AJ159" t="s">
        <v>259</v>
      </c>
      <c r="AK159">
        <v>0</v>
      </c>
      <c r="AL159">
        <v>0</v>
      </c>
      <c r="AM159">
        <v>0</v>
      </c>
    </row>
    <row r="160" spans="1:39" x14ac:dyDescent="0.25">
      <c r="A160" t="s">
        <v>236</v>
      </c>
      <c r="B160" t="str">
        <f>'Basis Options'!C165</f>
        <v>NF1105.2</v>
      </c>
      <c r="C160" t="s">
        <v>258</v>
      </c>
      <c r="D160" t="s">
        <v>237</v>
      </c>
      <c r="E160" t="s">
        <v>20</v>
      </c>
      <c r="F160" t="str">
        <f>'Basis Options'!A165</f>
        <v>ELPASMER</v>
      </c>
      <c r="G160" t="s">
        <v>272</v>
      </c>
      <c r="H160" t="s">
        <v>257</v>
      </c>
      <c r="I160" t="s">
        <v>245</v>
      </c>
      <c r="J160" t="s">
        <v>238</v>
      </c>
      <c r="K160" s="393">
        <f>'Basis Options'!G165</f>
        <v>36923</v>
      </c>
      <c r="L160" s="239">
        <f>'Basis Options'!U165</f>
        <v>-41493.920700164665</v>
      </c>
      <c r="M160" s="393">
        <f>'Basis Options'!Q165</f>
        <v>36921</v>
      </c>
      <c r="N160" t="str">
        <f>'Basis Options'!F165</f>
        <v>P</v>
      </c>
      <c r="O160">
        <f>'Basis Options'!I165</f>
        <v>1.1499999999999999</v>
      </c>
      <c r="P160">
        <v>0</v>
      </c>
      <c r="Q160">
        <v>0</v>
      </c>
      <c r="R160">
        <v>0</v>
      </c>
      <c r="S160">
        <v>0</v>
      </c>
      <c r="T160" t="s">
        <v>256</v>
      </c>
      <c r="U160" t="str">
        <f>IF('Basis Options'!D165="NGI/CHI. GATE","""NGI/CHI. GATE""",TRIM('Basis Options'!D165))</f>
        <v>IF-TRANSCO/Z6</v>
      </c>
      <c r="V160" t="s">
        <v>256</v>
      </c>
      <c r="W160" t="s">
        <v>135</v>
      </c>
      <c r="X160" t="s">
        <v>256</v>
      </c>
      <c r="Y160" t="s">
        <v>238</v>
      </c>
      <c r="Z160" t="s">
        <v>239</v>
      </c>
      <c r="AA160" t="s">
        <v>256</v>
      </c>
      <c r="AB160" t="s">
        <v>1</v>
      </c>
      <c r="AC160" s="239">
        <f>'Basis Options'!H165</f>
        <v>-250000</v>
      </c>
      <c r="AD160" s="239">
        <f>'Basis Options'!W165</f>
        <v>-8821.3482896875357</v>
      </c>
      <c r="AE160">
        <v>0</v>
      </c>
      <c r="AF160">
        <v>0</v>
      </c>
      <c r="AG160">
        <v>0</v>
      </c>
      <c r="AH160" s="239">
        <f>'Basis Options'!BC165</f>
        <v>0</v>
      </c>
      <c r="AI160">
        <v>232</v>
      </c>
      <c r="AJ160" t="s">
        <v>259</v>
      </c>
      <c r="AK160">
        <v>0</v>
      </c>
      <c r="AL160">
        <v>0</v>
      </c>
      <c r="AM160">
        <v>0</v>
      </c>
    </row>
    <row r="161" spans="1:39" x14ac:dyDescent="0.25">
      <c r="A161" t="s">
        <v>236</v>
      </c>
      <c r="B161" t="str">
        <f>'Basis Options'!C166</f>
        <v>NF1105.2</v>
      </c>
      <c r="C161" t="s">
        <v>258</v>
      </c>
      <c r="D161" t="s">
        <v>237</v>
      </c>
      <c r="E161" t="s">
        <v>20</v>
      </c>
      <c r="F161" t="str">
        <f>'Basis Options'!A166</f>
        <v>ELPASMER</v>
      </c>
      <c r="G161" t="s">
        <v>272</v>
      </c>
      <c r="H161" t="s">
        <v>257</v>
      </c>
      <c r="I161" t="s">
        <v>245</v>
      </c>
      <c r="J161" t="s">
        <v>238</v>
      </c>
      <c r="K161" s="393">
        <f>'Basis Options'!G166</f>
        <v>36951</v>
      </c>
      <c r="L161" s="239">
        <f>'Basis Options'!U166</f>
        <v>-101270.32758074006</v>
      </c>
      <c r="M161" s="393">
        <f>'Basis Options'!Q166</f>
        <v>36949</v>
      </c>
      <c r="N161" t="str">
        <f>'Basis Options'!F166</f>
        <v>P</v>
      </c>
      <c r="O161">
        <f>'Basis Options'!I166</f>
        <v>1.1499999999999999</v>
      </c>
      <c r="P161">
        <v>0</v>
      </c>
      <c r="Q161">
        <v>0</v>
      </c>
      <c r="R161">
        <v>0</v>
      </c>
      <c r="S161">
        <v>0</v>
      </c>
      <c r="T161" t="s">
        <v>256</v>
      </c>
      <c r="U161" t="str">
        <f>IF('Basis Options'!D166="NGI/CHI. GATE","""NGI/CHI. GATE""",TRIM('Basis Options'!D166))</f>
        <v>IF-TRANSCO/Z6</v>
      </c>
      <c r="V161" t="s">
        <v>256</v>
      </c>
      <c r="W161" t="s">
        <v>135</v>
      </c>
      <c r="X161" t="s">
        <v>256</v>
      </c>
      <c r="Y161" t="s">
        <v>238</v>
      </c>
      <c r="Z161" t="s">
        <v>239</v>
      </c>
      <c r="AA161" t="s">
        <v>256</v>
      </c>
      <c r="AB161" t="s">
        <v>1</v>
      </c>
      <c r="AC161" s="239">
        <f>'Basis Options'!H166</f>
        <v>-250000</v>
      </c>
      <c r="AD161" s="239">
        <f>'Basis Options'!W166</f>
        <v>-8871.6262426365865</v>
      </c>
      <c r="AE161">
        <v>0</v>
      </c>
      <c r="AF161">
        <v>0</v>
      </c>
      <c r="AG161">
        <v>0</v>
      </c>
      <c r="AH161" s="239">
        <f>'Basis Options'!BC166</f>
        <v>0</v>
      </c>
      <c r="AI161">
        <v>232</v>
      </c>
      <c r="AJ161" t="s">
        <v>259</v>
      </c>
      <c r="AK161">
        <v>0</v>
      </c>
      <c r="AL161">
        <v>0</v>
      </c>
      <c r="AM161">
        <v>0</v>
      </c>
    </row>
    <row r="162" spans="1:39" x14ac:dyDescent="0.25">
      <c r="A162" t="s">
        <v>236</v>
      </c>
      <c r="B162" t="str">
        <f>'Basis Options'!C167</f>
        <v>NF1114.1</v>
      </c>
      <c r="C162" t="s">
        <v>258</v>
      </c>
      <c r="D162" t="s">
        <v>237</v>
      </c>
      <c r="E162" t="s">
        <v>20</v>
      </c>
      <c r="F162" t="str">
        <f>'Basis Options'!A167</f>
        <v>ELPASMER</v>
      </c>
      <c r="G162" t="s">
        <v>272</v>
      </c>
      <c r="H162" t="s">
        <v>257</v>
      </c>
      <c r="I162" t="s">
        <v>245</v>
      </c>
      <c r="J162" t="s">
        <v>238</v>
      </c>
      <c r="K162" s="393">
        <f>'Basis Options'!G167</f>
        <v>36647</v>
      </c>
      <c r="L162" s="239">
        <f>'Basis Options'!U167</f>
        <v>-7893.6980275372553</v>
      </c>
      <c r="M162" s="393">
        <f>'Basis Options'!Q167</f>
        <v>36643</v>
      </c>
      <c r="N162" t="str">
        <f>'Basis Options'!F167</f>
        <v>C</v>
      </c>
      <c r="O162">
        <f>'Basis Options'!I167</f>
        <v>-0.32</v>
      </c>
      <c r="P162">
        <v>0</v>
      </c>
      <c r="Q162">
        <v>0</v>
      </c>
      <c r="R162">
        <v>0</v>
      </c>
      <c r="S162">
        <v>0</v>
      </c>
      <c r="T162" t="s">
        <v>256</v>
      </c>
      <c r="U162" t="str">
        <f>IF('Basis Options'!D167="NGI/CHI. GATE","""NGI/CHI. GATE""",TRIM('Basis Options'!D167))</f>
        <v>IF-NWPL_ROCKY_M</v>
      </c>
      <c r="V162" t="s">
        <v>256</v>
      </c>
      <c r="W162" t="s">
        <v>135</v>
      </c>
      <c r="X162" t="s">
        <v>256</v>
      </c>
      <c r="Y162" t="s">
        <v>238</v>
      </c>
      <c r="Z162" t="s">
        <v>239</v>
      </c>
      <c r="AA162" t="s">
        <v>256</v>
      </c>
      <c r="AB162" t="s">
        <v>1</v>
      </c>
      <c r="AC162" s="239">
        <f>'Basis Options'!H167</f>
        <v>-500000</v>
      </c>
      <c r="AD162" s="239">
        <f>'Basis Options'!W167</f>
        <v>-3390.1041618275049</v>
      </c>
      <c r="AE162">
        <v>0</v>
      </c>
      <c r="AF162">
        <v>0</v>
      </c>
      <c r="AG162">
        <v>0</v>
      </c>
      <c r="AH162" s="239">
        <f>'Basis Options'!BC167</f>
        <v>0</v>
      </c>
      <c r="AI162">
        <v>232</v>
      </c>
      <c r="AJ162" t="s">
        <v>259</v>
      </c>
      <c r="AK162">
        <v>0</v>
      </c>
      <c r="AL162">
        <v>0</v>
      </c>
      <c r="AM162">
        <v>0</v>
      </c>
    </row>
    <row r="163" spans="1:39" x14ac:dyDescent="0.25">
      <c r="A163" t="s">
        <v>236</v>
      </c>
      <c r="B163" t="str">
        <f>'Basis Options'!C168</f>
        <v>NF1114.1</v>
      </c>
      <c r="C163" t="s">
        <v>258</v>
      </c>
      <c r="D163" t="s">
        <v>237</v>
      </c>
      <c r="E163" t="s">
        <v>20</v>
      </c>
      <c r="F163" t="str">
        <f>'Basis Options'!A168</f>
        <v>ELPASMER</v>
      </c>
      <c r="G163" t="s">
        <v>272</v>
      </c>
      <c r="H163" t="s">
        <v>257</v>
      </c>
      <c r="I163" t="s">
        <v>245</v>
      </c>
      <c r="J163" t="s">
        <v>238</v>
      </c>
      <c r="K163" s="393">
        <f>'Basis Options'!G168</f>
        <v>36678</v>
      </c>
      <c r="L163" s="239">
        <f>'Basis Options'!U168</f>
        <v>-19283.041505340494</v>
      </c>
      <c r="M163" s="393">
        <f>'Basis Options'!Q168</f>
        <v>36676</v>
      </c>
      <c r="N163" t="str">
        <f>'Basis Options'!F168</f>
        <v>C</v>
      </c>
      <c r="O163">
        <f>'Basis Options'!I168</f>
        <v>-0.32</v>
      </c>
      <c r="P163">
        <v>0</v>
      </c>
      <c r="Q163">
        <v>0</v>
      </c>
      <c r="R163">
        <v>0</v>
      </c>
      <c r="S163">
        <v>0</v>
      </c>
      <c r="T163" t="s">
        <v>256</v>
      </c>
      <c r="U163" t="str">
        <f>IF('Basis Options'!D168="NGI/CHI. GATE","""NGI/CHI. GATE""",TRIM('Basis Options'!D168))</f>
        <v>IF-NWPL_ROCKY_M</v>
      </c>
      <c r="V163" t="s">
        <v>256</v>
      </c>
      <c r="W163" t="s">
        <v>135</v>
      </c>
      <c r="X163" t="s">
        <v>256</v>
      </c>
      <c r="Y163" t="s">
        <v>238</v>
      </c>
      <c r="Z163" t="s">
        <v>239</v>
      </c>
      <c r="AA163" t="s">
        <v>256</v>
      </c>
      <c r="AB163" t="s">
        <v>1</v>
      </c>
      <c r="AC163" s="239">
        <f>'Basis Options'!H168</f>
        <v>-500000</v>
      </c>
      <c r="AD163" s="239">
        <f>'Basis Options'!W168</f>
        <v>-6755.8927717893966</v>
      </c>
      <c r="AE163">
        <v>0</v>
      </c>
      <c r="AF163">
        <v>0</v>
      </c>
      <c r="AG163">
        <v>0</v>
      </c>
      <c r="AH163" s="239">
        <f>'Basis Options'!BC168</f>
        <v>0</v>
      </c>
      <c r="AI163">
        <v>232</v>
      </c>
      <c r="AJ163" t="s">
        <v>259</v>
      </c>
      <c r="AK163">
        <v>0</v>
      </c>
      <c r="AL163">
        <v>0</v>
      </c>
      <c r="AM163">
        <v>0</v>
      </c>
    </row>
    <row r="164" spans="1:39" x14ac:dyDescent="0.25">
      <c r="A164" t="s">
        <v>236</v>
      </c>
      <c r="B164" t="str">
        <f>'Basis Options'!C169</f>
        <v>NF1114.1</v>
      </c>
      <c r="C164" t="s">
        <v>258</v>
      </c>
      <c r="D164" t="s">
        <v>237</v>
      </c>
      <c r="E164" t="s">
        <v>20</v>
      </c>
      <c r="F164" t="str">
        <f>'Basis Options'!A169</f>
        <v>ELPASMER</v>
      </c>
      <c r="G164" t="s">
        <v>272</v>
      </c>
      <c r="H164" t="s">
        <v>257</v>
      </c>
      <c r="I164" t="s">
        <v>245</v>
      </c>
      <c r="J164" t="s">
        <v>238</v>
      </c>
      <c r="K164" s="393">
        <f>'Basis Options'!G169</f>
        <v>36708</v>
      </c>
      <c r="L164" s="239">
        <f>'Basis Options'!U169</f>
        <v>-31571.076391398277</v>
      </c>
      <c r="M164" s="393">
        <f>'Basis Options'!Q169</f>
        <v>36706</v>
      </c>
      <c r="N164" t="str">
        <f>'Basis Options'!F169</f>
        <v>C</v>
      </c>
      <c r="O164">
        <f>'Basis Options'!I169</f>
        <v>-0.32</v>
      </c>
      <c r="P164">
        <v>0</v>
      </c>
      <c r="Q164">
        <v>0</v>
      </c>
      <c r="R164">
        <v>0</v>
      </c>
      <c r="S164">
        <v>0</v>
      </c>
      <c r="T164" t="s">
        <v>256</v>
      </c>
      <c r="U164" t="str">
        <f>IF('Basis Options'!D169="NGI/CHI. GATE","""NGI/CHI. GATE""",TRIM('Basis Options'!D169))</f>
        <v>IF-NWPL_ROCKY_M</v>
      </c>
      <c r="V164" t="s">
        <v>256</v>
      </c>
      <c r="W164" t="s">
        <v>135</v>
      </c>
      <c r="X164" t="s">
        <v>256</v>
      </c>
      <c r="Y164" t="s">
        <v>238</v>
      </c>
      <c r="Z164" t="s">
        <v>239</v>
      </c>
      <c r="AA164" t="s">
        <v>256</v>
      </c>
      <c r="AB164" t="s">
        <v>1</v>
      </c>
      <c r="AC164" s="239">
        <f>'Basis Options'!H169</f>
        <v>-500000</v>
      </c>
      <c r="AD164" s="239">
        <f>'Basis Options'!W169</f>
        <v>-9183.6946007139341</v>
      </c>
      <c r="AE164">
        <v>0</v>
      </c>
      <c r="AF164">
        <v>0</v>
      </c>
      <c r="AG164">
        <v>0</v>
      </c>
      <c r="AH164" s="239">
        <f>'Basis Options'!BC169</f>
        <v>0</v>
      </c>
      <c r="AI164">
        <v>232</v>
      </c>
      <c r="AJ164" t="s">
        <v>259</v>
      </c>
      <c r="AK164">
        <v>0</v>
      </c>
      <c r="AL164">
        <v>0</v>
      </c>
      <c r="AM164">
        <v>0</v>
      </c>
    </row>
    <row r="165" spans="1:39" x14ac:dyDescent="0.25">
      <c r="A165" t="s">
        <v>236</v>
      </c>
      <c r="B165" t="str">
        <f>'Basis Options'!C170</f>
        <v>NF1114.1</v>
      </c>
      <c r="C165" t="s">
        <v>258</v>
      </c>
      <c r="D165" t="s">
        <v>237</v>
      </c>
      <c r="E165" t="s">
        <v>20</v>
      </c>
      <c r="F165" t="str">
        <f>'Basis Options'!A170</f>
        <v>ELPASMER</v>
      </c>
      <c r="G165" t="s">
        <v>272</v>
      </c>
      <c r="H165" t="s">
        <v>257</v>
      </c>
      <c r="I165" t="s">
        <v>245</v>
      </c>
      <c r="J165" t="s">
        <v>238</v>
      </c>
      <c r="K165" s="393">
        <f>'Basis Options'!G170</f>
        <v>36739</v>
      </c>
      <c r="L165" s="239">
        <f>'Basis Options'!U170</f>
        <v>-38951.719524860542</v>
      </c>
      <c r="M165" s="393">
        <f>'Basis Options'!Q170</f>
        <v>36735</v>
      </c>
      <c r="N165" t="str">
        <f>'Basis Options'!F170</f>
        <v>C</v>
      </c>
      <c r="O165">
        <f>'Basis Options'!I170</f>
        <v>-0.32</v>
      </c>
      <c r="P165">
        <v>0</v>
      </c>
      <c r="Q165">
        <v>0</v>
      </c>
      <c r="R165">
        <v>0</v>
      </c>
      <c r="S165">
        <v>0</v>
      </c>
      <c r="T165" t="s">
        <v>256</v>
      </c>
      <c r="U165" t="str">
        <f>IF('Basis Options'!D170="NGI/CHI. GATE","""NGI/CHI. GATE""",TRIM('Basis Options'!D170))</f>
        <v>IF-NWPL_ROCKY_M</v>
      </c>
      <c r="V165" t="s">
        <v>256</v>
      </c>
      <c r="W165" t="s">
        <v>135</v>
      </c>
      <c r="X165" t="s">
        <v>256</v>
      </c>
      <c r="Y165" t="s">
        <v>238</v>
      </c>
      <c r="Z165" t="s">
        <v>239</v>
      </c>
      <c r="AA165" t="s">
        <v>256</v>
      </c>
      <c r="AB165" t="s">
        <v>1</v>
      </c>
      <c r="AC165" s="239">
        <f>'Basis Options'!H170</f>
        <v>-500000</v>
      </c>
      <c r="AD165" s="239">
        <f>'Basis Options'!W170</f>
        <v>-11277.600633019028</v>
      </c>
      <c r="AE165">
        <v>0</v>
      </c>
      <c r="AF165">
        <v>0</v>
      </c>
      <c r="AG165">
        <v>0</v>
      </c>
      <c r="AH165" s="239">
        <f>'Basis Options'!BC170</f>
        <v>0</v>
      </c>
      <c r="AI165">
        <v>232</v>
      </c>
      <c r="AJ165" t="s">
        <v>259</v>
      </c>
      <c r="AK165">
        <v>0</v>
      </c>
      <c r="AL165">
        <v>0</v>
      </c>
      <c r="AM165">
        <v>0</v>
      </c>
    </row>
    <row r="166" spans="1:39" x14ac:dyDescent="0.25">
      <c r="A166" t="s">
        <v>236</v>
      </c>
      <c r="B166" t="str">
        <f>'Basis Options'!C171</f>
        <v>NF1114.1</v>
      </c>
      <c r="C166" t="s">
        <v>258</v>
      </c>
      <c r="D166" t="s">
        <v>237</v>
      </c>
      <c r="E166" t="s">
        <v>20</v>
      </c>
      <c r="F166" t="str">
        <f>'Basis Options'!A171</f>
        <v>ELPASMER</v>
      </c>
      <c r="G166" t="s">
        <v>272</v>
      </c>
      <c r="H166" t="s">
        <v>257</v>
      </c>
      <c r="I166" t="s">
        <v>245</v>
      </c>
      <c r="J166" t="s">
        <v>238</v>
      </c>
      <c r="K166" s="393">
        <f>'Basis Options'!G171</f>
        <v>36770</v>
      </c>
      <c r="L166" s="239">
        <f>'Basis Options'!U171</f>
        <v>-45273.352711310275</v>
      </c>
      <c r="M166" s="393">
        <f>'Basis Options'!Q171</f>
        <v>36768</v>
      </c>
      <c r="N166" t="str">
        <f>'Basis Options'!F171</f>
        <v>C</v>
      </c>
      <c r="O166">
        <f>'Basis Options'!I171</f>
        <v>-0.32</v>
      </c>
      <c r="P166">
        <v>0</v>
      </c>
      <c r="Q166">
        <v>0</v>
      </c>
      <c r="R166">
        <v>0</v>
      </c>
      <c r="S166">
        <v>0</v>
      </c>
      <c r="T166" t="s">
        <v>256</v>
      </c>
      <c r="U166" t="str">
        <f>IF('Basis Options'!D171="NGI/CHI. GATE","""NGI/CHI. GATE""",TRIM('Basis Options'!D171))</f>
        <v>IF-NWPL_ROCKY_M</v>
      </c>
      <c r="V166" t="s">
        <v>256</v>
      </c>
      <c r="W166" t="s">
        <v>135</v>
      </c>
      <c r="X166" t="s">
        <v>256</v>
      </c>
      <c r="Y166" t="s">
        <v>238</v>
      </c>
      <c r="Z166" t="s">
        <v>239</v>
      </c>
      <c r="AA166" t="s">
        <v>256</v>
      </c>
      <c r="AB166" t="s">
        <v>1</v>
      </c>
      <c r="AC166" s="239">
        <f>'Basis Options'!H171</f>
        <v>-500000</v>
      </c>
      <c r="AD166" s="239">
        <f>'Basis Options'!W171</f>
        <v>-13125.729869281116</v>
      </c>
      <c r="AE166">
        <v>0</v>
      </c>
      <c r="AF166">
        <v>0</v>
      </c>
      <c r="AG166">
        <v>0</v>
      </c>
      <c r="AH166" s="239">
        <f>'Basis Options'!BC171</f>
        <v>0</v>
      </c>
      <c r="AI166">
        <v>232</v>
      </c>
      <c r="AJ166" t="s">
        <v>259</v>
      </c>
      <c r="AK166">
        <v>0</v>
      </c>
      <c r="AL166">
        <v>0</v>
      </c>
      <c r="AM166">
        <v>0</v>
      </c>
    </row>
    <row r="167" spans="1:39" x14ac:dyDescent="0.25">
      <c r="A167" t="s">
        <v>236</v>
      </c>
      <c r="B167" t="str">
        <f>'Basis Options'!C172</f>
        <v>NF1114.1</v>
      </c>
      <c r="C167" t="s">
        <v>258</v>
      </c>
      <c r="D167" t="s">
        <v>237</v>
      </c>
      <c r="E167" t="s">
        <v>20</v>
      </c>
      <c r="F167" t="str">
        <f>'Basis Options'!A172</f>
        <v>ELPASMER</v>
      </c>
      <c r="G167" t="s">
        <v>272</v>
      </c>
      <c r="H167" t="s">
        <v>257</v>
      </c>
      <c r="I167" t="s">
        <v>245</v>
      </c>
      <c r="J167" t="s">
        <v>238</v>
      </c>
      <c r="K167" s="393">
        <f>'Basis Options'!G172</f>
        <v>36800</v>
      </c>
      <c r="L167" s="239">
        <f>'Basis Options'!U172</f>
        <v>-56544.21319788949</v>
      </c>
      <c r="M167" s="393">
        <f>'Basis Options'!Q172</f>
        <v>36797</v>
      </c>
      <c r="N167" t="str">
        <f>'Basis Options'!F172</f>
        <v>C</v>
      </c>
      <c r="O167">
        <f>'Basis Options'!I172</f>
        <v>-0.32</v>
      </c>
      <c r="P167">
        <v>0</v>
      </c>
      <c r="Q167">
        <v>0</v>
      </c>
      <c r="R167">
        <v>0</v>
      </c>
      <c r="S167">
        <v>0</v>
      </c>
      <c r="T167" t="s">
        <v>256</v>
      </c>
      <c r="U167" t="str">
        <f>IF('Basis Options'!D172="NGI/CHI. GATE","""NGI/CHI. GATE""",TRIM('Basis Options'!D172))</f>
        <v>IF-NWPL_ROCKY_M</v>
      </c>
      <c r="V167" t="s">
        <v>256</v>
      </c>
      <c r="W167" t="s">
        <v>135</v>
      </c>
      <c r="X167" t="s">
        <v>256</v>
      </c>
      <c r="Y167" t="s">
        <v>238</v>
      </c>
      <c r="Z167" t="s">
        <v>239</v>
      </c>
      <c r="AA167" t="s">
        <v>256</v>
      </c>
      <c r="AB167" t="s">
        <v>1</v>
      </c>
      <c r="AC167" s="239">
        <f>'Basis Options'!H172</f>
        <v>-500000</v>
      </c>
      <c r="AD167" s="239">
        <f>'Basis Options'!W172</f>
        <v>-14457.583940881246</v>
      </c>
      <c r="AE167">
        <v>0</v>
      </c>
      <c r="AF167">
        <v>0</v>
      </c>
      <c r="AG167">
        <v>0</v>
      </c>
      <c r="AH167" s="239">
        <f>'Basis Options'!BC172</f>
        <v>0</v>
      </c>
      <c r="AI167">
        <v>232</v>
      </c>
      <c r="AJ167" t="s">
        <v>259</v>
      </c>
      <c r="AK167">
        <v>0</v>
      </c>
      <c r="AL167">
        <v>0</v>
      </c>
      <c r="AM167">
        <v>0</v>
      </c>
    </row>
    <row r="168" spans="1:39" x14ac:dyDescent="0.25">
      <c r="A168" t="s">
        <v>236</v>
      </c>
      <c r="B168" t="str">
        <f>'Basis Options'!C173</f>
        <v>NF1114.2</v>
      </c>
      <c r="C168" t="s">
        <v>258</v>
      </c>
      <c r="D168" t="s">
        <v>237</v>
      </c>
      <c r="E168" t="s">
        <v>20</v>
      </c>
      <c r="F168" t="str">
        <f>'Basis Options'!A173</f>
        <v>ELPASMER</v>
      </c>
      <c r="G168" t="s">
        <v>272</v>
      </c>
      <c r="H168" t="s">
        <v>257</v>
      </c>
      <c r="I168" t="s">
        <v>245</v>
      </c>
      <c r="J168" t="s">
        <v>238</v>
      </c>
      <c r="K168" s="393">
        <f>'Basis Options'!G173</f>
        <v>36647</v>
      </c>
      <c r="L168" s="239">
        <f>'Basis Options'!U173</f>
        <v>-20372.264159934097</v>
      </c>
      <c r="M168" s="393">
        <f>'Basis Options'!Q173</f>
        <v>36643</v>
      </c>
      <c r="N168" t="str">
        <f>'Basis Options'!F173</f>
        <v>P</v>
      </c>
      <c r="O168">
        <f>'Basis Options'!I173</f>
        <v>-0.32</v>
      </c>
      <c r="P168">
        <v>0</v>
      </c>
      <c r="Q168">
        <v>0</v>
      </c>
      <c r="R168">
        <v>0</v>
      </c>
      <c r="S168">
        <v>0</v>
      </c>
      <c r="T168" t="s">
        <v>256</v>
      </c>
      <c r="U168" t="str">
        <f>IF('Basis Options'!D173="NGI/CHI. GATE","""NGI/CHI. GATE""",TRIM('Basis Options'!D173))</f>
        <v>IF-NWPL_ROCKY_M</v>
      </c>
      <c r="V168" t="s">
        <v>256</v>
      </c>
      <c r="W168" t="s">
        <v>135</v>
      </c>
      <c r="X168" t="s">
        <v>256</v>
      </c>
      <c r="Y168" t="s">
        <v>238</v>
      </c>
      <c r="Z168" t="s">
        <v>239</v>
      </c>
      <c r="AA168" t="s">
        <v>256</v>
      </c>
      <c r="AB168" t="s">
        <v>1</v>
      </c>
      <c r="AC168" s="239">
        <f>'Basis Options'!H173</f>
        <v>-500000</v>
      </c>
      <c r="AD168" s="239">
        <f>'Basis Options'!W173</f>
        <v>-3390.1041618274758</v>
      </c>
      <c r="AE168">
        <v>0</v>
      </c>
      <c r="AF168">
        <v>0</v>
      </c>
      <c r="AG168">
        <v>0</v>
      </c>
      <c r="AH168" s="239">
        <f>'Basis Options'!BC173</f>
        <v>0</v>
      </c>
      <c r="AI168">
        <v>232</v>
      </c>
      <c r="AJ168" t="s">
        <v>259</v>
      </c>
      <c r="AK168">
        <v>0</v>
      </c>
      <c r="AL168">
        <v>0</v>
      </c>
      <c r="AM168">
        <v>0</v>
      </c>
    </row>
    <row r="169" spans="1:39" x14ac:dyDescent="0.25">
      <c r="A169" t="s">
        <v>236</v>
      </c>
      <c r="B169" t="str">
        <f>'Basis Options'!C174</f>
        <v>NF1114.2</v>
      </c>
      <c r="C169" t="s">
        <v>258</v>
      </c>
      <c r="D169" t="s">
        <v>237</v>
      </c>
      <c r="E169" t="s">
        <v>20</v>
      </c>
      <c r="F169" t="str">
        <f>'Basis Options'!A174</f>
        <v>ELPASMER</v>
      </c>
      <c r="G169" t="s">
        <v>272</v>
      </c>
      <c r="H169" t="s">
        <v>257</v>
      </c>
      <c r="I169" t="s">
        <v>245</v>
      </c>
      <c r="J169" t="s">
        <v>238</v>
      </c>
      <c r="K169" s="393">
        <f>'Basis Options'!G174</f>
        <v>36678</v>
      </c>
      <c r="L169" s="239">
        <f>'Basis Options'!U174</f>
        <v>-29209.100753441508</v>
      </c>
      <c r="M169" s="393">
        <f>'Basis Options'!Q174</f>
        <v>36676</v>
      </c>
      <c r="N169" t="str">
        <f>'Basis Options'!F174</f>
        <v>P</v>
      </c>
      <c r="O169">
        <f>'Basis Options'!I174</f>
        <v>-0.32</v>
      </c>
      <c r="P169">
        <v>0</v>
      </c>
      <c r="Q169">
        <v>0</v>
      </c>
      <c r="R169">
        <v>0</v>
      </c>
      <c r="S169">
        <v>0</v>
      </c>
      <c r="T169" t="s">
        <v>256</v>
      </c>
      <c r="U169" t="str">
        <f>IF('Basis Options'!D174="NGI/CHI. GATE","""NGI/CHI. GATE""",TRIM('Basis Options'!D174))</f>
        <v>IF-NWPL_ROCKY_M</v>
      </c>
      <c r="V169" t="s">
        <v>256</v>
      </c>
      <c r="W169" t="s">
        <v>135</v>
      </c>
      <c r="X169" t="s">
        <v>256</v>
      </c>
      <c r="Y169" t="s">
        <v>238</v>
      </c>
      <c r="Z169" t="s">
        <v>239</v>
      </c>
      <c r="AA169" t="s">
        <v>256</v>
      </c>
      <c r="AB169" t="s">
        <v>1</v>
      </c>
      <c r="AC169" s="239">
        <f>'Basis Options'!H174</f>
        <v>-500000</v>
      </c>
      <c r="AD169" s="239">
        <f>'Basis Options'!W174</f>
        <v>-6755.8927717893966</v>
      </c>
      <c r="AE169">
        <v>0</v>
      </c>
      <c r="AF169">
        <v>0</v>
      </c>
      <c r="AG169">
        <v>0</v>
      </c>
      <c r="AH169" s="239">
        <f>'Basis Options'!BC174</f>
        <v>0</v>
      </c>
      <c r="AI169">
        <v>232</v>
      </c>
      <c r="AJ169" t="s">
        <v>259</v>
      </c>
      <c r="AK169">
        <v>0</v>
      </c>
      <c r="AL169">
        <v>0</v>
      </c>
      <c r="AM169">
        <v>0</v>
      </c>
    </row>
    <row r="170" spans="1:39" x14ac:dyDescent="0.25">
      <c r="A170" t="s">
        <v>236</v>
      </c>
      <c r="B170" t="str">
        <f>'Basis Options'!C175</f>
        <v>NF1114.2</v>
      </c>
      <c r="C170" t="s">
        <v>258</v>
      </c>
      <c r="D170" t="s">
        <v>237</v>
      </c>
      <c r="E170" t="s">
        <v>20</v>
      </c>
      <c r="F170" t="str">
        <f>'Basis Options'!A175</f>
        <v>ELPASMER</v>
      </c>
      <c r="G170" t="s">
        <v>272</v>
      </c>
      <c r="H170" t="s">
        <v>257</v>
      </c>
      <c r="I170" t="s">
        <v>245</v>
      </c>
      <c r="J170" t="s">
        <v>238</v>
      </c>
      <c r="K170" s="393">
        <f>'Basis Options'!G175</f>
        <v>36708</v>
      </c>
      <c r="L170" s="239">
        <f>'Basis Options'!U175</f>
        <v>-32805.264239524302</v>
      </c>
      <c r="M170" s="393">
        <f>'Basis Options'!Q175</f>
        <v>36706</v>
      </c>
      <c r="N170" t="str">
        <f>'Basis Options'!F175</f>
        <v>P</v>
      </c>
      <c r="O170">
        <f>'Basis Options'!I175</f>
        <v>-0.32</v>
      </c>
      <c r="P170">
        <v>0</v>
      </c>
      <c r="Q170">
        <v>0</v>
      </c>
      <c r="R170">
        <v>0</v>
      </c>
      <c r="S170">
        <v>0</v>
      </c>
      <c r="T170" t="s">
        <v>256</v>
      </c>
      <c r="U170" t="str">
        <f>IF('Basis Options'!D175="NGI/CHI. GATE","""NGI/CHI. GATE""",TRIM('Basis Options'!D175))</f>
        <v>IF-NWPL_ROCKY_M</v>
      </c>
      <c r="V170" t="s">
        <v>256</v>
      </c>
      <c r="W170" t="s">
        <v>135</v>
      </c>
      <c r="X170" t="s">
        <v>256</v>
      </c>
      <c r="Y170" t="s">
        <v>238</v>
      </c>
      <c r="Z170" t="s">
        <v>239</v>
      </c>
      <c r="AA170" t="s">
        <v>256</v>
      </c>
      <c r="AB170" t="s">
        <v>1</v>
      </c>
      <c r="AC170" s="239">
        <f>'Basis Options'!H175</f>
        <v>-500000</v>
      </c>
      <c r="AD170" s="239">
        <f>'Basis Options'!W175</f>
        <v>-9183.6946007139632</v>
      </c>
      <c r="AE170">
        <v>0</v>
      </c>
      <c r="AF170">
        <v>0</v>
      </c>
      <c r="AG170">
        <v>0</v>
      </c>
      <c r="AH170" s="239">
        <f>'Basis Options'!BC175</f>
        <v>0</v>
      </c>
      <c r="AI170">
        <v>232</v>
      </c>
      <c r="AJ170" t="s">
        <v>259</v>
      </c>
      <c r="AK170">
        <v>0</v>
      </c>
      <c r="AL170">
        <v>0</v>
      </c>
      <c r="AM170">
        <v>0</v>
      </c>
    </row>
    <row r="171" spans="1:39" x14ac:dyDescent="0.25">
      <c r="A171" t="s">
        <v>236</v>
      </c>
      <c r="B171" t="str">
        <f>'Basis Options'!C176</f>
        <v>NF1114.2</v>
      </c>
      <c r="C171" t="s">
        <v>258</v>
      </c>
      <c r="D171" t="s">
        <v>237</v>
      </c>
      <c r="E171" t="s">
        <v>20</v>
      </c>
      <c r="F171" t="str">
        <f>'Basis Options'!A176</f>
        <v>ELPASMER</v>
      </c>
      <c r="G171" t="s">
        <v>272</v>
      </c>
      <c r="H171" t="s">
        <v>257</v>
      </c>
      <c r="I171" t="s">
        <v>245</v>
      </c>
      <c r="J171" t="s">
        <v>238</v>
      </c>
      <c r="K171" s="393">
        <f>'Basis Options'!G176</f>
        <v>36739</v>
      </c>
      <c r="L171" s="239">
        <f>'Basis Options'!U176</f>
        <v>-40179.405552589575</v>
      </c>
      <c r="M171" s="393">
        <f>'Basis Options'!Q176</f>
        <v>36735</v>
      </c>
      <c r="N171" t="str">
        <f>'Basis Options'!F176</f>
        <v>P</v>
      </c>
      <c r="O171">
        <f>'Basis Options'!I176</f>
        <v>-0.32</v>
      </c>
      <c r="P171">
        <v>0</v>
      </c>
      <c r="Q171">
        <v>0</v>
      </c>
      <c r="R171">
        <v>0</v>
      </c>
      <c r="S171">
        <v>0</v>
      </c>
      <c r="T171" t="s">
        <v>256</v>
      </c>
      <c r="U171" t="str">
        <f>IF('Basis Options'!D176="NGI/CHI. GATE","""NGI/CHI. GATE""",TRIM('Basis Options'!D176))</f>
        <v>IF-NWPL_ROCKY_M</v>
      </c>
      <c r="V171" t="s">
        <v>256</v>
      </c>
      <c r="W171" t="s">
        <v>135</v>
      </c>
      <c r="X171" t="s">
        <v>256</v>
      </c>
      <c r="Y171" t="s">
        <v>238</v>
      </c>
      <c r="Z171" t="s">
        <v>239</v>
      </c>
      <c r="AA171" t="s">
        <v>256</v>
      </c>
      <c r="AB171" t="s">
        <v>1</v>
      </c>
      <c r="AC171" s="239">
        <f>'Basis Options'!H176</f>
        <v>-500000</v>
      </c>
      <c r="AD171" s="239">
        <f>'Basis Options'!W176</f>
        <v>-11277.600633019028</v>
      </c>
      <c r="AE171">
        <v>0</v>
      </c>
      <c r="AF171">
        <v>0</v>
      </c>
      <c r="AG171">
        <v>0</v>
      </c>
      <c r="AH171" s="239">
        <f>'Basis Options'!BC176</f>
        <v>0</v>
      </c>
      <c r="AI171">
        <v>232</v>
      </c>
      <c r="AJ171" t="s">
        <v>259</v>
      </c>
      <c r="AK171">
        <v>0</v>
      </c>
      <c r="AL171">
        <v>0</v>
      </c>
      <c r="AM171">
        <v>0</v>
      </c>
    </row>
    <row r="172" spans="1:39" x14ac:dyDescent="0.25">
      <c r="A172" t="s">
        <v>236</v>
      </c>
      <c r="B172" t="str">
        <f>'Basis Options'!C177</f>
        <v>NF1114.2</v>
      </c>
      <c r="C172" t="s">
        <v>258</v>
      </c>
      <c r="D172" t="s">
        <v>237</v>
      </c>
      <c r="E172" t="s">
        <v>20</v>
      </c>
      <c r="F172" t="str">
        <f>'Basis Options'!A177</f>
        <v>ELPASMER</v>
      </c>
      <c r="G172" t="s">
        <v>272</v>
      </c>
      <c r="H172" t="s">
        <v>257</v>
      </c>
      <c r="I172" t="s">
        <v>245</v>
      </c>
      <c r="J172" t="s">
        <v>238</v>
      </c>
      <c r="K172" s="393">
        <f>'Basis Options'!G177</f>
        <v>36770</v>
      </c>
      <c r="L172" s="239">
        <f>'Basis Options'!U177</f>
        <v>-46493.580096202713</v>
      </c>
      <c r="M172" s="393">
        <f>'Basis Options'!Q177</f>
        <v>36768</v>
      </c>
      <c r="N172" t="str">
        <f>'Basis Options'!F177</f>
        <v>P</v>
      </c>
      <c r="O172">
        <f>'Basis Options'!I177</f>
        <v>-0.32</v>
      </c>
      <c r="P172">
        <v>0</v>
      </c>
      <c r="Q172">
        <v>0</v>
      </c>
      <c r="R172">
        <v>0</v>
      </c>
      <c r="S172">
        <v>0</v>
      </c>
      <c r="T172" t="s">
        <v>256</v>
      </c>
      <c r="U172" t="str">
        <f>IF('Basis Options'!D177="NGI/CHI. GATE","""NGI/CHI. GATE""",TRIM('Basis Options'!D177))</f>
        <v>IF-NWPL_ROCKY_M</v>
      </c>
      <c r="V172" t="s">
        <v>256</v>
      </c>
      <c r="W172" t="s">
        <v>135</v>
      </c>
      <c r="X172" t="s">
        <v>256</v>
      </c>
      <c r="Y172" t="s">
        <v>238</v>
      </c>
      <c r="Z172" t="s">
        <v>239</v>
      </c>
      <c r="AA172" t="s">
        <v>256</v>
      </c>
      <c r="AB172" t="s">
        <v>1</v>
      </c>
      <c r="AC172" s="239">
        <f>'Basis Options'!H177</f>
        <v>-500000</v>
      </c>
      <c r="AD172" s="239">
        <f>'Basis Options'!W177</f>
        <v>-13125.729869281116</v>
      </c>
      <c r="AE172">
        <v>0</v>
      </c>
      <c r="AF172">
        <v>0</v>
      </c>
      <c r="AG172">
        <v>0</v>
      </c>
      <c r="AH172" s="239">
        <f>'Basis Options'!BC177</f>
        <v>0</v>
      </c>
      <c r="AI172">
        <v>232</v>
      </c>
      <c r="AJ172" t="s">
        <v>259</v>
      </c>
      <c r="AK172">
        <v>0</v>
      </c>
      <c r="AL172">
        <v>0</v>
      </c>
      <c r="AM172">
        <v>0</v>
      </c>
    </row>
    <row r="173" spans="1:39" x14ac:dyDescent="0.25">
      <c r="A173" t="s">
        <v>236</v>
      </c>
      <c r="B173" t="str">
        <f>'Basis Options'!C178</f>
        <v>NF1114.2</v>
      </c>
      <c r="C173" t="s">
        <v>258</v>
      </c>
      <c r="D173" t="s">
        <v>237</v>
      </c>
      <c r="E173" t="s">
        <v>20</v>
      </c>
      <c r="F173" t="str">
        <f>'Basis Options'!A178</f>
        <v>ELPASMER</v>
      </c>
      <c r="G173" t="s">
        <v>272</v>
      </c>
      <c r="H173" t="s">
        <v>257</v>
      </c>
      <c r="I173" t="s">
        <v>245</v>
      </c>
      <c r="J173" t="s">
        <v>238</v>
      </c>
      <c r="K173" s="393">
        <f>'Basis Options'!G178</f>
        <v>36800</v>
      </c>
      <c r="L173" s="239">
        <f>'Basis Options'!U178</f>
        <v>-45621.817246392478</v>
      </c>
      <c r="M173" s="393">
        <f>'Basis Options'!Q178</f>
        <v>36797</v>
      </c>
      <c r="N173" t="str">
        <f>'Basis Options'!F178</f>
        <v>P</v>
      </c>
      <c r="O173">
        <f>'Basis Options'!I178</f>
        <v>-0.32</v>
      </c>
      <c r="P173">
        <v>0</v>
      </c>
      <c r="Q173">
        <v>0</v>
      </c>
      <c r="R173">
        <v>0</v>
      </c>
      <c r="S173">
        <v>0</v>
      </c>
      <c r="T173" t="s">
        <v>256</v>
      </c>
      <c r="U173" t="str">
        <f>IF('Basis Options'!D178="NGI/CHI. GATE","""NGI/CHI. GATE""",TRIM('Basis Options'!D178))</f>
        <v>IF-NWPL_ROCKY_M</v>
      </c>
      <c r="V173" t="s">
        <v>256</v>
      </c>
      <c r="W173" t="s">
        <v>135</v>
      </c>
      <c r="X173" t="s">
        <v>256</v>
      </c>
      <c r="Y173" t="s">
        <v>238</v>
      </c>
      <c r="Z173" t="s">
        <v>239</v>
      </c>
      <c r="AA173" t="s">
        <v>256</v>
      </c>
      <c r="AB173" t="s">
        <v>1</v>
      </c>
      <c r="AC173" s="239">
        <f>'Basis Options'!H178</f>
        <v>-500000</v>
      </c>
      <c r="AD173" s="239">
        <f>'Basis Options'!W178</f>
        <v>-14457.583940881217</v>
      </c>
      <c r="AE173">
        <v>0</v>
      </c>
      <c r="AF173">
        <v>0</v>
      </c>
      <c r="AG173">
        <v>0</v>
      </c>
      <c r="AH173" s="239">
        <f>'Basis Options'!BC178</f>
        <v>0</v>
      </c>
      <c r="AI173">
        <v>232</v>
      </c>
      <c r="AJ173" t="s">
        <v>259</v>
      </c>
      <c r="AK173">
        <v>0</v>
      </c>
      <c r="AL173">
        <v>0</v>
      </c>
      <c r="AM173">
        <v>0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1"/>
  <dimension ref="A1:AM218"/>
  <sheetViews>
    <sheetView workbookViewId="0">
      <selection activeCell="A4" sqref="A4"/>
    </sheetView>
  </sheetViews>
  <sheetFormatPr defaultRowHeight="13.2" x14ac:dyDescent="0.25"/>
  <cols>
    <col min="11" max="11" width="11.109375" bestFit="1" customWidth="1"/>
    <col min="13" max="13" width="9.6640625" bestFit="1" customWidth="1"/>
  </cols>
  <sheetData>
    <row r="1" spans="1:39" x14ac:dyDescent="0.25">
      <c r="A1" t="s">
        <v>197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  <c r="P1" t="s">
        <v>212</v>
      </c>
      <c r="Q1" t="s">
        <v>213</v>
      </c>
      <c r="R1" t="s">
        <v>214</v>
      </c>
      <c r="S1" t="s">
        <v>215</v>
      </c>
      <c r="T1" t="s">
        <v>216</v>
      </c>
      <c r="U1" t="s">
        <v>217</v>
      </c>
      <c r="V1" t="s">
        <v>218</v>
      </c>
      <c r="W1" t="s">
        <v>219</v>
      </c>
      <c r="X1" t="s">
        <v>220</v>
      </c>
      <c r="Y1" t="s">
        <v>221</v>
      </c>
      <c r="Z1" t="s">
        <v>222</v>
      </c>
      <c r="AA1" t="s">
        <v>223</v>
      </c>
      <c r="AB1" t="s">
        <v>224</v>
      </c>
      <c r="AC1" t="s">
        <v>225</v>
      </c>
      <c r="AD1" t="s">
        <v>226</v>
      </c>
      <c r="AE1" t="s">
        <v>227</v>
      </c>
      <c r="AF1" t="s">
        <v>228</v>
      </c>
      <c r="AG1" t="s">
        <v>229</v>
      </c>
      <c r="AH1" t="s">
        <v>230</v>
      </c>
      <c r="AI1" t="s">
        <v>231</v>
      </c>
      <c r="AJ1" t="s">
        <v>232</v>
      </c>
      <c r="AK1" t="s">
        <v>233</v>
      </c>
      <c r="AL1" t="s">
        <v>234</v>
      </c>
      <c r="AM1" t="s">
        <v>235</v>
      </c>
    </row>
    <row r="2" spans="1:39" x14ac:dyDescent="0.25">
      <c r="A2" t="s">
        <v>236</v>
      </c>
      <c r="B2" t="str">
        <f>'Basket Options'!B12</f>
        <v>X5783</v>
      </c>
      <c r="C2" t="s">
        <v>258</v>
      </c>
      <c r="D2" t="s">
        <v>237</v>
      </c>
      <c r="E2" t="s">
        <v>20</v>
      </c>
      <c r="F2" t="str">
        <f>'Basket Options'!A17</f>
        <v>HIGHLANDENECOM</v>
      </c>
      <c r="G2" t="s">
        <v>272</v>
      </c>
      <c r="H2" t="s">
        <v>257</v>
      </c>
      <c r="I2" t="s">
        <v>245</v>
      </c>
      <c r="J2" t="s">
        <v>238</v>
      </c>
      <c r="K2" s="142">
        <f>'Basket Options'!F17</f>
        <v>36647</v>
      </c>
      <c r="L2">
        <f>'Basket Options'!O17</f>
        <v>-9.6532222145889591E-5</v>
      </c>
      <c r="M2" s="142">
        <f>'Basket Options'!L17</f>
        <v>36647</v>
      </c>
      <c r="N2" t="str">
        <f>'Basket Options'!E17</f>
        <v>P</v>
      </c>
      <c r="O2">
        <f>'Basket Options'!H17</f>
        <v>2</v>
      </c>
      <c r="P2">
        <v>0</v>
      </c>
      <c r="Q2">
        <v>0</v>
      </c>
      <c r="R2">
        <v>0</v>
      </c>
      <c r="S2">
        <v>0</v>
      </c>
      <c r="T2" t="s">
        <v>256</v>
      </c>
      <c r="U2" t="str">
        <f>'Basket Options'!C8</f>
        <v>IF-FGT/Z3</v>
      </c>
      <c r="V2" t="s">
        <v>256</v>
      </c>
      <c r="W2" t="s">
        <v>135</v>
      </c>
      <c r="X2" t="s">
        <v>256</v>
      </c>
      <c r="Y2" t="s">
        <v>238</v>
      </c>
      <c r="Z2" t="s">
        <v>239</v>
      </c>
      <c r="AA2" t="s">
        <v>256</v>
      </c>
      <c r="AB2" t="s">
        <v>1</v>
      </c>
      <c r="AC2">
        <f>'Basket Options'!G17</f>
        <v>-62000</v>
      </c>
      <c r="AD2">
        <f>'Basket Options'!P17</f>
        <v>2.2348048355472125E-3</v>
      </c>
      <c r="AE2">
        <v>0</v>
      </c>
      <c r="AF2">
        <v>0</v>
      </c>
      <c r="AG2">
        <v>0</v>
      </c>
      <c r="AH2">
        <v>0</v>
      </c>
      <c r="AI2">
        <v>0</v>
      </c>
      <c r="AJ2" t="s">
        <v>259</v>
      </c>
      <c r="AK2">
        <v>0</v>
      </c>
      <c r="AL2">
        <v>0</v>
      </c>
      <c r="AM2">
        <v>0</v>
      </c>
    </row>
    <row r="3" spans="1:39" x14ac:dyDescent="0.25">
      <c r="A3" t="s">
        <v>236</v>
      </c>
      <c r="B3" t="str">
        <f>'Basket Options'!B13</f>
        <v>X5783</v>
      </c>
      <c r="C3" t="s">
        <v>258</v>
      </c>
      <c r="D3" t="s">
        <v>237</v>
      </c>
      <c r="E3" t="s">
        <v>20</v>
      </c>
      <c r="F3" t="str">
        <f>'Basket Options'!A18</f>
        <v>HIGHLANDENECOM</v>
      </c>
      <c r="G3" t="s">
        <v>272</v>
      </c>
      <c r="H3" t="s">
        <v>257</v>
      </c>
      <c r="I3" t="s">
        <v>245</v>
      </c>
      <c r="J3" t="s">
        <v>238</v>
      </c>
      <c r="K3" s="142">
        <f>'Basket Options'!F18</f>
        <v>36678</v>
      </c>
      <c r="L3">
        <f>'Basket Options'!O18</f>
        <v>-3.1199010165780621</v>
      </c>
      <c r="M3" s="142">
        <f>'Basket Options'!L18</f>
        <v>36678</v>
      </c>
      <c r="N3" t="str">
        <f>'Basket Options'!E18</f>
        <v>P</v>
      </c>
      <c r="O3">
        <f>'Basket Options'!H18</f>
        <v>2</v>
      </c>
      <c r="P3">
        <v>0</v>
      </c>
      <c r="Q3">
        <v>0</v>
      </c>
      <c r="R3">
        <v>0</v>
      </c>
      <c r="S3">
        <v>0</v>
      </c>
      <c r="T3" t="s">
        <v>256</v>
      </c>
      <c r="U3" t="str">
        <f>'Basket Options'!C9</f>
        <v>IF-TENN/TX</v>
      </c>
      <c r="V3" t="s">
        <v>256</v>
      </c>
      <c r="W3" t="s">
        <v>135</v>
      </c>
      <c r="X3" t="s">
        <v>256</v>
      </c>
      <c r="Y3" t="s">
        <v>238</v>
      </c>
      <c r="Z3" t="s">
        <v>239</v>
      </c>
      <c r="AA3" t="s">
        <v>256</v>
      </c>
      <c r="AB3" t="s">
        <v>1</v>
      </c>
      <c r="AC3">
        <f>'Basket Options'!G18</f>
        <v>-62000</v>
      </c>
      <c r="AD3">
        <f>'Basket Options'!P18</f>
        <v>27.726450762573293</v>
      </c>
      <c r="AE3">
        <v>0</v>
      </c>
      <c r="AF3">
        <v>0</v>
      </c>
      <c r="AG3">
        <v>0</v>
      </c>
      <c r="AH3">
        <v>0</v>
      </c>
      <c r="AI3">
        <v>0</v>
      </c>
      <c r="AJ3" t="s">
        <v>259</v>
      </c>
      <c r="AK3">
        <v>0</v>
      </c>
      <c r="AL3">
        <v>0</v>
      </c>
      <c r="AM3">
        <v>0</v>
      </c>
    </row>
    <row r="4" spans="1:39" x14ac:dyDescent="0.25">
      <c r="A4" t="s">
        <v>236</v>
      </c>
      <c r="B4" t="str">
        <f>Digital!B7</f>
        <v>N29863</v>
      </c>
      <c r="C4" t="s">
        <v>258</v>
      </c>
      <c r="D4" t="s">
        <v>237</v>
      </c>
      <c r="E4" t="s">
        <v>20</v>
      </c>
      <c r="F4" t="str">
        <f>Digital!A7</f>
        <v>HELMERICHPAYNE</v>
      </c>
      <c r="G4" t="s">
        <v>272</v>
      </c>
      <c r="H4" t="s">
        <v>257</v>
      </c>
      <c r="I4" t="s">
        <v>245</v>
      </c>
      <c r="J4" t="s">
        <v>238</v>
      </c>
      <c r="K4" s="142">
        <f>Digital!E7</f>
        <v>36647</v>
      </c>
      <c r="L4">
        <f>Digital!S7</f>
        <v>-4.0533677180971051</v>
      </c>
      <c r="M4" s="142">
        <f>Digital!E7</f>
        <v>36647</v>
      </c>
      <c r="N4" t="str">
        <f>Digital!D7</f>
        <v>p</v>
      </c>
      <c r="O4">
        <f>Digital!I7</f>
        <v>2.4500000000000002</v>
      </c>
      <c r="P4">
        <v>0</v>
      </c>
      <c r="Q4">
        <v>0</v>
      </c>
      <c r="R4">
        <v>0</v>
      </c>
      <c r="S4">
        <v>0</v>
      </c>
      <c r="T4" t="s">
        <v>256</v>
      </c>
      <c r="U4" t="str">
        <f>Digital!C7</f>
        <v>IF-ANR/OK</v>
      </c>
      <c r="V4" t="s">
        <v>256</v>
      </c>
      <c r="W4" t="s">
        <v>135</v>
      </c>
      <c r="X4" t="s">
        <v>256</v>
      </c>
      <c r="Y4" t="s">
        <v>238</v>
      </c>
      <c r="Z4" t="s">
        <v>239</v>
      </c>
      <c r="AA4" t="s">
        <v>256</v>
      </c>
      <c r="AB4" t="s">
        <v>1</v>
      </c>
      <c r="AC4">
        <f>Digital!F7</f>
        <v>-77500</v>
      </c>
      <c r="AD4">
        <f>Digital!T7</f>
        <v>74.609967541639875</v>
      </c>
      <c r="AE4">
        <v>0</v>
      </c>
      <c r="AF4">
        <v>0</v>
      </c>
      <c r="AG4">
        <v>0</v>
      </c>
      <c r="AH4">
        <v>0</v>
      </c>
      <c r="AI4">
        <v>0</v>
      </c>
      <c r="AJ4" t="s">
        <v>259</v>
      </c>
      <c r="AK4">
        <v>0</v>
      </c>
      <c r="AL4">
        <v>0</v>
      </c>
      <c r="AM4">
        <v>0</v>
      </c>
    </row>
    <row r="5" spans="1:39" x14ac:dyDescent="0.25">
      <c r="K5" s="142"/>
      <c r="M5" s="142"/>
    </row>
    <row r="6" spans="1:39" x14ac:dyDescent="0.25">
      <c r="K6" s="142"/>
      <c r="M6" s="142"/>
    </row>
    <row r="7" spans="1:39" x14ac:dyDescent="0.25">
      <c r="K7" s="142"/>
      <c r="M7" s="142"/>
    </row>
    <row r="8" spans="1:39" x14ac:dyDescent="0.25">
      <c r="K8" s="142"/>
      <c r="M8" s="142"/>
    </row>
    <row r="9" spans="1:39" x14ac:dyDescent="0.25">
      <c r="K9" s="142"/>
      <c r="M9" s="142"/>
    </row>
    <row r="10" spans="1:39" x14ac:dyDescent="0.25">
      <c r="K10" s="142"/>
      <c r="M10" s="142"/>
    </row>
    <row r="11" spans="1:39" x14ac:dyDescent="0.25">
      <c r="K11" s="142"/>
      <c r="M11" s="142"/>
    </row>
    <row r="12" spans="1:39" x14ac:dyDescent="0.25">
      <c r="K12" s="142"/>
      <c r="M12" s="142"/>
    </row>
    <row r="13" spans="1:39" x14ac:dyDescent="0.25">
      <c r="K13" s="142"/>
      <c r="M13" s="142"/>
    </row>
    <row r="14" spans="1:39" x14ac:dyDescent="0.25">
      <c r="K14" s="142"/>
      <c r="M14" s="142"/>
    </row>
    <row r="15" spans="1:39" x14ac:dyDescent="0.25">
      <c r="K15" s="142"/>
      <c r="M15" s="142"/>
    </row>
    <row r="16" spans="1:39" x14ac:dyDescent="0.25">
      <c r="K16" s="142"/>
      <c r="M16" s="142"/>
    </row>
    <row r="17" spans="11:13" ht="14.25" customHeight="1" x14ac:dyDescent="0.25">
      <c r="K17" s="142"/>
      <c r="M17" s="142"/>
    </row>
    <row r="18" spans="11:13" x14ac:dyDescent="0.25">
      <c r="K18" s="142"/>
      <c r="M18" s="142"/>
    </row>
    <row r="19" spans="11:13" x14ac:dyDescent="0.25">
      <c r="K19" s="142"/>
      <c r="M19" s="142"/>
    </row>
    <row r="20" spans="11:13" x14ac:dyDescent="0.25">
      <c r="K20" s="142"/>
      <c r="M20" s="142"/>
    </row>
    <row r="21" spans="11:13" x14ac:dyDescent="0.25">
      <c r="K21" s="142"/>
      <c r="M21" s="142"/>
    </row>
    <row r="22" spans="11:13" x14ac:dyDescent="0.25">
      <c r="K22" s="142"/>
      <c r="M22" s="142"/>
    </row>
    <row r="23" spans="11:13" x14ac:dyDescent="0.25">
      <c r="K23" s="142"/>
      <c r="M23" s="142"/>
    </row>
    <row r="24" spans="11:13" x14ac:dyDescent="0.25">
      <c r="K24" s="142"/>
      <c r="M24" s="142"/>
    </row>
    <row r="25" spans="11:13" x14ac:dyDescent="0.25">
      <c r="K25" s="142"/>
      <c r="M25" s="142"/>
    </row>
    <row r="26" spans="11:13" x14ac:dyDescent="0.25">
      <c r="K26" s="142"/>
      <c r="M26" s="142"/>
    </row>
    <row r="27" spans="11:13" x14ac:dyDescent="0.25">
      <c r="K27" s="142"/>
      <c r="M27" s="142"/>
    </row>
    <row r="28" spans="11:13" x14ac:dyDescent="0.25">
      <c r="K28" s="142"/>
      <c r="M28" s="142"/>
    </row>
    <row r="29" spans="11:13" x14ac:dyDescent="0.25">
      <c r="K29" s="142"/>
      <c r="M29" s="142"/>
    </row>
    <row r="30" spans="11:13" x14ac:dyDescent="0.25">
      <c r="K30" s="142"/>
      <c r="M30" s="142"/>
    </row>
    <row r="31" spans="11:13" x14ac:dyDescent="0.25">
      <c r="K31" s="142"/>
      <c r="M31" s="142"/>
    </row>
    <row r="32" spans="11:13" x14ac:dyDescent="0.25">
      <c r="K32" s="142"/>
      <c r="M32" s="142"/>
    </row>
    <row r="33" spans="11:13" x14ac:dyDescent="0.25">
      <c r="K33" s="142"/>
      <c r="M33" s="142"/>
    </row>
    <row r="34" spans="11:13" x14ac:dyDescent="0.25">
      <c r="K34" s="142"/>
      <c r="M34" s="142"/>
    </row>
    <row r="35" spans="11:13" x14ac:dyDescent="0.25">
      <c r="K35" s="142"/>
      <c r="M35" s="142"/>
    </row>
    <row r="36" spans="11:13" x14ac:dyDescent="0.25">
      <c r="K36" s="142"/>
      <c r="M36" s="142"/>
    </row>
    <row r="37" spans="11:13" x14ac:dyDescent="0.25">
      <c r="K37" s="142"/>
      <c r="M37" s="142"/>
    </row>
    <row r="38" spans="11:13" x14ac:dyDescent="0.25">
      <c r="K38" s="142"/>
      <c r="M38" s="142"/>
    </row>
    <row r="39" spans="11:13" x14ac:dyDescent="0.25">
      <c r="K39" s="142"/>
      <c r="M39" s="142"/>
    </row>
    <row r="40" spans="11:13" x14ac:dyDescent="0.25">
      <c r="K40" s="142"/>
      <c r="M40" s="142"/>
    </row>
    <row r="41" spans="11:13" x14ac:dyDescent="0.25">
      <c r="K41" s="142"/>
      <c r="M41" s="142"/>
    </row>
    <row r="42" spans="11:13" x14ac:dyDescent="0.25">
      <c r="K42" s="142"/>
      <c r="M42" s="142"/>
    </row>
    <row r="43" spans="11:13" x14ac:dyDescent="0.25">
      <c r="K43" s="142"/>
      <c r="M43" s="142"/>
    </row>
    <row r="44" spans="11:13" x14ac:dyDescent="0.25">
      <c r="K44" s="142"/>
      <c r="M44" s="142"/>
    </row>
    <row r="45" spans="11:13" x14ac:dyDescent="0.25">
      <c r="K45" s="142"/>
      <c r="M45" s="142"/>
    </row>
    <row r="46" spans="11:13" x14ac:dyDescent="0.25">
      <c r="K46" s="142"/>
      <c r="M46" s="142"/>
    </row>
    <row r="47" spans="11:13" x14ac:dyDescent="0.25">
      <c r="K47" s="142"/>
      <c r="M47" s="142"/>
    </row>
    <row r="48" spans="11:13" x14ac:dyDescent="0.25">
      <c r="K48" s="142"/>
      <c r="M48" s="142"/>
    </row>
    <row r="49" spans="11:13" x14ac:dyDescent="0.25">
      <c r="K49" s="142"/>
      <c r="M49" s="142"/>
    </row>
    <row r="50" spans="11:13" x14ac:dyDescent="0.25">
      <c r="K50" s="142"/>
      <c r="M50" s="142"/>
    </row>
    <row r="51" spans="11:13" x14ac:dyDescent="0.25">
      <c r="K51" s="142"/>
      <c r="M51" s="142"/>
    </row>
    <row r="52" spans="11:13" x14ac:dyDescent="0.25">
      <c r="K52" s="142"/>
      <c r="M52" s="142"/>
    </row>
    <row r="53" spans="11:13" x14ac:dyDescent="0.25">
      <c r="K53" s="142"/>
      <c r="M53" s="142"/>
    </row>
    <row r="54" spans="11:13" x14ac:dyDescent="0.25">
      <c r="K54" s="142"/>
      <c r="M54" s="142"/>
    </row>
    <row r="55" spans="11:13" x14ac:dyDescent="0.25">
      <c r="K55" s="142"/>
      <c r="M55" s="142"/>
    </row>
    <row r="56" spans="11:13" x14ac:dyDescent="0.25">
      <c r="K56" s="142"/>
      <c r="M56" s="142"/>
    </row>
    <row r="57" spans="11:13" x14ac:dyDescent="0.25">
      <c r="K57" s="142"/>
      <c r="M57" s="142"/>
    </row>
    <row r="58" spans="11:13" x14ac:dyDescent="0.25">
      <c r="K58" s="142"/>
      <c r="M58" s="142"/>
    </row>
    <row r="59" spans="11:13" x14ac:dyDescent="0.25">
      <c r="K59" s="142"/>
      <c r="M59" s="142"/>
    </row>
    <row r="60" spans="11:13" x14ac:dyDescent="0.25">
      <c r="K60" s="142"/>
      <c r="M60" s="142"/>
    </row>
    <row r="61" spans="11:13" x14ac:dyDescent="0.25">
      <c r="K61" s="142"/>
      <c r="M61" s="142"/>
    </row>
    <row r="62" spans="11:13" x14ac:dyDescent="0.25">
      <c r="K62" s="142"/>
      <c r="M62" s="142"/>
    </row>
    <row r="63" spans="11:13" x14ac:dyDescent="0.25">
      <c r="K63" s="142"/>
      <c r="M63" s="142"/>
    </row>
    <row r="64" spans="11:13" x14ac:dyDescent="0.25">
      <c r="K64" s="142"/>
      <c r="M64" s="142"/>
    </row>
    <row r="65" spans="11:13" x14ac:dyDescent="0.25">
      <c r="K65" s="142"/>
      <c r="M65" s="142"/>
    </row>
    <row r="66" spans="11:13" x14ac:dyDescent="0.25">
      <c r="K66" s="142"/>
      <c r="M66" s="142"/>
    </row>
    <row r="67" spans="11:13" x14ac:dyDescent="0.25">
      <c r="K67" s="142"/>
      <c r="M67" s="142"/>
    </row>
    <row r="68" spans="11:13" x14ac:dyDescent="0.25">
      <c r="K68" s="142"/>
      <c r="M68" s="142"/>
    </row>
    <row r="69" spans="11:13" x14ac:dyDescent="0.25">
      <c r="K69" s="142"/>
      <c r="M69" s="142"/>
    </row>
    <row r="70" spans="11:13" x14ac:dyDescent="0.25">
      <c r="K70" s="142"/>
      <c r="M70" s="142"/>
    </row>
    <row r="71" spans="11:13" x14ac:dyDescent="0.25">
      <c r="K71" s="142"/>
      <c r="M71" s="142"/>
    </row>
    <row r="72" spans="11:13" x14ac:dyDescent="0.25">
      <c r="K72" s="142"/>
      <c r="M72" s="142"/>
    </row>
    <row r="73" spans="11:13" x14ac:dyDescent="0.25">
      <c r="K73" s="142"/>
      <c r="M73" s="142"/>
    </row>
    <row r="74" spans="11:13" x14ac:dyDescent="0.25">
      <c r="K74" s="142"/>
      <c r="M74" s="142"/>
    </row>
    <row r="75" spans="11:13" x14ac:dyDescent="0.25">
      <c r="K75" s="142"/>
      <c r="M75" s="142"/>
    </row>
    <row r="76" spans="11:13" x14ac:dyDescent="0.25">
      <c r="K76" s="142"/>
      <c r="M76" s="142"/>
    </row>
    <row r="77" spans="11:13" x14ac:dyDescent="0.25">
      <c r="K77" s="142"/>
      <c r="M77" s="142"/>
    </row>
    <row r="78" spans="11:13" x14ac:dyDescent="0.25">
      <c r="K78" s="142"/>
      <c r="M78" s="142"/>
    </row>
    <row r="79" spans="11:13" x14ac:dyDescent="0.25">
      <c r="K79" s="142"/>
      <c r="M79" s="142"/>
    </row>
    <row r="80" spans="11:13" x14ac:dyDescent="0.25">
      <c r="K80" s="142"/>
      <c r="M80" s="142"/>
    </row>
    <row r="81" spans="11:13" x14ac:dyDescent="0.25">
      <c r="K81" s="142"/>
      <c r="M81" s="142"/>
    </row>
    <row r="82" spans="11:13" x14ac:dyDescent="0.25">
      <c r="K82" s="142"/>
      <c r="M82" s="142"/>
    </row>
    <row r="83" spans="11:13" x14ac:dyDescent="0.25">
      <c r="K83" s="142"/>
      <c r="M83" s="142"/>
    </row>
    <row r="84" spans="11:13" x14ac:dyDescent="0.25">
      <c r="K84" s="142"/>
      <c r="M84" s="142"/>
    </row>
    <row r="85" spans="11:13" x14ac:dyDescent="0.25">
      <c r="K85" s="142"/>
      <c r="M85" s="142"/>
    </row>
    <row r="86" spans="11:13" x14ac:dyDescent="0.25">
      <c r="K86" s="142"/>
      <c r="M86" s="142"/>
    </row>
    <row r="87" spans="11:13" x14ac:dyDescent="0.25">
      <c r="K87" s="142"/>
      <c r="M87" s="142"/>
    </row>
    <row r="88" spans="11:13" x14ac:dyDescent="0.25">
      <c r="K88" s="142"/>
      <c r="M88" s="142"/>
    </row>
    <row r="89" spans="11:13" x14ac:dyDescent="0.25">
      <c r="K89" s="142"/>
      <c r="M89" s="142"/>
    </row>
    <row r="90" spans="11:13" x14ac:dyDescent="0.25">
      <c r="K90" s="142"/>
      <c r="M90" s="142"/>
    </row>
    <row r="91" spans="11:13" x14ac:dyDescent="0.25">
      <c r="K91" s="142"/>
      <c r="M91" s="142"/>
    </row>
    <row r="92" spans="11:13" x14ac:dyDescent="0.25">
      <c r="K92" s="142"/>
      <c r="M92" s="142"/>
    </row>
    <row r="93" spans="11:13" x14ac:dyDescent="0.25">
      <c r="K93" s="142"/>
      <c r="M93" s="142"/>
    </row>
    <row r="94" spans="11:13" x14ac:dyDescent="0.25">
      <c r="K94" s="142"/>
      <c r="M94" s="142"/>
    </row>
    <row r="95" spans="11:13" x14ac:dyDescent="0.25">
      <c r="K95" s="142"/>
      <c r="M95" s="142"/>
    </row>
    <row r="96" spans="11:13" x14ac:dyDescent="0.25">
      <c r="K96" s="142"/>
      <c r="M96" s="142"/>
    </row>
    <row r="97" spans="11:13" x14ac:dyDescent="0.25">
      <c r="K97" s="142"/>
      <c r="M97" s="142"/>
    </row>
    <row r="98" spans="11:13" x14ac:dyDescent="0.25">
      <c r="K98" s="142"/>
      <c r="M98" s="142"/>
    </row>
    <row r="99" spans="11:13" x14ac:dyDescent="0.25">
      <c r="K99" s="142"/>
      <c r="M99" s="142"/>
    </row>
    <row r="100" spans="11:13" x14ac:dyDescent="0.25">
      <c r="K100" s="142"/>
      <c r="M100" s="142"/>
    </row>
    <row r="101" spans="11:13" x14ac:dyDescent="0.25">
      <c r="K101" s="142"/>
      <c r="M101" s="142"/>
    </row>
    <row r="102" spans="11:13" x14ac:dyDescent="0.25">
      <c r="K102" s="142"/>
      <c r="M102" s="142"/>
    </row>
    <row r="103" spans="11:13" x14ac:dyDescent="0.25">
      <c r="K103" s="142"/>
      <c r="M103" s="142"/>
    </row>
    <row r="104" spans="11:13" x14ac:dyDescent="0.25">
      <c r="K104" s="142"/>
      <c r="M104" s="142"/>
    </row>
    <row r="105" spans="11:13" x14ac:dyDescent="0.25">
      <c r="K105" s="142"/>
      <c r="M105" s="142"/>
    </row>
    <row r="106" spans="11:13" x14ac:dyDescent="0.25">
      <c r="K106" s="142"/>
      <c r="M106" s="142"/>
    </row>
    <row r="107" spans="11:13" x14ac:dyDescent="0.25">
      <c r="K107" s="142"/>
      <c r="M107" s="142"/>
    </row>
    <row r="108" spans="11:13" x14ac:dyDescent="0.25">
      <c r="K108" s="142"/>
      <c r="M108" s="142"/>
    </row>
    <row r="109" spans="11:13" x14ac:dyDescent="0.25">
      <c r="K109" s="142"/>
      <c r="M109" s="142"/>
    </row>
    <row r="110" spans="11:13" x14ac:dyDescent="0.25">
      <c r="K110" s="142"/>
      <c r="M110" s="142"/>
    </row>
    <row r="111" spans="11:13" x14ac:dyDescent="0.25">
      <c r="K111" s="142"/>
      <c r="M111" s="142"/>
    </row>
    <row r="112" spans="11:13" x14ac:dyDescent="0.25">
      <c r="K112" s="142"/>
      <c r="M112" s="142"/>
    </row>
    <row r="113" spans="11:13" x14ac:dyDescent="0.25">
      <c r="K113" s="142"/>
      <c r="M113" s="142"/>
    </row>
    <row r="114" spans="11:13" x14ac:dyDescent="0.25">
      <c r="K114" s="142"/>
      <c r="M114" s="142"/>
    </row>
    <row r="115" spans="11:13" x14ac:dyDescent="0.25">
      <c r="K115" s="142"/>
      <c r="M115" s="142"/>
    </row>
    <row r="116" spans="11:13" x14ac:dyDescent="0.25">
      <c r="K116" s="142"/>
      <c r="M116" s="142"/>
    </row>
    <row r="117" spans="11:13" x14ac:dyDescent="0.25">
      <c r="K117" s="142"/>
      <c r="M117" s="142"/>
    </row>
    <row r="118" spans="11:13" x14ac:dyDescent="0.25">
      <c r="K118" s="142"/>
      <c r="M118" s="142"/>
    </row>
    <row r="119" spans="11:13" x14ac:dyDescent="0.25">
      <c r="K119" s="142"/>
      <c r="M119" s="142"/>
    </row>
    <row r="120" spans="11:13" x14ac:dyDescent="0.25">
      <c r="K120" s="142"/>
      <c r="M120" s="142"/>
    </row>
    <row r="121" spans="11:13" x14ac:dyDescent="0.25">
      <c r="K121" s="142"/>
      <c r="M121" s="142"/>
    </row>
    <row r="122" spans="11:13" x14ac:dyDescent="0.25">
      <c r="K122" s="142"/>
      <c r="M122" s="142"/>
    </row>
    <row r="123" spans="11:13" x14ac:dyDescent="0.25">
      <c r="K123" s="142"/>
      <c r="M123" s="142"/>
    </row>
    <row r="124" spans="11:13" x14ac:dyDescent="0.25">
      <c r="K124" s="142"/>
      <c r="M124" s="142"/>
    </row>
    <row r="125" spans="11:13" x14ac:dyDescent="0.25">
      <c r="K125" s="142"/>
      <c r="M125" s="142"/>
    </row>
    <row r="126" spans="11:13" x14ac:dyDescent="0.25">
      <c r="K126" s="142"/>
      <c r="M126" s="142"/>
    </row>
    <row r="127" spans="11:13" x14ac:dyDescent="0.25">
      <c r="K127" s="142"/>
      <c r="M127" s="142"/>
    </row>
    <row r="128" spans="11:13" x14ac:dyDescent="0.25">
      <c r="K128" s="142"/>
      <c r="M128" s="142"/>
    </row>
    <row r="129" spans="11:13" x14ac:dyDescent="0.25">
      <c r="K129" s="142"/>
      <c r="M129" s="142"/>
    </row>
    <row r="130" spans="11:13" x14ac:dyDescent="0.25">
      <c r="K130" s="142"/>
      <c r="M130" s="142"/>
    </row>
    <row r="131" spans="11:13" x14ac:dyDescent="0.25">
      <c r="K131" s="142"/>
      <c r="M131" s="142"/>
    </row>
    <row r="132" spans="11:13" x14ac:dyDescent="0.25">
      <c r="K132" s="142"/>
      <c r="M132" s="142"/>
    </row>
    <row r="133" spans="11:13" x14ac:dyDescent="0.25">
      <c r="K133" s="142"/>
      <c r="M133" s="142"/>
    </row>
    <row r="134" spans="11:13" x14ac:dyDescent="0.25">
      <c r="K134" s="142"/>
      <c r="M134" s="142"/>
    </row>
    <row r="135" spans="11:13" x14ac:dyDescent="0.25">
      <c r="K135" s="142"/>
      <c r="M135" s="142"/>
    </row>
    <row r="136" spans="11:13" x14ac:dyDescent="0.25">
      <c r="K136" s="142"/>
      <c r="M136" s="142"/>
    </row>
    <row r="137" spans="11:13" x14ac:dyDescent="0.25">
      <c r="K137" s="142"/>
      <c r="M137" s="142"/>
    </row>
    <row r="138" spans="11:13" x14ac:dyDescent="0.25">
      <c r="K138" s="142"/>
      <c r="M138" s="142"/>
    </row>
    <row r="139" spans="11:13" x14ac:dyDescent="0.25">
      <c r="K139" s="142"/>
      <c r="M139" s="142"/>
    </row>
    <row r="140" spans="11:13" x14ac:dyDescent="0.25">
      <c r="K140" s="142"/>
      <c r="M140" s="142"/>
    </row>
    <row r="141" spans="11:13" x14ac:dyDescent="0.25">
      <c r="K141" s="142"/>
      <c r="M141" s="142"/>
    </row>
    <row r="142" spans="11:13" x14ac:dyDescent="0.25">
      <c r="K142" s="142"/>
      <c r="M142" s="142"/>
    </row>
    <row r="143" spans="11:13" x14ac:dyDescent="0.25">
      <c r="K143" s="142"/>
      <c r="M143" s="142"/>
    </row>
    <row r="144" spans="11:13" x14ac:dyDescent="0.25">
      <c r="K144" s="142"/>
      <c r="M144" s="142"/>
    </row>
    <row r="145" spans="11:13" x14ac:dyDescent="0.25">
      <c r="K145" s="142"/>
      <c r="M145" s="142"/>
    </row>
    <row r="146" spans="11:13" x14ac:dyDescent="0.25">
      <c r="K146" s="142"/>
      <c r="M146" s="142"/>
    </row>
    <row r="147" spans="11:13" x14ac:dyDescent="0.25">
      <c r="K147" s="142"/>
      <c r="M147" s="142"/>
    </row>
    <row r="148" spans="11:13" x14ac:dyDescent="0.25">
      <c r="K148" s="142"/>
      <c r="M148" s="142"/>
    </row>
    <row r="149" spans="11:13" x14ac:dyDescent="0.25">
      <c r="K149" s="142"/>
      <c r="M149" s="142"/>
    </row>
    <row r="150" spans="11:13" x14ac:dyDescent="0.25">
      <c r="K150" s="142"/>
      <c r="M150" s="142"/>
    </row>
    <row r="151" spans="11:13" x14ac:dyDescent="0.25">
      <c r="K151" s="142"/>
      <c r="M151" s="142"/>
    </row>
    <row r="152" spans="11:13" x14ac:dyDescent="0.25">
      <c r="K152" s="142"/>
      <c r="M152" s="142"/>
    </row>
    <row r="153" spans="11:13" x14ac:dyDescent="0.25">
      <c r="K153" s="142"/>
      <c r="M153" s="142"/>
    </row>
    <row r="154" spans="11:13" x14ac:dyDescent="0.25">
      <c r="K154" s="142"/>
      <c r="M154" s="142"/>
    </row>
    <row r="155" spans="11:13" x14ac:dyDescent="0.25">
      <c r="K155" s="142"/>
      <c r="M155" s="142"/>
    </row>
    <row r="156" spans="11:13" x14ac:dyDescent="0.25">
      <c r="K156" s="142"/>
      <c r="M156" s="142"/>
    </row>
    <row r="157" spans="11:13" x14ac:dyDescent="0.25">
      <c r="K157" s="142"/>
      <c r="M157" s="142"/>
    </row>
    <row r="158" spans="11:13" x14ac:dyDescent="0.25">
      <c r="K158" s="142"/>
      <c r="M158" s="142"/>
    </row>
    <row r="159" spans="11:13" x14ac:dyDescent="0.25">
      <c r="K159" s="142"/>
      <c r="M159" s="142"/>
    </row>
    <row r="160" spans="11:13" x14ac:dyDescent="0.25">
      <c r="K160" s="142"/>
      <c r="M160" s="142"/>
    </row>
    <row r="161" spans="11:13" x14ac:dyDescent="0.25">
      <c r="K161" s="142"/>
      <c r="M161" s="142"/>
    </row>
    <row r="162" spans="11:13" x14ac:dyDescent="0.25">
      <c r="K162" s="142"/>
      <c r="M162" s="142"/>
    </row>
    <row r="163" spans="11:13" x14ac:dyDescent="0.25">
      <c r="K163" s="142"/>
      <c r="M163" s="142"/>
    </row>
    <row r="164" spans="11:13" x14ac:dyDescent="0.25">
      <c r="K164" s="142"/>
      <c r="M164" s="142"/>
    </row>
    <row r="165" spans="11:13" x14ac:dyDescent="0.25">
      <c r="K165" s="142"/>
      <c r="M165" s="142"/>
    </row>
    <row r="166" spans="11:13" x14ac:dyDescent="0.25">
      <c r="K166" s="142"/>
      <c r="M166" s="142"/>
    </row>
    <row r="167" spans="11:13" x14ac:dyDescent="0.25">
      <c r="K167" s="142"/>
      <c r="M167" s="142"/>
    </row>
    <row r="168" spans="11:13" x14ac:dyDescent="0.25">
      <c r="K168" s="142"/>
      <c r="M168" s="142"/>
    </row>
    <row r="169" spans="11:13" x14ac:dyDescent="0.25">
      <c r="K169" s="142"/>
      <c r="M169" s="142"/>
    </row>
    <row r="170" spans="11:13" x14ac:dyDescent="0.25">
      <c r="K170" s="142"/>
      <c r="M170" s="142"/>
    </row>
    <row r="171" spans="11:13" x14ac:dyDescent="0.25">
      <c r="K171" s="142"/>
      <c r="M171" s="142"/>
    </row>
    <row r="172" spans="11:13" x14ac:dyDescent="0.25">
      <c r="K172" s="142"/>
      <c r="M172" s="142"/>
    </row>
    <row r="173" spans="11:13" x14ac:dyDescent="0.25">
      <c r="K173" s="142"/>
      <c r="M173" s="142"/>
    </row>
    <row r="174" spans="11:13" x14ac:dyDescent="0.25">
      <c r="K174" s="142"/>
      <c r="M174" s="142"/>
    </row>
    <row r="175" spans="11:13" x14ac:dyDescent="0.25">
      <c r="K175" s="142"/>
      <c r="M175" s="142"/>
    </row>
    <row r="176" spans="11:13" x14ac:dyDescent="0.25">
      <c r="K176" s="142"/>
      <c r="M176" s="142"/>
    </row>
    <row r="177" spans="11:13" x14ac:dyDescent="0.25">
      <c r="K177" s="142"/>
      <c r="M177" s="142"/>
    </row>
    <row r="178" spans="11:13" x14ac:dyDescent="0.25">
      <c r="K178" s="142"/>
      <c r="M178" s="142"/>
    </row>
    <row r="179" spans="11:13" x14ac:dyDescent="0.25">
      <c r="K179" s="142"/>
      <c r="M179" s="142"/>
    </row>
    <row r="180" spans="11:13" x14ac:dyDescent="0.25">
      <c r="K180" s="142"/>
      <c r="M180" s="142"/>
    </row>
    <row r="181" spans="11:13" x14ac:dyDescent="0.25">
      <c r="K181" s="142"/>
      <c r="M181" s="142"/>
    </row>
    <row r="182" spans="11:13" x14ac:dyDescent="0.25">
      <c r="K182" s="142"/>
      <c r="M182" s="142"/>
    </row>
    <row r="183" spans="11:13" x14ac:dyDescent="0.25">
      <c r="K183" s="142"/>
      <c r="M183" s="142"/>
    </row>
    <row r="184" spans="11:13" x14ac:dyDescent="0.25">
      <c r="K184" s="142"/>
      <c r="M184" s="142"/>
    </row>
    <row r="185" spans="11:13" x14ac:dyDescent="0.25">
      <c r="K185" s="142"/>
      <c r="M185" s="142"/>
    </row>
    <row r="186" spans="11:13" x14ac:dyDescent="0.25">
      <c r="K186" s="142"/>
      <c r="M186" s="142"/>
    </row>
    <row r="187" spans="11:13" x14ac:dyDescent="0.25">
      <c r="K187" s="142"/>
      <c r="M187" s="142"/>
    </row>
    <row r="188" spans="11:13" x14ac:dyDescent="0.25">
      <c r="K188" s="142"/>
      <c r="M188" s="142"/>
    </row>
    <row r="189" spans="11:13" x14ac:dyDescent="0.25">
      <c r="K189" s="142"/>
      <c r="M189" s="142"/>
    </row>
    <row r="190" spans="11:13" x14ac:dyDescent="0.25">
      <c r="K190" s="142"/>
      <c r="M190" s="142"/>
    </row>
    <row r="191" spans="11:13" x14ac:dyDescent="0.25">
      <c r="K191" s="142"/>
      <c r="M191" s="142"/>
    </row>
    <row r="192" spans="11:13" x14ac:dyDescent="0.25">
      <c r="K192" s="142"/>
      <c r="M192" s="142"/>
    </row>
    <row r="193" spans="11:13" x14ac:dyDescent="0.25">
      <c r="K193" s="142"/>
      <c r="M193" s="142"/>
    </row>
    <row r="194" spans="11:13" x14ac:dyDescent="0.25">
      <c r="K194" s="142"/>
      <c r="M194" s="142"/>
    </row>
    <row r="195" spans="11:13" x14ac:dyDescent="0.25">
      <c r="K195" s="142"/>
      <c r="M195" s="142"/>
    </row>
    <row r="196" spans="11:13" x14ac:dyDescent="0.25">
      <c r="K196" s="142"/>
      <c r="M196" s="142"/>
    </row>
    <row r="197" spans="11:13" x14ac:dyDescent="0.25">
      <c r="K197" s="142"/>
      <c r="M197" s="142"/>
    </row>
    <row r="198" spans="11:13" x14ac:dyDescent="0.25">
      <c r="K198" s="142"/>
      <c r="M198" s="142"/>
    </row>
    <row r="199" spans="11:13" x14ac:dyDescent="0.25">
      <c r="K199" s="142"/>
      <c r="M199" s="142"/>
    </row>
    <row r="200" spans="11:13" x14ac:dyDescent="0.25">
      <c r="K200" s="142"/>
      <c r="M200" s="142"/>
    </row>
    <row r="201" spans="11:13" x14ac:dyDescent="0.25">
      <c r="K201" s="142"/>
      <c r="M201" s="142"/>
    </row>
    <row r="202" spans="11:13" x14ac:dyDescent="0.25">
      <c r="K202" s="142"/>
      <c r="M202" s="142"/>
    </row>
    <row r="203" spans="11:13" x14ac:dyDescent="0.25">
      <c r="K203" s="142"/>
      <c r="M203" s="142"/>
    </row>
    <row r="204" spans="11:13" x14ac:dyDescent="0.25">
      <c r="K204" s="142"/>
      <c r="M204" s="142"/>
    </row>
    <row r="205" spans="11:13" x14ac:dyDescent="0.25">
      <c r="K205" s="142"/>
      <c r="M205" s="142"/>
    </row>
    <row r="206" spans="11:13" x14ac:dyDescent="0.25">
      <c r="K206" s="142"/>
      <c r="M206" s="142"/>
    </row>
    <row r="207" spans="11:13" x14ac:dyDescent="0.25">
      <c r="K207" s="142"/>
      <c r="M207" s="142"/>
    </row>
    <row r="208" spans="11:13" x14ac:dyDescent="0.25">
      <c r="K208" s="142"/>
      <c r="M208" s="142"/>
    </row>
    <row r="209" spans="11:13" x14ac:dyDescent="0.25">
      <c r="K209" s="142"/>
      <c r="M209" s="142"/>
    </row>
    <row r="210" spans="11:13" x14ac:dyDescent="0.25">
      <c r="K210" s="142"/>
      <c r="M210" s="142"/>
    </row>
    <row r="211" spans="11:13" x14ac:dyDescent="0.25">
      <c r="K211" s="142"/>
      <c r="M211" s="142"/>
    </row>
    <row r="212" spans="11:13" x14ac:dyDescent="0.25">
      <c r="K212" s="142"/>
      <c r="M212" s="142"/>
    </row>
    <row r="213" spans="11:13" x14ac:dyDescent="0.25">
      <c r="K213" s="142"/>
      <c r="M213" s="142"/>
    </row>
    <row r="214" spans="11:13" x14ac:dyDescent="0.25">
      <c r="K214" s="142"/>
      <c r="M214" s="142"/>
    </row>
    <row r="215" spans="11:13" x14ac:dyDescent="0.25">
      <c r="K215" s="142"/>
      <c r="M215" s="142"/>
    </row>
    <row r="216" spans="11:13" x14ac:dyDescent="0.25">
      <c r="K216" s="142"/>
      <c r="M216" s="142"/>
    </row>
    <row r="217" spans="11:13" x14ac:dyDescent="0.25">
      <c r="K217" s="142"/>
      <c r="M217" s="142"/>
    </row>
    <row r="218" spans="11:13" x14ac:dyDescent="0.25">
      <c r="K218" s="142"/>
      <c r="M218" s="142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M233"/>
  <sheetViews>
    <sheetView workbookViewId="0">
      <selection activeCell="H27" sqref="H27"/>
    </sheetView>
  </sheetViews>
  <sheetFormatPr defaultRowHeight="13.2" x14ac:dyDescent="0.25"/>
  <sheetData>
    <row r="1" spans="1:39" x14ac:dyDescent="0.25">
      <c r="A1" t="s">
        <v>197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  <c r="P1" t="s">
        <v>212</v>
      </c>
      <c r="Q1" t="s">
        <v>213</v>
      </c>
      <c r="R1" t="s">
        <v>214</v>
      </c>
      <c r="S1" t="s">
        <v>215</v>
      </c>
      <c r="T1" t="s">
        <v>216</v>
      </c>
      <c r="U1" t="s">
        <v>217</v>
      </c>
      <c r="V1" t="s">
        <v>218</v>
      </c>
      <c r="W1" t="s">
        <v>219</v>
      </c>
      <c r="X1" t="s">
        <v>220</v>
      </c>
      <c r="Y1" t="s">
        <v>221</v>
      </c>
      <c r="Z1" t="s">
        <v>222</v>
      </c>
      <c r="AA1" t="s">
        <v>223</v>
      </c>
      <c r="AB1" t="s">
        <v>224</v>
      </c>
      <c r="AC1" t="s">
        <v>225</v>
      </c>
      <c r="AD1" t="s">
        <v>226</v>
      </c>
      <c r="AE1" t="s">
        <v>227</v>
      </c>
      <c r="AF1" t="s">
        <v>228</v>
      </c>
      <c r="AG1" t="s">
        <v>229</v>
      </c>
      <c r="AH1" t="s">
        <v>230</v>
      </c>
      <c r="AI1" t="s">
        <v>231</v>
      </c>
      <c r="AJ1" t="s">
        <v>232</v>
      </c>
      <c r="AK1" t="s">
        <v>233</v>
      </c>
      <c r="AL1" t="s">
        <v>234</v>
      </c>
      <c r="AM1" t="s">
        <v>235</v>
      </c>
    </row>
    <row r="2" spans="1:39" x14ac:dyDescent="0.25">
      <c r="K2" s="142"/>
      <c r="M2" s="142"/>
      <c r="N2" s="335"/>
    </row>
    <row r="3" spans="1:39" x14ac:dyDescent="0.25">
      <c r="K3" s="142"/>
      <c r="M3" s="142"/>
      <c r="N3" s="335"/>
    </row>
    <row r="4" spans="1:39" x14ac:dyDescent="0.25">
      <c r="K4" s="142"/>
      <c r="M4" s="142"/>
      <c r="N4" s="335"/>
    </row>
    <row r="5" spans="1:39" x14ac:dyDescent="0.25">
      <c r="K5" s="142"/>
      <c r="M5" s="142"/>
      <c r="N5" s="335"/>
    </row>
    <row r="6" spans="1:39" x14ac:dyDescent="0.25">
      <c r="K6" s="142"/>
      <c r="M6" s="142"/>
      <c r="N6" s="335"/>
    </row>
    <row r="7" spans="1:39" x14ac:dyDescent="0.25">
      <c r="K7" s="142"/>
      <c r="M7" s="142"/>
      <c r="N7" s="335"/>
    </row>
    <row r="8" spans="1:39" x14ac:dyDescent="0.25">
      <c r="K8" s="142"/>
      <c r="M8" s="142"/>
      <c r="N8" s="335"/>
    </row>
    <row r="9" spans="1:39" x14ac:dyDescent="0.25">
      <c r="K9" s="142"/>
      <c r="M9" s="142"/>
      <c r="N9" s="335"/>
    </row>
    <row r="10" spans="1:39" x14ac:dyDescent="0.25">
      <c r="K10" s="142"/>
      <c r="M10" s="142"/>
      <c r="N10" s="335"/>
    </row>
    <row r="11" spans="1:39" x14ac:dyDescent="0.25">
      <c r="K11" s="142"/>
      <c r="M11" s="142"/>
      <c r="N11" s="335"/>
    </row>
    <row r="12" spans="1:39" x14ac:dyDescent="0.25">
      <c r="K12" s="142"/>
      <c r="M12" s="142"/>
      <c r="N12" s="335"/>
    </row>
    <row r="13" spans="1:39" x14ac:dyDescent="0.25">
      <c r="K13" s="142"/>
      <c r="M13" s="142"/>
      <c r="N13" s="335"/>
    </row>
    <row r="14" spans="1:39" x14ac:dyDescent="0.25">
      <c r="K14" s="142"/>
      <c r="M14" s="142"/>
    </row>
    <row r="15" spans="1:39" x14ac:dyDescent="0.25">
      <c r="K15" s="142"/>
      <c r="M15" s="142"/>
    </row>
    <row r="16" spans="1:39" x14ac:dyDescent="0.25">
      <c r="K16" s="142"/>
      <c r="M16" s="142"/>
    </row>
    <row r="17" spans="11:13" x14ac:dyDescent="0.25">
      <c r="K17" s="142"/>
      <c r="M17" s="142"/>
    </row>
    <row r="18" spans="11:13" x14ac:dyDescent="0.25">
      <c r="K18" s="142"/>
      <c r="M18" s="142"/>
    </row>
    <row r="19" spans="11:13" x14ac:dyDescent="0.25">
      <c r="K19" s="142"/>
      <c r="M19" s="142"/>
    </row>
    <row r="20" spans="11:13" x14ac:dyDescent="0.25">
      <c r="K20" s="142"/>
      <c r="M20" s="142"/>
    </row>
    <row r="21" spans="11:13" x14ac:dyDescent="0.25">
      <c r="K21" s="142"/>
      <c r="M21" s="142"/>
    </row>
    <row r="22" spans="11:13" x14ac:dyDescent="0.25">
      <c r="K22" s="142"/>
      <c r="M22" s="142"/>
    </row>
    <row r="23" spans="11:13" x14ac:dyDescent="0.25">
      <c r="K23" s="142"/>
      <c r="M23" s="142"/>
    </row>
    <row r="24" spans="11:13" x14ac:dyDescent="0.25">
      <c r="K24" s="142"/>
      <c r="M24" s="142"/>
    </row>
    <row r="25" spans="11:13" x14ac:dyDescent="0.25">
      <c r="K25" s="142"/>
      <c r="M25" s="142"/>
    </row>
    <row r="26" spans="11:13" x14ac:dyDescent="0.25">
      <c r="K26" s="142"/>
      <c r="M26" s="142"/>
    </row>
    <row r="27" spans="11:13" x14ac:dyDescent="0.25">
      <c r="K27" s="142"/>
      <c r="M27" s="142"/>
    </row>
    <row r="28" spans="11:13" x14ac:dyDescent="0.25">
      <c r="K28" s="142"/>
      <c r="M28" s="142"/>
    </row>
    <row r="29" spans="11:13" x14ac:dyDescent="0.25">
      <c r="K29" s="142"/>
      <c r="M29" s="142"/>
    </row>
    <row r="30" spans="11:13" x14ac:dyDescent="0.25">
      <c r="K30" s="142"/>
      <c r="M30" s="142"/>
    </row>
    <row r="31" spans="11:13" x14ac:dyDescent="0.25">
      <c r="K31" s="142"/>
      <c r="M31" s="142"/>
    </row>
    <row r="32" spans="11:13" x14ac:dyDescent="0.25">
      <c r="K32" s="142"/>
      <c r="M32" s="142"/>
    </row>
    <row r="33" spans="11:13" x14ac:dyDescent="0.25">
      <c r="K33" s="142"/>
      <c r="M33" s="142"/>
    </row>
    <row r="34" spans="11:13" x14ac:dyDescent="0.25">
      <c r="K34" s="142"/>
      <c r="M34" s="142"/>
    </row>
    <row r="35" spans="11:13" x14ac:dyDescent="0.25">
      <c r="K35" s="142"/>
      <c r="M35" s="142"/>
    </row>
    <row r="36" spans="11:13" x14ac:dyDescent="0.25">
      <c r="K36" s="142"/>
      <c r="M36" s="142"/>
    </row>
    <row r="37" spans="11:13" x14ac:dyDescent="0.25">
      <c r="K37" s="142"/>
      <c r="M37" s="142"/>
    </row>
    <row r="38" spans="11:13" x14ac:dyDescent="0.25">
      <c r="K38" s="142"/>
      <c r="M38" s="142"/>
    </row>
    <row r="39" spans="11:13" x14ac:dyDescent="0.25">
      <c r="K39" s="142"/>
      <c r="M39" s="142"/>
    </row>
    <row r="40" spans="11:13" x14ac:dyDescent="0.25">
      <c r="K40" s="142"/>
      <c r="M40" s="142"/>
    </row>
    <row r="41" spans="11:13" x14ac:dyDescent="0.25">
      <c r="K41" s="142"/>
      <c r="M41" s="142"/>
    </row>
    <row r="42" spans="11:13" x14ac:dyDescent="0.25">
      <c r="K42" s="142"/>
      <c r="M42" s="142"/>
    </row>
    <row r="43" spans="11:13" x14ac:dyDescent="0.25">
      <c r="K43" s="142"/>
      <c r="M43" s="142"/>
    </row>
    <row r="44" spans="11:13" x14ac:dyDescent="0.25">
      <c r="K44" s="142"/>
      <c r="M44" s="142"/>
    </row>
    <row r="45" spans="11:13" x14ac:dyDescent="0.25">
      <c r="K45" s="142"/>
      <c r="M45" s="142"/>
    </row>
    <row r="46" spans="11:13" x14ac:dyDescent="0.25">
      <c r="K46" s="142"/>
      <c r="M46" s="142"/>
    </row>
    <row r="47" spans="11:13" x14ac:dyDescent="0.25">
      <c r="K47" s="142"/>
      <c r="M47" s="142"/>
    </row>
    <row r="48" spans="11:13" x14ac:dyDescent="0.25">
      <c r="K48" s="142"/>
      <c r="M48" s="142"/>
    </row>
    <row r="49" spans="11:13" x14ac:dyDescent="0.25">
      <c r="K49" s="142"/>
      <c r="M49" s="142"/>
    </row>
    <row r="50" spans="11:13" x14ac:dyDescent="0.25">
      <c r="K50" s="142"/>
      <c r="M50" s="142"/>
    </row>
    <row r="51" spans="11:13" x14ac:dyDescent="0.25">
      <c r="K51" s="142"/>
      <c r="M51" s="142"/>
    </row>
    <row r="52" spans="11:13" x14ac:dyDescent="0.25">
      <c r="K52" s="142"/>
      <c r="M52" s="142"/>
    </row>
    <row r="53" spans="11:13" x14ac:dyDescent="0.25">
      <c r="K53" s="142"/>
      <c r="M53" s="142"/>
    </row>
    <row r="54" spans="11:13" x14ac:dyDescent="0.25">
      <c r="K54" s="142"/>
      <c r="M54" s="142"/>
    </row>
    <row r="55" spans="11:13" x14ac:dyDescent="0.25">
      <c r="K55" s="142"/>
      <c r="M55" s="142"/>
    </row>
    <row r="56" spans="11:13" x14ac:dyDescent="0.25">
      <c r="K56" s="142"/>
      <c r="M56" s="142"/>
    </row>
    <row r="57" spans="11:13" x14ac:dyDescent="0.25">
      <c r="K57" s="142"/>
      <c r="M57" s="142"/>
    </row>
    <row r="58" spans="11:13" x14ac:dyDescent="0.25">
      <c r="K58" s="142"/>
      <c r="M58" s="142"/>
    </row>
    <row r="59" spans="11:13" x14ac:dyDescent="0.25">
      <c r="K59" s="142"/>
      <c r="M59" s="142"/>
    </row>
    <row r="60" spans="11:13" x14ac:dyDescent="0.25">
      <c r="K60" s="142"/>
      <c r="M60" s="142"/>
    </row>
    <row r="61" spans="11:13" x14ac:dyDescent="0.25">
      <c r="K61" s="142"/>
      <c r="M61" s="142"/>
    </row>
    <row r="62" spans="11:13" x14ac:dyDescent="0.25">
      <c r="K62" s="142"/>
      <c r="M62" s="142"/>
    </row>
    <row r="63" spans="11:13" x14ac:dyDescent="0.25">
      <c r="K63" s="142"/>
      <c r="M63" s="142"/>
    </row>
    <row r="64" spans="11:13" x14ac:dyDescent="0.25">
      <c r="K64" s="142"/>
      <c r="M64" s="142"/>
    </row>
    <row r="65" spans="11:13" x14ac:dyDescent="0.25">
      <c r="K65" s="142"/>
      <c r="M65" s="142"/>
    </row>
    <row r="66" spans="11:13" x14ac:dyDescent="0.25">
      <c r="K66" s="142"/>
      <c r="M66" s="142"/>
    </row>
    <row r="67" spans="11:13" x14ac:dyDescent="0.25">
      <c r="K67" s="142"/>
      <c r="M67" s="142"/>
    </row>
    <row r="68" spans="11:13" x14ac:dyDescent="0.25">
      <c r="K68" s="142"/>
      <c r="M68" s="142"/>
    </row>
    <row r="69" spans="11:13" x14ac:dyDescent="0.25">
      <c r="K69" s="142"/>
      <c r="M69" s="142"/>
    </row>
    <row r="70" spans="11:13" x14ac:dyDescent="0.25">
      <c r="K70" s="142"/>
      <c r="M70" s="142"/>
    </row>
    <row r="71" spans="11:13" x14ac:dyDescent="0.25">
      <c r="K71" s="142"/>
      <c r="M71" s="142"/>
    </row>
    <row r="72" spans="11:13" x14ac:dyDescent="0.25">
      <c r="K72" s="142"/>
      <c r="M72" s="142"/>
    </row>
    <row r="73" spans="11:13" x14ac:dyDescent="0.25">
      <c r="K73" s="142"/>
      <c r="M73" s="142"/>
    </row>
    <row r="74" spans="11:13" x14ac:dyDescent="0.25">
      <c r="K74" s="142"/>
      <c r="M74" s="142"/>
    </row>
    <row r="75" spans="11:13" x14ac:dyDescent="0.25">
      <c r="K75" s="142"/>
      <c r="M75" s="142"/>
    </row>
    <row r="76" spans="11:13" x14ac:dyDescent="0.25">
      <c r="K76" s="142"/>
      <c r="M76" s="142"/>
    </row>
    <row r="77" spans="11:13" x14ac:dyDescent="0.25">
      <c r="K77" s="142"/>
      <c r="M77" s="142"/>
    </row>
    <row r="78" spans="11:13" x14ac:dyDescent="0.25">
      <c r="K78" s="142"/>
      <c r="M78" s="142"/>
    </row>
    <row r="79" spans="11:13" x14ac:dyDescent="0.25">
      <c r="K79" s="142"/>
      <c r="M79" s="142"/>
    </row>
    <row r="80" spans="11:13" x14ac:dyDescent="0.25">
      <c r="K80" s="142"/>
      <c r="M80" s="142"/>
    </row>
    <row r="81" spans="11:13" x14ac:dyDescent="0.25">
      <c r="K81" s="142"/>
      <c r="M81" s="142"/>
    </row>
    <row r="82" spans="11:13" x14ac:dyDescent="0.25">
      <c r="K82" s="142"/>
      <c r="M82" s="142"/>
    </row>
    <row r="83" spans="11:13" x14ac:dyDescent="0.25">
      <c r="K83" s="142"/>
      <c r="M83" s="142"/>
    </row>
    <row r="84" spans="11:13" x14ac:dyDescent="0.25">
      <c r="K84" s="142"/>
      <c r="M84" s="142"/>
    </row>
    <row r="85" spans="11:13" x14ac:dyDescent="0.25">
      <c r="K85" s="142"/>
      <c r="M85" s="142"/>
    </row>
    <row r="86" spans="11:13" x14ac:dyDescent="0.25">
      <c r="K86" s="142"/>
      <c r="M86" s="142"/>
    </row>
    <row r="87" spans="11:13" x14ac:dyDescent="0.25">
      <c r="K87" s="142"/>
      <c r="M87" s="142"/>
    </row>
    <row r="88" spans="11:13" x14ac:dyDescent="0.25">
      <c r="K88" s="142"/>
      <c r="M88" s="142"/>
    </row>
    <row r="89" spans="11:13" x14ac:dyDescent="0.25">
      <c r="K89" s="142"/>
      <c r="M89" s="142"/>
    </row>
    <row r="90" spans="11:13" x14ac:dyDescent="0.25">
      <c r="K90" s="142"/>
      <c r="M90" s="142"/>
    </row>
    <row r="91" spans="11:13" x14ac:dyDescent="0.25">
      <c r="K91" s="142"/>
      <c r="M91" s="142"/>
    </row>
    <row r="92" spans="11:13" x14ac:dyDescent="0.25">
      <c r="K92" s="142"/>
      <c r="M92" s="142"/>
    </row>
    <row r="93" spans="11:13" x14ac:dyDescent="0.25">
      <c r="K93" s="142"/>
      <c r="M93" s="142"/>
    </row>
    <row r="94" spans="11:13" x14ac:dyDescent="0.25">
      <c r="K94" s="142"/>
      <c r="M94" s="142"/>
    </row>
    <row r="95" spans="11:13" x14ac:dyDescent="0.25">
      <c r="K95" s="142"/>
      <c r="M95" s="142"/>
    </row>
    <row r="96" spans="11:13" x14ac:dyDescent="0.25">
      <c r="K96" s="142"/>
      <c r="M96" s="142"/>
    </row>
    <row r="97" spans="11:13" x14ac:dyDescent="0.25">
      <c r="K97" s="142"/>
      <c r="M97" s="142"/>
    </row>
    <row r="98" spans="11:13" x14ac:dyDescent="0.25">
      <c r="K98" s="142"/>
      <c r="M98" s="142"/>
    </row>
    <row r="99" spans="11:13" x14ac:dyDescent="0.25">
      <c r="K99" s="142"/>
      <c r="M99" s="142"/>
    </row>
    <row r="100" spans="11:13" x14ac:dyDescent="0.25">
      <c r="K100" s="142"/>
      <c r="M100" s="142"/>
    </row>
    <row r="101" spans="11:13" x14ac:dyDescent="0.25">
      <c r="K101" s="142"/>
      <c r="M101" s="142"/>
    </row>
    <row r="102" spans="11:13" x14ac:dyDescent="0.25">
      <c r="K102" s="142"/>
      <c r="M102" s="142"/>
    </row>
    <row r="103" spans="11:13" x14ac:dyDescent="0.25">
      <c r="K103" s="142"/>
      <c r="M103" s="142"/>
    </row>
    <row r="104" spans="11:13" x14ac:dyDescent="0.25">
      <c r="K104" s="142"/>
      <c r="M104" s="142"/>
    </row>
    <row r="105" spans="11:13" x14ac:dyDescent="0.25">
      <c r="K105" s="142"/>
      <c r="M105" s="142"/>
    </row>
    <row r="106" spans="11:13" x14ac:dyDescent="0.25">
      <c r="K106" s="142"/>
      <c r="M106" s="142"/>
    </row>
    <row r="107" spans="11:13" x14ac:dyDescent="0.25">
      <c r="K107" s="142"/>
      <c r="M107" s="142"/>
    </row>
    <row r="108" spans="11:13" x14ac:dyDescent="0.25">
      <c r="K108" s="142"/>
      <c r="M108" s="142"/>
    </row>
    <row r="109" spans="11:13" x14ac:dyDescent="0.25">
      <c r="K109" s="142"/>
      <c r="M109" s="142"/>
    </row>
    <row r="110" spans="11:13" x14ac:dyDescent="0.25">
      <c r="K110" s="142"/>
      <c r="M110" s="142"/>
    </row>
    <row r="111" spans="11:13" x14ac:dyDescent="0.25">
      <c r="K111" s="142"/>
      <c r="M111" s="142"/>
    </row>
    <row r="112" spans="11:13" x14ac:dyDescent="0.25">
      <c r="K112" s="142"/>
      <c r="M112" s="142"/>
    </row>
    <row r="113" spans="11:13" x14ac:dyDescent="0.25">
      <c r="K113" s="142"/>
      <c r="M113" s="142"/>
    </row>
    <row r="114" spans="11:13" x14ac:dyDescent="0.25">
      <c r="K114" s="142"/>
      <c r="M114" s="142"/>
    </row>
    <row r="115" spans="11:13" x14ac:dyDescent="0.25">
      <c r="K115" s="142"/>
      <c r="M115" s="142"/>
    </row>
    <row r="116" spans="11:13" x14ac:dyDescent="0.25">
      <c r="K116" s="142"/>
      <c r="M116" s="142"/>
    </row>
    <row r="117" spans="11:13" x14ac:dyDescent="0.25">
      <c r="K117" s="142"/>
      <c r="M117" s="142"/>
    </row>
    <row r="118" spans="11:13" x14ac:dyDescent="0.25">
      <c r="K118" s="142"/>
      <c r="M118" s="142"/>
    </row>
    <row r="119" spans="11:13" x14ac:dyDescent="0.25">
      <c r="K119" s="142"/>
      <c r="M119" s="142"/>
    </row>
    <row r="120" spans="11:13" x14ac:dyDescent="0.25">
      <c r="K120" s="142"/>
      <c r="M120" s="142"/>
    </row>
    <row r="121" spans="11:13" x14ac:dyDescent="0.25">
      <c r="K121" s="142"/>
      <c r="M121" s="142"/>
    </row>
    <row r="122" spans="11:13" x14ac:dyDescent="0.25">
      <c r="K122" s="142"/>
      <c r="M122" s="142"/>
    </row>
    <row r="123" spans="11:13" x14ac:dyDescent="0.25">
      <c r="K123" s="142"/>
      <c r="M123" s="142"/>
    </row>
    <row r="124" spans="11:13" x14ac:dyDescent="0.25">
      <c r="K124" s="142"/>
      <c r="M124" s="142"/>
    </row>
    <row r="125" spans="11:13" x14ac:dyDescent="0.25">
      <c r="K125" s="142"/>
      <c r="M125" s="142"/>
    </row>
    <row r="126" spans="11:13" x14ac:dyDescent="0.25">
      <c r="K126" s="142"/>
      <c r="M126" s="142"/>
    </row>
    <row r="127" spans="11:13" x14ac:dyDescent="0.25">
      <c r="K127" s="142"/>
      <c r="M127" s="142"/>
    </row>
    <row r="128" spans="11:13" x14ac:dyDescent="0.25">
      <c r="K128" s="142"/>
      <c r="M128" s="142"/>
    </row>
    <row r="129" spans="11:13" x14ac:dyDescent="0.25">
      <c r="K129" s="142"/>
      <c r="M129" s="142"/>
    </row>
    <row r="130" spans="11:13" x14ac:dyDescent="0.25">
      <c r="K130" s="142"/>
      <c r="M130" s="142"/>
    </row>
    <row r="131" spans="11:13" x14ac:dyDescent="0.25">
      <c r="K131" s="142"/>
      <c r="M131" s="142"/>
    </row>
    <row r="132" spans="11:13" x14ac:dyDescent="0.25">
      <c r="K132" s="142"/>
      <c r="M132" s="142"/>
    </row>
    <row r="133" spans="11:13" x14ac:dyDescent="0.25">
      <c r="K133" s="142"/>
      <c r="M133" s="142"/>
    </row>
    <row r="134" spans="11:13" x14ac:dyDescent="0.25">
      <c r="K134" s="142"/>
      <c r="M134" s="142"/>
    </row>
    <row r="135" spans="11:13" x14ac:dyDescent="0.25">
      <c r="K135" s="142"/>
      <c r="M135" s="142"/>
    </row>
    <row r="136" spans="11:13" x14ac:dyDescent="0.25">
      <c r="K136" s="142"/>
      <c r="M136" s="142"/>
    </row>
    <row r="137" spans="11:13" x14ac:dyDescent="0.25">
      <c r="K137" s="142"/>
      <c r="M137" s="142"/>
    </row>
    <row r="138" spans="11:13" x14ac:dyDescent="0.25">
      <c r="K138" s="142"/>
      <c r="M138" s="142"/>
    </row>
    <row r="139" spans="11:13" x14ac:dyDescent="0.25">
      <c r="K139" s="142"/>
      <c r="M139" s="142"/>
    </row>
    <row r="140" spans="11:13" x14ac:dyDescent="0.25">
      <c r="K140" s="142"/>
      <c r="M140" s="142"/>
    </row>
    <row r="141" spans="11:13" x14ac:dyDescent="0.25">
      <c r="K141" s="142"/>
      <c r="M141" s="142"/>
    </row>
    <row r="142" spans="11:13" x14ac:dyDescent="0.25">
      <c r="K142" s="142"/>
      <c r="M142" s="142"/>
    </row>
    <row r="143" spans="11:13" x14ac:dyDescent="0.25">
      <c r="K143" s="142"/>
      <c r="M143" s="142"/>
    </row>
    <row r="144" spans="11:13" x14ac:dyDescent="0.25">
      <c r="K144" s="142"/>
      <c r="M144" s="142"/>
    </row>
    <row r="145" spans="11:13" x14ac:dyDescent="0.25">
      <c r="K145" s="142"/>
      <c r="M145" s="142"/>
    </row>
    <row r="146" spans="11:13" x14ac:dyDescent="0.25">
      <c r="K146" s="142"/>
      <c r="M146" s="142"/>
    </row>
    <row r="147" spans="11:13" x14ac:dyDescent="0.25">
      <c r="K147" s="142"/>
      <c r="M147" s="142"/>
    </row>
    <row r="148" spans="11:13" x14ac:dyDescent="0.25">
      <c r="K148" s="142"/>
      <c r="M148" s="142"/>
    </row>
    <row r="149" spans="11:13" x14ac:dyDescent="0.25">
      <c r="K149" s="142"/>
      <c r="M149" s="142"/>
    </row>
    <row r="150" spans="11:13" x14ac:dyDescent="0.25">
      <c r="K150" s="142"/>
      <c r="M150" s="142"/>
    </row>
    <row r="151" spans="11:13" x14ac:dyDescent="0.25">
      <c r="K151" s="142"/>
      <c r="M151" s="142"/>
    </row>
    <row r="152" spans="11:13" x14ac:dyDescent="0.25">
      <c r="K152" s="142"/>
      <c r="M152" s="142"/>
    </row>
    <row r="153" spans="11:13" x14ac:dyDescent="0.25">
      <c r="K153" s="142"/>
      <c r="M153" s="142"/>
    </row>
    <row r="154" spans="11:13" x14ac:dyDescent="0.25">
      <c r="K154" s="142"/>
      <c r="M154" s="142"/>
    </row>
    <row r="155" spans="11:13" x14ac:dyDescent="0.25">
      <c r="K155" s="142"/>
      <c r="M155" s="142"/>
    </row>
    <row r="156" spans="11:13" x14ac:dyDescent="0.25">
      <c r="K156" s="142"/>
      <c r="M156" s="142"/>
    </row>
    <row r="157" spans="11:13" x14ac:dyDescent="0.25">
      <c r="K157" s="142"/>
      <c r="M157" s="142"/>
    </row>
    <row r="158" spans="11:13" x14ac:dyDescent="0.25">
      <c r="K158" s="142"/>
      <c r="M158" s="142"/>
    </row>
    <row r="159" spans="11:13" x14ac:dyDescent="0.25">
      <c r="K159" s="142"/>
      <c r="M159" s="142"/>
    </row>
    <row r="160" spans="11:13" x14ac:dyDescent="0.25">
      <c r="K160" s="142"/>
      <c r="M160" s="142"/>
    </row>
    <row r="161" spans="11:13" x14ac:dyDescent="0.25">
      <c r="K161" s="142"/>
      <c r="M161" s="142"/>
    </row>
    <row r="162" spans="11:13" x14ac:dyDescent="0.25">
      <c r="K162" s="142"/>
      <c r="M162" s="142"/>
    </row>
    <row r="163" spans="11:13" x14ac:dyDescent="0.25">
      <c r="K163" s="142"/>
      <c r="M163" s="142"/>
    </row>
    <row r="164" spans="11:13" x14ac:dyDescent="0.25">
      <c r="K164" s="142"/>
      <c r="M164" s="142"/>
    </row>
    <row r="165" spans="11:13" x14ac:dyDescent="0.25">
      <c r="K165" s="142"/>
      <c r="M165" s="142"/>
    </row>
    <row r="166" spans="11:13" x14ac:dyDescent="0.25">
      <c r="K166" s="142"/>
      <c r="M166" s="142"/>
    </row>
    <row r="167" spans="11:13" x14ac:dyDescent="0.25">
      <c r="K167" s="142"/>
      <c r="M167" s="142"/>
    </row>
    <row r="168" spans="11:13" x14ac:dyDescent="0.25">
      <c r="K168" s="142"/>
      <c r="M168" s="142"/>
    </row>
    <row r="169" spans="11:13" x14ac:dyDescent="0.25">
      <c r="K169" s="142"/>
      <c r="M169" s="142"/>
    </row>
    <row r="170" spans="11:13" x14ac:dyDescent="0.25">
      <c r="K170" s="142"/>
      <c r="M170" s="142"/>
    </row>
    <row r="171" spans="11:13" x14ac:dyDescent="0.25">
      <c r="K171" s="142"/>
      <c r="M171" s="142"/>
    </row>
    <row r="172" spans="11:13" x14ac:dyDescent="0.25">
      <c r="K172" s="142"/>
      <c r="M172" s="142"/>
    </row>
    <row r="173" spans="11:13" x14ac:dyDescent="0.25">
      <c r="K173" s="142"/>
      <c r="M173" s="142"/>
    </row>
    <row r="174" spans="11:13" x14ac:dyDescent="0.25">
      <c r="K174" s="142"/>
      <c r="M174" s="142"/>
    </row>
    <row r="175" spans="11:13" x14ac:dyDescent="0.25">
      <c r="K175" s="142"/>
      <c r="M175" s="142"/>
    </row>
    <row r="176" spans="11:13" x14ac:dyDescent="0.25">
      <c r="K176" s="142"/>
      <c r="M176" s="142"/>
    </row>
    <row r="177" spans="11:13" x14ac:dyDescent="0.25">
      <c r="K177" s="142"/>
      <c r="M177" s="142"/>
    </row>
    <row r="178" spans="11:13" x14ac:dyDescent="0.25">
      <c r="K178" s="142"/>
      <c r="M178" s="142"/>
    </row>
    <row r="179" spans="11:13" x14ac:dyDescent="0.25">
      <c r="K179" s="142"/>
      <c r="M179" s="142"/>
    </row>
    <row r="180" spans="11:13" x14ac:dyDescent="0.25">
      <c r="K180" s="142"/>
      <c r="M180" s="142"/>
    </row>
    <row r="181" spans="11:13" x14ac:dyDescent="0.25">
      <c r="K181" s="142"/>
      <c r="M181" s="142"/>
    </row>
    <row r="182" spans="11:13" x14ac:dyDescent="0.25">
      <c r="K182" s="142"/>
      <c r="M182" s="142"/>
    </row>
    <row r="183" spans="11:13" x14ac:dyDescent="0.25">
      <c r="K183" s="142"/>
      <c r="M183" s="142"/>
    </row>
    <row r="184" spans="11:13" x14ac:dyDescent="0.25">
      <c r="K184" s="142"/>
      <c r="M184" s="142"/>
    </row>
    <row r="185" spans="11:13" x14ac:dyDescent="0.25">
      <c r="K185" s="142"/>
      <c r="M185" s="142"/>
    </row>
    <row r="186" spans="11:13" x14ac:dyDescent="0.25">
      <c r="K186" s="142"/>
      <c r="M186" s="142"/>
    </row>
    <row r="187" spans="11:13" x14ac:dyDescent="0.25">
      <c r="K187" s="142"/>
      <c r="M187" s="142"/>
    </row>
    <row r="188" spans="11:13" x14ac:dyDescent="0.25">
      <c r="K188" s="142"/>
      <c r="M188" s="142"/>
    </row>
    <row r="189" spans="11:13" x14ac:dyDescent="0.25">
      <c r="K189" s="142"/>
      <c r="M189" s="142"/>
    </row>
    <row r="190" spans="11:13" x14ac:dyDescent="0.25">
      <c r="K190" s="142"/>
      <c r="M190" s="142"/>
    </row>
    <row r="191" spans="11:13" x14ac:dyDescent="0.25">
      <c r="K191" s="142"/>
      <c r="M191" s="142"/>
    </row>
    <row r="192" spans="11:13" x14ac:dyDescent="0.25">
      <c r="K192" s="142"/>
      <c r="M192" s="142"/>
    </row>
    <row r="193" spans="11:13" x14ac:dyDescent="0.25">
      <c r="K193" s="142"/>
      <c r="M193" s="142"/>
    </row>
    <row r="194" spans="11:13" x14ac:dyDescent="0.25">
      <c r="K194" s="142"/>
      <c r="M194" s="142"/>
    </row>
    <row r="195" spans="11:13" x14ac:dyDescent="0.25">
      <c r="K195" s="142"/>
      <c r="M195" s="142"/>
    </row>
    <row r="196" spans="11:13" x14ac:dyDescent="0.25">
      <c r="K196" s="142"/>
      <c r="M196" s="142"/>
    </row>
    <row r="197" spans="11:13" x14ac:dyDescent="0.25">
      <c r="K197" s="142"/>
      <c r="M197" s="142"/>
    </row>
    <row r="198" spans="11:13" x14ac:dyDescent="0.25">
      <c r="K198" s="142"/>
      <c r="M198" s="142"/>
    </row>
    <row r="199" spans="11:13" x14ac:dyDescent="0.25">
      <c r="K199" s="142"/>
      <c r="M199" s="142"/>
    </row>
    <row r="200" spans="11:13" x14ac:dyDescent="0.25">
      <c r="K200" s="142"/>
      <c r="M200" s="142"/>
    </row>
    <row r="201" spans="11:13" x14ac:dyDescent="0.25">
      <c r="K201" s="142"/>
      <c r="M201" s="142"/>
    </row>
    <row r="202" spans="11:13" x14ac:dyDescent="0.25">
      <c r="K202" s="142"/>
      <c r="M202" s="142"/>
    </row>
    <row r="203" spans="11:13" x14ac:dyDescent="0.25">
      <c r="K203" s="142"/>
      <c r="M203" s="142"/>
    </row>
    <row r="204" spans="11:13" x14ac:dyDescent="0.25">
      <c r="K204" s="142"/>
      <c r="M204" s="142"/>
    </row>
    <row r="205" spans="11:13" x14ac:dyDescent="0.25">
      <c r="K205" s="142"/>
      <c r="M205" s="142"/>
    </row>
    <row r="206" spans="11:13" x14ac:dyDescent="0.25">
      <c r="K206" s="142"/>
      <c r="M206" s="142"/>
    </row>
    <row r="207" spans="11:13" x14ac:dyDescent="0.25">
      <c r="K207" s="142"/>
      <c r="M207" s="142"/>
    </row>
    <row r="208" spans="11:13" x14ac:dyDescent="0.25">
      <c r="K208" s="142"/>
      <c r="M208" s="142"/>
    </row>
    <row r="209" spans="11:13" x14ac:dyDescent="0.25">
      <c r="K209" s="142"/>
      <c r="M209" s="142"/>
    </row>
    <row r="210" spans="11:13" x14ac:dyDescent="0.25">
      <c r="K210" s="142"/>
      <c r="M210" s="142"/>
    </row>
    <row r="211" spans="11:13" x14ac:dyDescent="0.25">
      <c r="K211" s="142"/>
      <c r="M211" s="142"/>
    </row>
    <row r="212" spans="11:13" x14ac:dyDescent="0.25">
      <c r="K212" s="142"/>
      <c r="M212" s="142"/>
    </row>
    <row r="213" spans="11:13" x14ac:dyDescent="0.25">
      <c r="K213" s="142"/>
      <c r="M213" s="142"/>
    </row>
    <row r="214" spans="11:13" x14ac:dyDescent="0.25">
      <c r="K214" s="142"/>
      <c r="M214" s="142"/>
    </row>
    <row r="215" spans="11:13" x14ac:dyDescent="0.25">
      <c r="K215" s="142"/>
      <c r="M215" s="142"/>
    </row>
    <row r="216" spans="11:13" x14ac:dyDescent="0.25">
      <c r="K216" s="142"/>
      <c r="M216" s="142"/>
    </row>
    <row r="217" spans="11:13" x14ac:dyDescent="0.25">
      <c r="K217" s="142"/>
      <c r="M217" s="142"/>
    </row>
    <row r="218" spans="11:13" x14ac:dyDescent="0.25">
      <c r="K218" s="142"/>
      <c r="M218" s="142"/>
    </row>
    <row r="219" spans="11:13" x14ac:dyDescent="0.25">
      <c r="K219" s="142"/>
      <c r="M219" s="142"/>
    </row>
    <row r="220" spans="11:13" x14ac:dyDescent="0.25">
      <c r="K220" s="142"/>
      <c r="M220" s="142"/>
    </row>
    <row r="221" spans="11:13" x14ac:dyDescent="0.25">
      <c r="K221" s="142"/>
      <c r="M221" s="142"/>
    </row>
    <row r="222" spans="11:13" x14ac:dyDescent="0.25">
      <c r="K222" s="142"/>
      <c r="M222" s="142"/>
    </row>
    <row r="223" spans="11:13" x14ac:dyDescent="0.25">
      <c r="K223" s="142"/>
      <c r="M223" s="142"/>
    </row>
    <row r="224" spans="11:13" x14ac:dyDescent="0.25">
      <c r="K224" s="142"/>
      <c r="M224" s="142"/>
    </row>
    <row r="225" spans="11:13" x14ac:dyDescent="0.25">
      <c r="K225" s="142"/>
      <c r="M225" s="142"/>
    </row>
    <row r="226" spans="11:13" x14ac:dyDescent="0.25">
      <c r="K226" s="142"/>
      <c r="M226" s="142"/>
    </row>
    <row r="227" spans="11:13" x14ac:dyDescent="0.25">
      <c r="K227" s="142"/>
      <c r="M227" s="142"/>
    </row>
    <row r="228" spans="11:13" x14ac:dyDescent="0.25">
      <c r="K228" s="142"/>
      <c r="M228" s="142"/>
    </row>
    <row r="229" spans="11:13" x14ac:dyDescent="0.25">
      <c r="K229" s="142"/>
      <c r="M229" s="142"/>
    </row>
    <row r="230" spans="11:13" x14ac:dyDescent="0.25">
      <c r="K230" s="142"/>
      <c r="M230" s="142"/>
    </row>
    <row r="231" spans="11:13" x14ac:dyDescent="0.25">
      <c r="K231" s="142"/>
      <c r="M231" s="142"/>
    </row>
    <row r="232" spans="11:13" x14ac:dyDescent="0.25">
      <c r="K232" s="142"/>
      <c r="M232" s="142"/>
    </row>
    <row r="233" spans="11:13" x14ac:dyDescent="0.25">
      <c r="K233" s="142"/>
      <c r="M233" s="142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K1:HE12"/>
  <sheetViews>
    <sheetView workbookViewId="0">
      <selection sqref="A1:AM233"/>
    </sheetView>
  </sheetViews>
  <sheetFormatPr defaultRowHeight="13.2" x14ac:dyDescent="0.25"/>
  <cols>
    <col min="11" max="11" width="10.6640625" style="393" bestFit="1" customWidth="1"/>
    <col min="13" max="13" width="12" style="393" customWidth="1"/>
  </cols>
  <sheetData>
    <row r="1" spans="201:213" x14ac:dyDescent="0.25">
      <c r="GS1" t="s">
        <v>236</v>
      </c>
      <c r="GT1">
        <v>0</v>
      </c>
      <c r="GU1" t="s">
        <v>258</v>
      </c>
      <c r="GV1" t="s">
        <v>237</v>
      </c>
      <c r="GW1" t="s">
        <v>20</v>
      </c>
      <c r="GX1">
        <v>0</v>
      </c>
      <c r="GY1" t="s">
        <v>256</v>
      </c>
      <c r="GZ1" t="s">
        <v>257</v>
      </c>
      <c r="HA1" t="s">
        <v>245</v>
      </c>
      <c r="HB1" t="s">
        <v>238</v>
      </c>
      <c r="HC1">
        <v>0</v>
      </c>
      <c r="HD1">
        <v>33396.758884191513</v>
      </c>
      <c r="HE1">
        <v>36637</v>
      </c>
    </row>
    <row r="2" spans="201:213" x14ac:dyDescent="0.25">
      <c r="GS2" t="s">
        <v>236</v>
      </c>
      <c r="GT2">
        <v>0</v>
      </c>
      <c r="GU2" t="s">
        <v>258</v>
      </c>
      <c r="GV2" t="s">
        <v>237</v>
      </c>
      <c r="GW2" t="s">
        <v>20</v>
      </c>
      <c r="GX2">
        <v>0</v>
      </c>
      <c r="GY2" t="s">
        <v>256</v>
      </c>
      <c r="GZ2" t="s">
        <v>257</v>
      </c>
      <c r="HA2" t="s">
        <v>245</v>
      </c>
      <c r="HB2" t="s">
        <v>238</v>
      </c>
      <c r="HC2">
        <v>0</v>
      </c>
      <c r="HD2">
        <v>33396.758884191513</v>
      </c>
      <c r="HE2">
        <v>36637</v>
      </c>
    </row>
    <row r="3" spans="201:213" x14ac:dyDescent="0.25">
      <c r="GS3" t="s">
        <v>236</v>
      </c>
      <c r="GT3">
        <v>0</v>
      </c>
      <c r="GU3" t="s">
        <v>258</v>
      </c>
      <c r="GV3" t="s">
        <v>237</v>
      </c>
      <c r="GW3" t="s">
        <v>20</v>
      </c>
      <c r="GX3">
        <v>0</v>
      </c>
      <c r="GY3" t="s">
        <v>256</v>
      </c>
      <c r="GZ3" t="s">
        <v>257</v>
      </c>
      <c r="HA3" t="s">
        <v>245</v>
      </c>
      <c r="HB3" t="s">
        <v>238</v>
      </c>
      <c r="HC3">
        <v>0</v>
      </c>
      <c r="HD3">
        <v>33396.758884191513</v>
      </c>
      <c r="HE3">
        <v>36637</v>
      </c>
    </row>
    <row r="4" spans="201:213" x14ac:dyDescent="0.25">
      <c r="GS4" t="s">
        <v>236</v>
      </c>
      <c r="GT4">
        <v>0</v>
      </c>
      <c r="GU4" t="s">
        <v>258</v>
      </c>
      <c r="GV4" t="s">
        <v>237</v>
      </c>
      <c r="GW4" t="s">
        <v>20</v>
      </c>
      <c r="GX4">
        <v>0</v>
      </c>
      <c r="GY4" t="s">
        <v>256</v>
      </c>
      <c r="GZ4" t="s">
        <v>257</v>
      </c>
      <c r="HA4" t="s">
        <v>245</v>
      </c>
      <c r="HB4" t="s">
        <v>238</v>
      </c>
      <c r="HC4">
        <v>0</v>
      </c>
      <c r="HD4">
        <v>33396.758884191513</v>
      </c>
      <c r="HE4">
        <v>36637</v>
      </c>
    </row>
    <row r="5" spans="201:213" x14ac:dyDescent="0.25">
      <c r="GS5" t="s">
        <v>236</v>
      </c>
      <c r="GT5">
        <v>0</v>
      </c>
      <c r="GU5" t="s">
        <v>258</v>
      </c>
      <c r="GV5" t="s">
        <v>237</v>
      </c>
      <c r="GW5" t="s">
        <v>20</v>
      </c>
      <c r="GX5">
        <v>0</v>
      </c>
      <c r="GY5" t="s">
        <v>256</v>
      </c>
      <c r="GZ5" t="s">
        <v>257</v>
      </c>
      <c r="HA5" t="s">
        <v>245</v>
      </c>
      <c r="HB5" t="s">
        <v>238</v>
      </c>
      <c r="HC5">
        <v>0</v>
      </c>
      <c r="HD5">
        <v>33396.758884191513</v>
      </c>
      <c r="HE5">
        <v>36637</v>
      </c>
    </row>
    <row r="6" spans="201:213" x14ac:dyDescent="0.25">
      <c r="GS6" t="s">
        <v>236</v>
      </c>
      <c r="GT6">
        <v>0</v>
      </c>
      <c r="GU6" t="s">
        <v>258</v>
      </c>
      <c r="GV6" t="s">
        <v>237</v>
      </c>
      <c r="GW6" t="s">
        <v>20</v>
      </c>
      <c r="GX6">
        <v>0</v>
      </c>
      <c r="GY6" t="s">
        <v>256</v>
      </c>
      <c r="GZ6" t="s">
        <v>257</v>
      </c>
      <c r="HA6" t="s">
        <v>245</v>
      </c>
      <c r="HB6" t="s">
        <v>238</v>
      </c>
      <c r="HC6">
        <v>0</v>
      </c>
      <c r="HD6">
        <v>33396.758884191513</v>
      </c>
      <c r="HE6">
        <v>36637</v>
      </c>
    </row>
    <row r="7" spans="201:213" x14ac:dyDescent="0.25">
      <c r="GS7" t="s">
        <v>236</v>
      </c>
      <c r="GT7">
        <v>0</v>
      </c>
      <c r="GU7" t="s">
        <v>258</v>
      </c>
      <c r="GV7" t="s">
        <v>237</v>
      </c>
      <c r="GW7" t="s">
        <v>20</v>
      </c>
      <c r="GX7">
        <v>0</v>
      </c>
      <c r="GY7" t="s">
        <v>256</v>
      </c>
      <c r="GZ7" t="s">
        <v>257</v>
      </c>
      <c r="HA7" t="s">
        <v>245</v>
      </c>
      <c r="HB7" t="s">
        <v>238</v>
      </c>
      <c r="HC7">
        <v>0</v>
      </c>
      <c r="HD7">
        <v>33396.758884191513</v>
      </c>
      <c r="HE7">
        <v>36637</v>
      </c>
    </row>
    <row r="8" spans="201:213" x14ac:dyDescent="0.25">
      <c r="GS8" t="s">
        <v>236</v>
      </c>
      <c r="GT8">
        <v>0</v>
      </c>
      <c r="GU8" t="s">
        <v>258</v>
      </c>
      <c r="GV8" t="s">
        <v>237</v>
      </c>
      <c r="GW8" t="s">
        <v>20</v>
      </c>
      <c r="GX8">
        <v>0</v>
      </c>
      <c r="GY8" t="s">
        <v>256</v>
      </c>
      <c r="GZ8" t="s">
        <v>257</v>
      </c>
      <c r="HA8" t="s">
        <v>245</v>
      </c>
      <c r="HB8" t="s">
        <v>238</v>
      </c>
      <c r="HC8">
        <v>0</v>
      </c>
      <c r="HD8">
        <v>33396.758884191513</v>
      </c>
      <c r="HE8">
        <v>36637</v>
      </c>
    </row>
    <row r="9" spans="201:213" x14ac:dyDescent="0.25">
      <c r="GS9" t="s">
        <v>236</v>
      </c>
      <c r="GT9">
        <v>0</v>
      </c>
      <c r="GU9" t="s">
        <v>258</v>
      </c>
      <c r="GV9" t="s">
        <v>237</v>
      </c>
      <c r="GW9" t="s">
        <v>20</v>
      </c>
      <c r="GX9">
        <v>0</v>
      </c>
      <c r="GY9" t="s">
        <v>256</v>
      </c>
      <c r="GZ9" t="s">
        <v>257</v>
      </c>
      <c r="HA9" t="s">
        <v>245</v>
      </c>
      <c r="HB9" t="s">
        <v>238</v>
      </c>
      <c r="HC9">
        <v>0</v>
      </c>
      <c r="HD9">
        <v>33396.758884191513</v>
      </c>
      <c r="HE9">
        <v>36637</v>
      </c>
    </row>
    <row r="10" spans="201:213" x14ac:dyDescent="0.25">
      <c r="GS10" t="s">
        <v>236</v>
      </c>
      <c r="GT10">
        <v>0</v>
      </c>
      <c r="GU10" t="s">
        <v>258</v>
      </c>
      <c r="GV10" t="s">
        <v>237</v>
      </c>
      <c r="GW10" t="s">
        <v>20</v>
      </c>
      <c r="GX10">
        <v>0</v>
      </c>
      <c r="GY10" t="s">
        <v>256</v>
      </c>
      <c r="GZ10" t="s">
        <v>257</v>
      </c>
      <c r="HA10" t="s">
        <v>245</v>
      </c>
      <c r="HB10" t="s">
        <v>238</v>
      </c>
      <c r="HC10">
        <v>0</v>
      </c>
      <c r="HD10">
        <v>33396.758884191513</v>
      </c>
      <c r="HE10">
        <v>36637</v>
      </c>
    </row>
    <row r="11" spans="201:213" x14ac:dyDescent="0.25">
      <c r="GS11" t="s">
        <v>236</v>
      </c>
      <c r="GT11">
        <v>0</v>
      </c>
      <c r="GU11" t="s">
        <v>258</v>
      </c>
      <c r="GV11" t="s">
        <v>237</v>
      </c>
      <c r="GW11" t="s">
        <v>20</v>
      </c>
      <c r="GX11">
        <v>0</v>
      </c>
      <c r="GY11" t="s">
        <v>256</v>
      </c>
      <c r="GZ11" t="s">
        <v>257</v>
      </c>
      <c r="HA11" t="s">
        <v>245</v>
      </c>
      <c r="HB11" t="s">
        <v>238</v>
      </c>
      <c r="HC11">
        <v>0</v>
      </c>
      <c r="HD11">
        <v>33396.758884191513</v>
      </c>
      <c r="HE11">
        <v>36637</v>
      </c>
    </row>
    <row r="12" spans="201:213" x14ac:dyDescent="0.25">
      <c r="GS12" t="s">
        <v>236</v>
      </c>
      <c r="GT12">
        <v>0</v>
      </c>
      <c r="GU12" t="s">
        <v>258</v>
      </c>
      <c r="GV12" t="s">
        <v>237</v>
      </c>
      <c r="GW12" t="s">
        <v>20</v>
      </c>
      <c r="GX12">
        <v>0</v>
      </c>
      <c r="GY12" t="s">
        <v>256</v>
      </c>
      <c r="GZ12" t="s">
        <v>257</v>
      </c>
      <c r="HA12" t="s">
        <v>245</v>
      </c>
      <c r="HB12" t="s">
        <v>238</v>
      </c>
      <c r="HC12">
        <v>0</v>
      </c>
      <c r="HD12">
        <v>33396.758884191513</v>
      </c>
      <c r="HE12">
        <v>36637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BR65535"/>
  <sheetViews>
    <sheetView showGridLines="0" topLeftCell="C1" workbookViewId="0">
      <selection activeCell="N1" sqref="N1"/>
    </sheetView>
  </sheetViews>
  <sheetFormatPr defaultRowHeight="13.2" x14ac:dyDescent="0.25"/>
  <cols>
    <col min="1" max="1" width="14.88671875" customWidth="1"/>
    <col min="2" max="2" width="9.88671875" customWidth="1"/>
    <col min="3" max="3" width="18" customWidth="1"/>
    <col min="4" max="4" width="8.88671875" customWidth="1"/>
    <col min="5" max="5" width="10.109375" bestFit="1" customWidth="1"/>
    <col min="6" max="6" width="10.88671875" bestFit="1" customWidth="1"/>
    <col min="7" max="8" width="6.5546875" bestFit="1" customWidth="1"/>
    <col min="9" max="9" width="11.33203125" customWidth="1"/>
    <col min="10" max="10" width="9.33203125" customWidth="1"/>
    <col min="11" max="12" width="10.44140625" customWidth="1"/>
    <col min="13" max="13" width="11.33203125" customWidth="1"/>
    <col min="14" max="14" width="10.44140625" customWidth="1"/>
    <col min="15" max="15" width="6.44140625" customWidth="1"/>
    <col min="16" max="16" width="13" customWidth="1"/>
    <col min="17" max="17" width="8.33203125" customWidth="1"/>
    <col min="19" max="20" width="10.44140625" customWidth="1"/>
    <col min="21" max="21" width="11.5546875" customWidth="1"/>
    <col min="22" max="22" width="14.88671875" customWidth="1"/>
    <col min="26" max="26" width="13.5546875" bestFit="1" customWidth="1"/>
    <col min="27" max="27" width="13.44140625" bestFit="1" customWidth="1"/>
    <col min="28" max="28" width="12.6640625" bestFit="1" customWidth="1"/>
    <col min="29" max="29" width="15.109375" bestFit="1" customWidth="1"/>
    <col min="30" max="32" width="14.88671875" bestFit="1" customWidth="1"/>
    <col min="33" max="33" width="16.5546875" bestFit="1" customWidth="1"/>
    <col min="35" max="35" width="13.5546875" bestFit="1" customWidth="1"/>
    <col min="36" max="36" width="10.5546875" customWidth="1"/>
    <col min="42" max="42" width="10.109375" bestFit="1" customWidth="1"/>
    <col min="48" max="48" width="13.44140625" bestFit="1" customWidth="1"/>
    <col min="49" max="49" width="11" customWidth="1"/>
    <col min="50" max="50" width="11.5546875" customWidth="1"/>
    <col min="52" max="52" width="11.109375" customWidth="1"/>
    <col min="53" max="53" width="12.109375" customWidth="1"/>
    <col min="54" max="54" width="15" customWidth="1"/>
    <col min="60" max="60" width="19.6640625" customWidth="1"/>
    <col min="61" max="61" width="14" bestFit="1" customWidth="1"/>
    <col min="62" max="63" width="16.33203125" bestFit="1" customWidth="1"/>
    <col min="64" max="64" width="10.5546875" customWidth="1"/>
    <col min="65" max="69" width="16.33203125" bestFit="1" customWidth="1"/>
    <col min="70" max="70" width="10.5546875" customWidth="1"/>
  </cols>
  <sheetData>
    <row r="1" spans="1:64" ht="17.399999999999999" x14ac:dyDescent="0.3">
      <c r="A1" s="89" t="s">
        <v>64</v>
      </c>
      <c r="E1" s="153" t="s">
        <v>111</v>
      </c>
      <c r="BB1" s="210"/>
      <c r="BH1" s="214" t="s">
        <v>155</v>
      </c>
      <c r="BI1" s="215"/>
      <c r="BJ1" s="215"/>
      <c r="BK1" s="263">
        <f>V3</f>
        <v>0</v>
      </c>
    </row>
    <row r="2" spans="1:64" ht="13.8" x14ac:dyDescent="0.25">
      <c r="P2" s="71"/>
      <c r="Q2" s="71"/>
      <c r="R2" s="71"/>
      <c r="S2" s="71"/>
      <c r="T2" s="85" t="s">
        <v>43</v>
      </c>
      <c r="U2" s="82" t="s">
        <v>59</v>
      </c>
      <c r="V2" s="82" t="s">
        <v>24</v>
      </c>
      <c r="AM2" t="s">
        <v>110</v>
      </c>
      <c r="AP2" s="264">
        <f>(WORKDAY(B3,-1))</f>
        <v>36630</v>
      </c>
      <c r="BB2" s="210"/>
      <c r="BH2" s="220" t="s">
        <v>156</v>
      </c>
      <c r="BI2" s="221"/>
      <c r="BJ2" s="221"/>
      <c r="BK2" s="265">
        <f>BA4</f>
        <v>0</v>
      </c>
    </row>
    <row r="3" spans="1:64" ht="14.4" thickBot="1" x14ac:dyDescent="0.3">
      <c r="A3" s="11" t="s">
        <v>35</v>
      </c>
      <c r="B3" s="12">
        <f>Summary!P1</f>
        <v>36633</v>
      </c>
      <c r="E3" s="143"/>
      <c r="P3" s="71"/>
      <c r="Q3" s="72"/>
      <c r="R3" s="67" t="e">
        <f>SUM(#REF!)</f>
        <v>#REF!</v>
      </c>
      <c r="T3" s="86"/>
      <c r="U3" s="84">
        <f>SUM(U7:U95)</f>
        <v>0</v>
      </c>
      <c r="V3" s="83">
        <f>SUM(V7:V1095)</f>
        <v>0</v>
      </c>
      <c r="AM3" t="s">
        <v>27</v>
      </c>
      <c r="AN3" t="s">
        <v>57</v>
      </c>
      <c r="BB3" s="210"/>
      <c r="BH3" s="225" t="s">
        <v>157</v>
      </c>
      <c r="BI3" s="226"/>
      <c r="BJ3" s="226"/>
      <c r="BK3" s="266">
        <f>BK1-BK2</f>
        <v>0</v>
      </c>
    </row>
    <row r="4" spans="1:64" ht="16.2" thickBot="1" x14ac:dyDescent="0.35">
      <c r="A4" s="13" t="s">
        <v>61</v>
      </c>
      <c r="B4" s="14"/>
      <c r="C4" s="15"/>
      <c r="D4" s="15"/>
      <c r="E4" s="15"/>
      <c r="F4" s="15"/>
      <c r="G4" s="15"/>
      <c r="H4" s="73"/>
      <c r="I4" s="70" t="s">
        <v>62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55"/>
      <c r="U4" s="78"/>
      <c r="V4" s="74"/>
      <c r="Z4" s="35" t="s">
        <v>73</v>
      </c>
      <c r="AA4" s="36"/>
      <c r="AB4" s="36"/>
      <c r="AC4" s="36"/>
      <c r="AD4" s="36"/>
      <c r="AE4" s="36"/>
      <c r="AF4" s="36"/>
      <c r="AG4" s="37"/>
      <c r="AI4" s="35" t="s">
        <v>49</v>
      </c>
      <c r="AJ4" s="37"/>
      <c r="AL4" s="5">
        <v>36465</v>
      </c>
      <c r="AM4">
        <v>0.5</v>
      </c>
      <c r="AN4">
        <v>0.34</v>
      </c>
      <c r="BA4" s="267">
        <f>SUM(BA7:BA25)</f>
        <v>0</v>
      </c>
      <c r="BB4" s="210"/>
    </row>
    <row r="5" spans="1:64" ht="15.6" x14ac:dyDescent="0.3">
      <c r="A5" s="69"/>
      <c r="B5" s="69"/>
      <c r="C5" s="69"/>
      <c r="D5" s="69"/>
      <c r="E5" s="69" t="s">
        <v>55</v>
      </c>
      <c r="F5" s="69" t="s">
        <v>13</v>
      </c>
      <c r="G5" s="69" t="s">
        <v>50</v>
      </c>
      <c r="H5" s="68" t="s">
        <v>4</v>
      </c>
      <c r="I5" s="48" t="s">
        <v>25</v>
      </c>
      <c r="J5" s="48"/>
      <c r="K5" s="48" t="s">
        <v>27</v>
      </c>
      <c r="L5" s="48" t="s">
        <v>28</v>
      </c>
      <c r="M5" s="48" t="s">
        <v>63</v>
      </c>
      <c r="N5" s="48" t="s">
        <v>60</v>
      </c>
      <c r="O5" s="48" t="s">
        <v>31</v>
      </c>
      <c r="P5" s="48" t="s">
        <v>57</v>
      </c>
      <c r="Q5" s="68" t="s">
        <v>51</v>
      </c>
      <c r="R5" s="69" t="s">
        <v>53</v>
      </c>
      <c r="S5" s="48"/>
      <c r="T5" s="48"/>
      <c r="U5" s="79"/>
      <c r="V5" s="48"/>
      <c r="Z5" s="38" t="s">
        <v>3</v>
      </c>
      <c r="AA5" s="118"/>
      <c r="AB5" s="119"/>
      <c r="AC5" s="119"/>
      <c r="AD5" s="119"/>
      <c r="AE5" s="119"/>
      <c r="AF5" s="119"/>
      <c r="AG5" s="120"/>
      <c r="AI5" s="38" t="s">
        <v>3</v>
      </c>
      <c r="AJ5" s="49" t="s">
        <v>41</v>
      </c>
      <c r="AL5" s="5">
        <v>36495</v>
      </c>
      <c r="AM5">
        <v>0.6</v>
      </c>
      <c r="AP5" t="s">
        <v>158</v>
      </c>
      <c r="AU5" s="231"/>
      <c r="AV5" s="268" t="s">
        <v>159</v>
      </c>
      <c r="AW5" s="232"/>
      <c r="AX5" s="232"/>
      <c r="AY5" s="232"/>
      <c r="AZ5" s="232"/>
      <c r="BA5" s="268" t="s">
        <v>160</v>
      </c>
      <c r="BB5" s="269"/>
      <c r="BH5" s="144" t="s">
        <v>161</v>
      </c>
    </row>
    <row r="6" spans="1:64" ht="16.2" thickBot="1" x14ac:dyDescent="0.35">
      <c r="A6" s="3" t="s">
        <v>15</v>
      </c>
      <c r="B6" s="3" t="s">
        <v>16</v>
      </c>
      <c r="C6" s="3" t="s">
        <v>2</v>
      </c>
      <c r="D6" s="3" t="s">
        <v>3</v>
      </c>
      <c r="E6" s="3" t="s">
        <v>56</v>
      </c>
      <c r="F6" s="3" t="s">
        <v>19</v>
      </c>
      <c r="G6" s="3" t="s">
        <v>5</v>
      </c>
      <c r="H6" s="3" t="s">
        <v>5</v>
      </c>
      <c r="I6" s="3" t="s">
        <v>5</v>
      </c>
      <c r="J6" s="3" t="s">
        <v>26</v>
      </c>
      <c r="K6" s="3" t="s">
        <v>5</v>
      </c>
      <c r="L6" s="3" t="s">
        <v>29</v>
      </c>
      <c r="M6" s="3" t="s">
        <v>32</v>
      </c>
      <c r="N6" s="3" t="s">
        <v>58</v>
      </c>
      <c r="O6" s="3" t="s">
        <v>30</v>
      </c>
      <c r="P6" s="3" t="s">
        <v>58</v>
      </c>
      <c r="Q6" s="3" t="s">
        <v>52</v>
      </c>
      <c r="R6" s="3" t="s">
        <v>54</v>
      </c>
      <c r="S6" s="3" t="s">
        <v>23</v>
      </c>
      <c r="T6" s="3" t="s">
        <v>22</v>
      </c>
      <c r="U6" s="80" t="s">
        <v>41</v>
      </c>
      <c r="V6" s="3" t="s">
        <v>24</v>
      </c>
      <c r="Z6" s="39"/>
      <c r="AA6" s="122" t="s">
        <v>6</v>
      </c>
      <c r="AB6" s="123" t="s">
        <v>47</v>
      </c>
      <c r="AC6" s="123" t="s">
        <v>48</v>
      </c>
      <c r="AD6" s="123" t="s">
        <v>45</v>
      </c>
      <c r="AE6" s="123" t="s">
        <v>44</v>
      </c>
      <c r="AF6" s="123" t="s">
        <v>46</v>
      </c>
      <c r="AG6" s="124" t="s">
        <v>0</v>
      </c>
      <c r="AI6" s="39"/>
      <c r="AJ6" s="50"/>
      <c r="AL6" s="5">
        <v>36526</v>
      </c>
      <c r="AM6">
        <v>0.57999999999999996</v>
      </c>
      <c r="AP6" t="s">
        <v>162</v>
      </c>
      <c r="AQ6" t="s">
        <v>163</v>
      </c>
      <c r="AR6" t="s">
        <v>164</v>
      </c>
      <c r="AS6" t="s">
        <v>165</v>
      </c>
      <c r="AT6" t="s">
        <v>114</v>
      </c>
      <c r="AU6" s="270" t="s">
        <v>166</v>
      </c>
      <c r="AV6" s="236" t="s">
        <v>138</v>
      </c>
      <c r="AW6" s="236" t="s">
        <v>139</v>
      </c>
      <c r="AX6" s="236" t="s">
        <v>149</v>
      </c>
      <c r="AY6" s="236" t="s">
        <v>140</v>
      </c>
      <c r="AZ6" s="236" t="s">
        <v>141</v>
      </c>
      <c r="BA6" s="236" t="s">
        <v>167</v>
      </c>
      <c r="BB6" s="271"/>
      <c r="BH6" s="272"/>
      <c r="BI6" s="273"/>
      <c r="BJ6" s="292" t="s">
        <v>166</v>
      </c>
      <c r="BK6" s="273"/>
      <c r="BL6" s="274"/>
    </row>
    <row r="7" spans="1:64" x14ac:dyDescent="0.25">
      <c r="A7" s="64" t="s">
        <v>262</v>
      </c>
      <c r="B7" s="295" t="s">
        <v>108</v>
      </c>
      <c r="C7" s="4" t="s">
        <v>0</v>
      </c>
      <c r="D7" s="5">
        <v>36647</v>
      </c>
      <c r="E7" s="5">
        <f>+WORKDAY(D7,-6)</f>
        <v>36637</v>
      </c>
      <c r="F7" s="6">
        <v>150000</v>
      </c>
      <c r="G7" s="76">
        <v>2.1</v>
      </c>
      <c r="H7" s="76">
        <v>2.4</v>
      </c>
      <c r="I7" s="53">
        <f t="shared" ref="I7:I12" si="0">VLOOKUP(D7,NGPrices,2,FALSE)</f>
        <v>3.1579999999999999</v>
      </c>
      <c r="J7" s="7">
        <f t="shared" ref="J7:J12" si="1">HLOOKUP(C7,Prices,VLOOKUP(D7,move_down,2,FALSE),FALSE)</f>
        <v>5.0000000000000001E-3</v>
      </c>
      <c r="K7" s="51">
        <f t="shared" ref="K7:K12" si="2">J7+I7</f>
        <v>3.1629999999999998</v>
      </c>
      <c r="L7" s="52">
        <f t="shared" ref="L7:L12" si="3">VLOOKUP(D7,NGPrices,4,FALSE)</f>
        <v>6.2683518517613002E-2</v>
      </c>
      <c r="M7" s="75">
        <f t="shared" ref="M7:M30" si="4">WORKDAY(D7,-3)-B$3</f>
        <v>9</v>
      </c>
      <c r="N7" s="52">
        <v>0</v>
      </c>
      <c r="O7" s="51">
        <f t="shared" ref="O7:O12" si="5">HLOOKUP(C7,VOLS,VLOOKUP(D7,move_down,2,FALSE),FALSE)</f>
        <v>0.41</v>
      </c>
      <c r="P7" s="66">
        <v>0.26</v>
      </c>
      <c r="Q7" s="65">
        <v>1E-3</v>
      </c>
      <c r="R7" s="5">
        <f t="shared" ref="R7:R30" si="6">WORKDAY(D7,-3)</f>
        <v>36642</v>
      </c>
      <c r="S7" s="77">
        <f>_xll.xXCOL2($K7:$K12,$L7:$L12,$O7:$O12,$M7:$M12,$P7,$Q7,$E7-$B$3,$H7,$G7,$N7,45,0)</f>
        <v>0.79462176561355591</v>
      </c>
      <c r="T7" s="52">
        <f>_xll.xXCOL2($K7:$K12,$L7:$L12,$O7:$O12,$M7:$M12,$P7,$Q7,$E7-$B$3,$H7,$G7,$N7,45,1)</f>
        <v>0.94572059437817491</v>
      </c>
      <c r="U7" s="81">
        <f t="shared" ref="U7:U12" si="7">$T$7*F7</f>
        <v>141858.08915672623</v>
      </c>
      <c r="V7" s="10">
        <f>S7*SUM(F7:F12)</f>
        <v>715159.58905220032</v>
      </c>
      <c r="X7" t="str">
        <f>D7&amp;C7</f>
        <v>36647IF-HPL/SHPCHAN</v>
      </c>
      <c r="Z7" s="40">
        <v>36192</v>
      </c>
      <c r="AA7" s="43">
        <f t="shared" ref="AA7:AG16" si="8">SUMIF($X:$X,CONCATENATE($Z7,AA$6),$U:$U)</f>
        <v>0</v>
      </c>
      <c r="AB7" s="43">
        <f t="shared" si="8"/>
        <v>0</v>
      </c>
      <c r="AC7" s="43">
        <f t="shared" si="8"/>
        <v>0</v>
      </c>
      <c r="AD7" s="43">
        <f t="shared" si="8"/>
        <v>0</v>
      </c>
      <c r="AE7" s="43">
        <f t="shared" si="8"/>
        <v>0</v>
      </c>
      <c r="AF7" s="43">
        <f t="shared" si="8"/>
        <v>0</v>
      </c>
      <c r="AG7" s="44">
        <f t="shared" si="8"/>
        <v>0</v>
      </c>
      <c r="AI7" s="40">
        <v>36192</v>
      </c>
      <c r="AJ7" s="44">
        <f>SUM(AA7:AG7)</f>
        <v>0</v>
      </c>
      <c r="AL7" s="5">
        <v>36557</v>
      </c>
      <c r="AM7">
        <v>0.53</v>
      </c>
      <c r="AP7">
        <f t="shared" ref="AP7:AP12" si="9">(VLOOKUP(D7,NGPREVPRICES,2,FALSE)+HLOOKUP(C7,PREVCURVES,VLOOKUP(D7,MOVE_DOWN2,2,FALSE),FALSE))</f>
        <v>3.0854999999999997</v>
      </c>
      <c r="AQ7">
        <f t="shared" ref="AQ7:AQ12" si="10">VLOOKUP(D7,NGPREVPRICES,4,FALSE)</f>
        <v>6.2586250879322999E-2</v>
      </c>
      <c r="AR7" s="291">
        <f t="shared" ref="AR7:AR12" si="11">HLOOKUP(C7,PREVVOLS,VLOOKUP(D7,MOVE_DOWN2,2,FALSE),FALSE)</f>
        <v>0.35499999999999998</v>
      </c>
      <c r="AS7" s="152">
        <f t="shared" ref="AS7:AS30" si="12">WORKDAY(D7,-3)-$AP$2</f>
        <v>12</v>
      </c>
      <c r="AT7" t="s">
        <v>175</v>
      </c>
      <c r="AU7" t="str">
        <f>C7</f>
        <v>IF-HPL/SHPCHAN</v>
      </c>
      <c r="AV7" s="275">
        <f>_xll.xXCOL2(K7:K12,AQ7:AQ12,AR7:AR12,AS7:AS12,P7,Q7,E7-$AP$2,H7,G7,N7,45,0)*(SUM(F7:F12))-BA7</f>
        <v>65225.851535797119</v>
      </c>
      <c r="AW7" s="275">
        <f>_xll.xXCOL2(AP7:AP12,L7:L12,AR7:AR12,AS7:AS12,P7,Q7,E7-$AP$2,H7,G7,N7,45,0)*(SUM(F7:F12))-BA7</f>
        <v>-0.48279762268066406</v>
      </c>
      <c r="AX7" s="335">
        <f>(BA7/VLOOKUP(D7,discount,3,FALSE))-(BA7/VLOOKUP(D7,discount,2,FALSE))</f>
        <v>-109.73846022610087</v>
      </c>
      <c r="AY7" s="275">
        <f>_xll.xXCOL2(AP7:AP12,AQ7:AQ12,AR7:AR12,AS7:AS12,P7,Q7,E7-$AP$2,H7,G7,N7,45,0)*(SUM(F7:F12))-BA7</f>
        <v>0</v>
      </c>
      <c r="AZ7" s="275">
        <f>_xll.xXCOL2(AP7:AP12,AQ7:AQ12,AR7:AR12,M7:M12,P7,Q7,E7-$B$3,H7,G7,N7,45,0)*(SUM(F7:F12))-BA7</f>
        <v>71.668624877929688</v>
      </c>
      <c r="BA7" s="152">
        <f>_xll.xXCOL2(AP7:AP12,AQ7:AQ12,AR7:AR12,AS7:AS12,P7,Q7,E7-$AP$2,H7,G7,N7,45,0)*(SUM(F7:F12))</f>
        <v>648807.5315952301</v>
      </c>
      <c r="BB7" s="276">
        <f>V7-BA7</f>
        <v>66352.057456970215</v>
      </c>
      <c r="BH7" s="292" t="s">
        <v>114</v>
      </c>
      <c r="BI7" s="292" t="s">
        <v>168</v>
      </c>
      <c r="BJ7" s="272" t="s">
        <v>0</v>
      </c>
      <c r="BK7" s="273" t="s">
        <v>181</v>
      </c>
      <c r="BL7" s="277" t="s">
        <v>169</v>
      </c>
    </row>
    <row r="8" spans="1:64" x14ac:dyDescent="0.25">
      <c r="A8" s="64" t="s">
        <v>262</v>
      </c>
      <c r="B8" s="295" t="s">
        <v>108</v>
      </c>
      <c r="C8" s="4" t="s">
        <v>0</v>
      </c>
      <c r="D8" s="5">
        <v>36678</v>
      </c>
      <c r="E8" s="5"/>
      <c r="F8" s="6">
        <v>150000</v>
      </c>
      <c r="G8" s="76">
        <v>2.1</v>
      </c>
      <c r="H8" s="76">
        <v>2.4</v>
      </c>
      <c r="I8" s="53">
        <f t="shared" si="0"/>
        <v>3.1720000000000002</v>
      </c>
      <c r="J8" s="7">
        <f t="shared" si="1"/>
        <v>1.4999999999999999E-2</v>
      </c>
      <c r="K8" s="51">
        <f t="shared" si="2"/>
        <v>3.1870000000000003</v>
      </c>
      <c r="L8" s="52">
        <f t="shared" si="3"/>
        <v>6.3039999833066004E-2</v>
      </c>
      <c r="M8" s="75">
        <f t="shared" si="4"/>
        <v>42</v>
      </c>
      <c r="N8" s="52"/>
      <c r="O8" s="51">
        <f t="shared" si="5"/>
        <v>0.38300000000000001</v>
      </c>
      <c r="P8" s="66"/>
      <c r="Q8" s="65"/>
      <c r="R8" s="5">
        <f t="shared" si="6"/>
        <v>36675</v>
      </c>
      <c r="S8" s="77"/>
      <c r="T8" s="87"/>
      <c r="U8" s="81">
        <f t="shared" si="7"/>
        <v>141858.08915672623</v>
      </c>
      <c r="V8" s="10"/>
      <c r="X8" t="str">
        <f>D8&amp;C8</f>
        <v>36678IF-HPL/SHPCHAN</v>
      </c>
      <c r="Z8" s="41">
        <f t="shared" ref="Z8:Z25" si="13">EOMONTH(Z7,0)+1</f>
        <v>36220</v>
      </c>
      <c r="AA8" s="43">
        <f t="shared" si="8"/>
        <v>0</v>
      </c>
      <c r="AB8" s="43">
        <f t="shared" si="8"/>
        <v>0</v>
      </c>
      <c r="AC8" s="43">
        <f t="shared" si="8"/>
        <v>0</v>
      </c>
      <c r="AD8" s="43">
        <f t="shared" si="8"/>
        <v>0</v>
      </c>
      <c r="AE8" s="43">
        <f t="shared" si="8"/>
        <v>0</v>
      </c>
      <c r="AF8" s="43">
        <f t="shared" si="8"/>
        <v>0</v>
      </c>
      <c r="AG8" s="44">
        <f t="shared" si="8"/>
        <v>0</v>
      </c>
      <c r="AI8" s="41">
        <f t="shared" ref="AI8:AI25" si="14">EOMONTH(AI7,0)+1</f>
        <v>36220</v>
      </c>
      <c r="AJ8" s="44">
        <f t="shared" ref="AJ8:AJ73" si="15">SUM(AA8:AG8)</f>
        <v>0</v>
      </c>
      <c r="AL8" s="5">
        <v>36586</v>
      </c>
      <c r="AM8">
        <v>0.44</v>
      </c>
      <c r="AP8">
        <f t="shared" si="9"/>
        <v>3.1065</v>
      </c>
      <c r="AQ8">
        <f t="shared" si="10"/>
        <v>6.3014700465000004E-2</v>
      </c>
      <c r="AR8" s="291">
        <f t="shared" si="11"/>
        <v>0.373</v>
      </c>
      <c r="AS8" s="152">
        <f t="shared" si="12"/>
        <v>45</v>
      </c>
      <c r="BB8" s="210"/>
      <c r="BH8" s="272" t="s">
        <v>175</v>
      </c>
      <c r="BI8" s="272" t="s">
        <v>170</v>
      </c>
      <c r="BJ8" s="278">
        <v>0</v>
      </c>
      <c r="BK8" s="279"/>
      <c r="BL8" s="280">
        <v>0</v>
      </c>
    </row>
    <row r="9" spans="1:64" x14ac:dyDescent="0.25">
      <c r="A9" s="64" t="s">
        <v>262</v>
      </c>
      <c r="B9" s="295" t="s">
        <v>108</v>
      </c>
      <c r="C9" s="4" t="s">
        <v>0</v>
      </c>
      <c r="D9" s="5">
        <v>36708</v>
      </c>
      <c r="E9" s="5"/>
      <c r="F9" s="6">
        <v>150000</v>
      </c>
      <c r="G9" s="76">
        <v>2.1</v>
      </c>
      <c r="H9" s="76">
        <v>2.4</v>
      </c>
      <c r="I9" s="53">
        <f t="shared" si="0"/>
        <v>3.181</v>
      </c>
      <c r="J9" s="7">
        <f t="shared" si="1"/>
        <v>2.2499999999999999E-2</v>
      </c>
      <c r="K9" s="51">
        <f t="shared" si="2"/>
        <v>3.2035</v>
      </c>
      <c r="L9" s="52">
        <f t="shared" si="3"/>
        <v>6.3695649345076003E-2</v>
      </c>
      <c r="M9" s="75">
        <f t="shared" si="4"/>
        <v>72</v>
      </c>
      <c r="N9" s="52"/>
      <c r="O9" s="51">
        <f t="shared" si="5"/>
        <v>0.39500000000000002</v>
      </c>
      <c r="P9" s="66"/>
      <c r="Q9" s="65"/>
      <c r="R9" s="5">
        <f t="shared" si="6"/>
        <v>36705</v>
      </c>
      <c r="S9" s="77"/>
      <c r="T9" s="87"/>
      <c r="U9" s="81">
        <f t="shared" si="7"/>
        <v>141858.08915672623</v>
      </c>
      <c r="V9" s="10"/>
      <c r="X9" t="str">
        <f t="shared" ref="X9:X18" si="16">D9&amp;C9</f>
        <v>36708IF-HPL/SHPCHAN</v>
      </c>
      <c r="Z9" s="41">
        <f t="shared" si="13"/>
        <v>36251</v>
      </c>
      <c r="AA9" s="43">
        <f t="shared" si="8"/>
        <v>0</v>
      </c>
      <c r="AB9" s="43">
        <f t="shared" si="8"/>
        <v>0</v>
      </c>
      <c r="AC9" s="43">
        <f t="shared" si="8"/>
        <v>0</v>
      </c>
      <c r="AD9" s="43">
        <f t="shared" si="8"/>
        <v>0</v>
      </c>
      <c r="AE9" s="43">
        <f t="shared" si="8"/>
        <v>0</v>
      </c>
      <c r="AF9" s="43">
        <f t="shared" si="8"/>
        <v>0</v>
      </c>
      <c r="AG9" s="44">
        <f t="shared" si="8"/>
        <v>0</v>
      </c>
      <c r="AI9" s="41">
        <f t="shared" si="14"/>
        <v>36251</v>
      </c>
      <c r="AJ9" s="44">
        <f t="shared" si="15"/>
        <v>0</v>
      </c>
      <c r="AL9" s="5">
        <v>36617</v>
      </c>
      <c r="AP9">
        <f t="shared" si="9"/>
        <v>3.1244999999999998</v>
      </c>
      <c r="AQ9">
        <f t="shared" si="10"/>
        <v>6.3649858745369006E-2</v>
      </c>
      <c r="AR9" s="291">
        <f t="shared" si="11"/>
        <v>0.38500000000000001</v>
      </c>
      <c r="AS9" s="152">
        <f t="shared" si="12"/>
        <v>75</v>
      </c>
      <c r="BB9" s="210"/>
      <c r="BH9" s="281"/>
      <c r="BI9" s="379" t="s">
        <v>171</v>
      </c>
      <c r="BJ9" s="282">
        <v>0</v>
      </c>
      <c r="BK9" s="283"/>
      <c r="BL9" s="284">
        <v>0</v>
      </c>
    </row>
    <row r="10" spans="1:64" x14ac:dyDescent="0.25">
      <c r="A10" s="64" t="s">
        <v>262</v>
      </c>
      <c r="B10" s="295" t="s">
        <v>108</v>
      </c>
      <c r="C10" s="4" t="s">
        <v>0</v>
      </c>
      <c r="D10" s="5">
        <v>36739</v>
      </c>
      <c r="E10" s="5"/>
      <c r="F10" s="6">
        <v>150000</v>
      </c>
      <c r="G10" s="76">
        <v>2.1</v>
      </c>
      <c r="H10" s="76">
        <v>2.4</v>
      </c>
      <c r="I10" s="53">
        <f t="shared" si="0"/>
        <v>3.1829999999999998</v>
      </c>
      <c r="J10" s="7">
        <f t="shared" si="1"/>
        <v>2.5000000000000001E-2</v>
      </c>
      <c r="K10" s="51">
        <f t="shared" si="2"/>
        <v>3.2079999999999997</v>
      </c>
      <c r="L10" s="52">
        <f t="shared" si="3"/>
        <v>6.4500399973534003E-2</v>
      </c>
      <c r="M10" s="75">
        <f t="shared" si="4"/>
        <v>101</v>
      </c>
      <c r="N10" s="52"/>
      <c r="O10" s="51">
        <f t="shared" si="5"/>
        <v>0.41299999999999998</v>
      </c>
      <c r="P10" s="66"/>
      <c r="Q10" s="65"/>
      <c r="R10" s="5">
        <f t="shared" si="6"/>
        <v>36734</v>
      </c>
      <c r="S10" s="77"/>
      <c r="T10" s="87"/>
      <c r="U10" s="81">
        <f t="shared" si="7"/>
        <v>141858.08915672623</v>
      </c>
      <c r="V10" s="10"/>
      <c r="X10" t="str">
        <f t="shared" si="16"/>
        <v>36739IF-HPL/SHPCHAN</v>
      </c>
      <c r="Z10" s="41">
        <f t="shared" si="13"/>
        <v>36281</v>
      </c>
      <c r="AA10" s="43">
        <f t="shared" si="8"/>
        <v>0</v>
      </c>
      <c r="AB10" s="43">
        <f t="shared" si="8"/>
        <v>0</v>
      </c>
      <c r="AC10" s="43">
        <f t="shared" si="8"/>
        <v>0</v>
      </c>
      <c r="AD10" s="43">
        <f t="shared" si="8"/>
        <v>0</v>
      </c>
      <c r="AE10" s="43">
        <f t="shared" si="8"/>
        <v>0</v>
      </c>
      <c r="AF10" s="43">
        <f t="shared" si="8"/>
        <v>0</v>
      </c>
      <c r="AG10" s="44">
        <f t="shared" si="8"/>
        <v>0</v>
      </c>
      <c r="AI10" s="41">
        <f t="shared" si="14"/>
        <v>36281</v>
      </c>
      <c r="AJ10" s="44">
        <f t="shared" si="15"/>
        <v>0</v>
      </c>
      <c r="AL10" s="5">
        <v>36647</v>
      </c>
      <c r="AP10">
        <f t="shared" si="9"/>
        <v>3.13</v>
      </c>
      <c r="AQ10">
        <f t="shared" si="10"/>
        <v>6.4474341076841996E-2</v>
      </c>
      <c r="AR10" s="291">
        <f t="shared" si="11"/>
        <v>0.40300000000000002</v>
      </c>
      <c r="AS10" s="152">
        <f t="shared" si="12"/>
        <v>104</v>
      </c>
      <c r="BB10" s="210"/>
      <c r="BH10" s="281"/>
      <c r="BI10" s="379" t="s">
        <v>172</v>
      </c>
      <c r="BJ10" s="282">
        <v>0</v>
      </c>
      <c r="BK10" s="283"/>
      <c r="BL10" s="284">
        <v>0</v>
      </c>
    </row>
    <row r="11" spans="1:64" x14ac:dyDescent="0.25">
      <c r="A11" s="64" t="s">
        <v>262</v>
      </c>
      <c r="B11" s="295" t="s">
        <v>108</v>
      </c>
      <c r="C11" s="4" t="s">
        <v>0</v>
      </c>
      <c r="D11" s="5">
        <v>36770</v>
      </c>
      <c r="E11" s="5"/>
      <c r="F11" s="6">
        <v>150000</v>
      </c>
      <c r="G11" s="76">
        <v>2.1</v>
      </c>
      <c r="H11" s="76">
        <v>2.4</v>
      </c>
      <c r="I11" s="53">
        <f t="shared" si="0"/>
        <v>3.173</v>
      </c>
      <c r="J11" s="7">
        <f t="shared" si="1"/>
        <v>1.7500000000000002E-2</v>
      </c>
      <c r="K11" s="51">
        <f t="shared" si="2"/>
        <v>3.1905000000000001</v>
      </c>
      <c r="L11" s="52">
        <f t="shared" si="3"/>
        <v>6.5221012015626995E-2</v>
      </c>
      <c r="M11" s="75">
        <f t="shared" si="4"/>
        <v>134</v>
      </c>
      <c r="N11" s="52"/>
      <c r="O11" s="51">
        <f t="shared" si="5"/>
        <v>0.42</v>
      </c>
      <c r="P11" s="66"/>
      <c r="Q11" s="65"/>
      <c r="R11" s="5">
        <f t="shared" si="6"/>
        <v>36767</v>
      </c>
      <c r="S11" s="77"/>
      <c r="T11" s="87"/>
      <c r="U11" s="81">
        <f t="shared" si="7"/>
        <v>141858.08915672623</v>
      </c>
      <c r="V11" s="10"/>
      <c r="X11" t="str">
        <f t="shared" si="16"/>
        <v>36770IF-HPL/SHPCHAN</v>
      </c>
      <c r="Z11" s="41">
        <f t="shared" si="13"/>
        <v>36312</v>
      </c>
      <c r="AA11" s="43">
        <f t="shared" si="8"/>
        <v>0</v>
      </c>
      <c r="AB11" s="43">
        <f t="shared" si="8"/>
        <v>0</v>
      </c>
      <c r="AC11" s="43">
        <f t="shared" si="8"/>
        <v>0</v>
      </c>
      <c r="AD11" s="43">
        <f t="shared" si="8"/>
        <v>0</v>
      </c>
      <c r="AE11" s="43">
        <f t="shared" si="8"/>
        <v>0</v>
      </c>
      <c r="AF11" s="43">
        <f t="shared" si="8"/>
        <v>0</v>
      </c>
      <c r="AG11" s="44">
        <f t="shared" si="8"/>
        <v>0</v>
      </c>
      <c r="AI11" s="41">
        <f t="shared" si="14"/>
        <v>36312</v>
      </c>
      <c r="AJ11" s="44">
        <f t="shared" si="15"/>
        <v>0</v>
      </c>
      <c r="AL11" s="5">
        <v>36678</v>
      </c>
      <c r="AP11">
        <f t="shared" si="9"/>
        <v>3.1160000000000001</v>
      </c>
      <c r="AQ11">
        <f t="shared" si="10"/>
        <v>6.5225433954021E-2</v>
      </c>
      <c r="AR11" s="291">
        <f t="shared" si="11"/>
        <v>0.41</v>
      </c>
      <c r="AS11" s="152">
        <f t="shared" si="12"/>
        <v>137</v>
      </c>
      <c r="BB11" s="210"/>
      <c r="BH11" s="281"/>
      <c r="BI11" s="379" t="s">
        <v>173</v>
      </c>
      <c r="BJ11" s="282">
        <v>0</v>
      </c>
      <c r="BK11" s="283"/>
      <c r="BL11" s="284">
        <v>0</v>
      </c>
    </row>
    <row r="12" spans="1:64" x14ac:dyDescent="0.25">
      <c r="A12" s="64" t="s">
        <v>262</v>
      </c>
      <c r="B12" s="295" t="s">
        <v>108</v>
      </c>
      <c r="C12" s="4" t="s">
        <v>0</v>
      </c>
      <c r="D12" s="5">
        <v>36800</v>
      </c>
      <c r="E12" s="5"/>
      <c r="F12" s="6">
        <v>150000</v>
      </c>
      <c r="G12" s="76">
        <v>2.1</v>
      </c>
      <c r="H12" s="76">
        <v>2.4</v>
      </c>
      <c r="I12" s="53">
        <f t="shared" si="0"/>
        <v>3.18</v>
      </c>
      <c r="J12" s="7">
        <f t="shared" si="1"/>
        <v>7.4999999999999997E-3</v>
      </c>
      <c r="K12" s="51">
        <f t="shared" si="2"/>
        <v>3.1875</v>
      </c>
      <c r="L12" s="52">
        <f t="shared" si="3"/>
        <v>6.5817989695161006E-2</v>
      </c>
      <c r="M12" s="75">
        <f t="shared" si="4"/>
        <v>163</v>
      </c>
      <c r="N12" s="52"/>
      <c r="O12" s="51">
        <f t="shared" si="5"/>
        <v>0.42299999999999999</v>
      </c>
      <c r="P12" s="66"/>
      <c r="Q12" s="65"/>
      <c r="R12" s="5">
        <f t="shared" si="6"/>
        <v>36796</v>
      </c>
      <c r="S12" s="77"/>
      <c r="T12" s="87"/>
      <c r="U12" s="81">
        <f t="shared" si="7"/>
        <v>141858.08915672623</v>
      </c>
      <c r="V12" s="10"/>
      <c r="X12" t="str">
        <f t="shared" si="16"/>
        <v>36800IF-HPL/SHPCHAN</v>
      </c>
      <c r="Z12" s="41">
        <f t="shared" si="13"/>
        <v>36342</v>
      </c>
      <c r="AA12" s="43">
        <f t="shared" si="8"/>
        <v>0</v>
      </c>
      <c r="AB12" s="43">
        <f t="shared" si="8"/>
        <v>0</v>
      </c>
      <c r="AC12" s="43">
        <f t="shared" si="8"/>
        <v>0</v>
      </c>
      <c r="AD12" s="43">
        <f t="shared" si="8"/>
        <v>0</v>
      </c>
      <c r="AE12" s="43">
        <f t="shared" si="8"/>
        <v>0</v>
      </c>
      <c r="AF12" s="43">
        <f t="shared" si="8"/>
        <v>0</v>
      </c>
      <c r="AG12" s="44">
        <f t="shared" si="8"/>
        <v>0</v>
      </c>
      <c r="AI12" s="41">
        <f t="shared" si="14"/>
        <v>36342</v>
      </c>
      <c r="AJ12" s="44">
        <f t="shared" si="15"/>
        <v>0</v>
      </c>
      <c r="AL12" s="5">
        <v>36708</v>
      </c>
      <c r="AP12">
        <f t="shared" si="9"/>
        <v>3.1159999999999997</v>
      </c>
      <c r="AQ12">
        <f t="shared" si="10"/>
        <v>6.5854112767071996E-2</v>
      </c>
      <c r="AR12" s="291">
        <f t="shared" si="11"/>
        <v>0.41299999999999998</v>
      </c>
      <c r="AS12" s="152">
        <f t="shared" si="12"/>
        <v>166</v>
      </c>
      <c r="BB12" s="210"/>
      <c r="BH12" s="281"/>
      <c r="BI12" s="379" t="s">
        <v>174</v>
      </c>
      <c r="BJ12" s="282">
        <v>0</v>
      </c>
      <c r="BK12" s="283"/>
      <c r="BL12" s="284">
        <v>0</v>
      </c>
    </row>
    <row r="13" spans="1:64" x14ac:dyDescent="0.25">
      <c r="A13" s="64" t="s">
        <v>262</v>
      </c>
      <c r="B13" s="295" t="s">
        <v>109</v>
      </c>
      <c r="C13" s="4" t="s">
        <v>0</v>
      </c>
      <c r="D13" s="5">
        <v>36647</v>
      </c>
      <c r="E13" s="5">
        <f>+WORKDAY(D13,-6)</f>
        <v>36637</v>
      </c>
      <c r="F13" s="6">
        <v>150000</v>
      </c>
      <c r="G13" s="76">
        <v>2.1</v>
      </c>
      <c r="H13" s="76">
        <v>2.4</v>
      </c>
      <c r="I13" s="53">
        <f t="shared" ref="I13:I18" si="17">VLOOKUP(D13,NGPrices,2,FALSE)</f>
        <v>3.1579999999999999</v>
      </c>
      <c r="J13" s="7">
        <f t="shared" ref="J13:J18" si="18">HLOOKUP(C13,Prices,VLOOKUP(D13,move_down,2,FALSE),FALSE)</f>
        <v>5.0000000000000001E-3</v>
      </c>
      <c r="K13" s="51">
        <f t="shared" ref="K13:K18" si="19">J13+I13</f>
        <v>3.1629999999999998</v>
      </c>
      <c r="L13" s="52">
        <f t="shared" ref="L13:L18" si="20">VLOOKUP(D13,NGPrices,4,FALSE)</f>
        <v>6.2683518517613002E-2</v>
      </c>
      <c r="M13" s="75">
        <f t="shared" si="4"/>
        <v>9</v>
      </c>
      <c r="N13" s="52">
        <v>0</v>
      </c>
      <c r="O13" s="51">
        <f t="shared" ref="O13:O18" si="21">HLOOKUP(C13,VOLS,VLOOKUP(D13,move_down,2,FALSE),FALSE)</f>
        <v>0.41</v>
      </c>
      <c r="P13" s="66">
        <v>0.26</v>
      </c>
      <c r="Q13" s="65">
        <v>1E-3</v>
      </c>
      <c r="R13" s="5">
        <f t="shared" si="6"/>
        <v>36642</v>
      </c>
      <c r="S13" s="77">
        <f>_xll.xXCOL2($K13:$K18,$L13:$L18,$O13:$O18,$M13:$M18,$P13,$Q13,$E13-$B$3,$H13,$G13,$N13,45,0)</f>
        <v>0.79462176561355591</v>
      </c>
      <c r="T13" s="52">
        <f>_xll.xXCOL2($K13:$K18,$L13:$L18,$O13:$O18,$M13:$M18,$P13,$Q13,$E13-$B$3,$H13,$G13,$N13,45,1)</f>
        <v>0.94572059437817491</v>
      </c>
      <c r="U13" s="81">
        <f t="shared" ref="U13:U18" si="22">$T$13*F13</f>
        <v>141858.08915672623</v>
      </c>
      <c r="V13" s="10">
        <f>S13*SUM(F13:F18)</f>
        <v>715159.58905220032</v>
      </c>
      <c r="X13" t="str">
        <f t="shared" si="16"/>
        <v>36647IF-HPL/SHPCHAN</v>
      </c>
      <c r="Z13" s="41">
        <f t="shared" si="13"/>
        <v>36373</v>
      </c>
      <c r="AA13" s="43">
        <f t="shared" si="8"/>
        <v>0</v>
      </c>
      <c r="AB13" s="43">
        <f t="shared" si="8"/>
        <v>0</v>
      </c>
      <c r="AC13" s="43">
        <f t="shared" si="8"/>
        <v>0</v>
      </c>
      <c r="AD13" s="43">
        <f t="shared" si="8"/>
        <v>0</v>
      </c>
      <c r="AE13" s="43">
        <f t="shared" si="8"/>
        <v>0</v>
      </c>
      <c r="AF13" s="43">
        <f t="shared" si="8"/>
        <v>0</v>
      </c>
      <c r="AG13" s="44">
        <f t="shared" si="8"/>
        <v>0</v>
      </c>
      <c r="AI13" s="41">
        <f t="shared" si="14"/>
        <v>36373</v>
      </c>
      <c r="AJ13" s="44">
        <f t="shared" si="15"/>
        <v>0</v>
      </c>
      <c r="AL13" s="5">
        <v>36739</v>
      </c>
      <c r="AP13">
        <f t="shared" ref="AP13:AP18" si="23">(VLOOKUP(D13,NGPREVPRICES,2,FALSE)+HLOOKUP(C13,PREVCURVES,VLOOKUP(D13,MOVE_DOWN2,2,FALSE),FALSE))</f>
        <v>3.0854999999999997</v>
      </c>
      <c r="AQ13">
        <f t="shared" ref="AQ13:AQ18" si="24">VLOOKUP(D13,NGPREVPRICES,4,FALSE)</f>
        <v>6.2586250879322999E-2</v>
      </c>
      <c r="AR13" s="291">
        <f t="shared" ref="AR13:AR18" si="25">HLOOKUP(C13,PREVVOLS,VLOOKUP(D13,MOVE_DOWN2,2,FALSE),FALSE)</f>
        <v>0.35499999999999998</v>
      </c>
      <c r="AS13" s="152">
        <f t="shared" si="12"/>
        <v>12</v>
      </c>
      <c r="AT13" t="s">
        <v>175</v>
      </c>
      <c r="AU13" t="str">
        <f>C13</f>
        <v>IF-HPL/SHPCHAN</v>
      </c>
      <c r="AV13" s="275">
        <f>_xll.xXCOL2(K13:K18,AQ13:AQ18,AR13:AR18,AS13:AS18,P13,Q13,E13-$AP$2,H13,G13,N13,45,0)*(SUM(F13:F18))-BA13</f>
        <v>65225.851535797119</v>
      </c>
      <c r="AW13" s="275">
        <f>_xll.xXCOL2(AP13:AP18,L13:L18,AR13:AR18,AS13:AS18,P13,Q13,E13-$AP$2,H13,G13,N13,45,0)*(SUM(F13:F18))-BA13</f>
        <v>-0.48279762268066406</v>
      </c>
      <c r="AX13" s="335">
        <f>(BA13/VLOOKUP(D13,discount,3,FALSE))-(BA13/VLOOKUP(D13,discount,2,FALSE))</f>
        <v>-109.73846022610087</v>
      </c>
      <c r="AY13" s="275">
        <f>_xll.xXCOL2(AP13:AP18,AQ13:AQ18,AR13:AR18,AS13:AS18,P7,Q13,E13-$AP$2,H13,G13,N13,45,0)*(SUM(F13:F18))-BA13</f>
        <v>0</v>
      </c>
      <c r="AZ13" s="275">
        <f>_xll.xXCOL2(AP13:AP18,AQ13:AQ18,AR13:AR18,M13:M18,P13,Q13,E13-$B$3,H13,G13,N13,45,0)*(SUM(F13:F18))-BA13</f>
        <v>71.668624877929688</v>
      </c>
      <c r="BA13" s="152">
        <f>_xll.xXCOL2(AP13:AP18,AQ13:AQ18,AR13:AR18,AS13:AS18,P13,Q13,E13-$AP$2,H13,G13,N13,45,0)*(SUM(F13:F18))</f>
        <v>648807.5315952301</v>
      </c>
      <c r="BB13" s="276">
        <f>V13-BA13</f>
        <v>66352.057456970215</v>
      </c>
      <c r="BH13" s="272" t="s">
        <v>181</v>
      </c>
      <c r="BI13" s="272" t="s">
        <v>170</v>
      </c>
      <c r="BJ13" s="278"/>
      <c r="BK13" s="279"/>
      <c r="BL13" s="280"/>
    </row>
    <row r="14" spans="1:64" x14ac:dyDescent="0.25">
      <c r="A14" s="64" t="s">
        <v>262</v>
      </c>
      <c r="B14" s="295" t="s">
        <v>109</v>
      </c>
      <c r="C14" s="4" t="s">
        <v>0</v>
      </c>
      <c r="D14" s="5">
        <v>36678</v>
      </c>
      <c r="E14" s="5"/>
      <c r="F14" s="6">
        <v>150000</v>
      </c>
      <c r="G14" s="76">
        <v>2.1</v>
      </c>
      <c r="H14" s="76">
        <v>2.4</v>
      </c>
      <c r="I14" s="53">
        <f t="shared" si="17"/>
        <v>3.1720000000000002</v>
      </c>
      <c r="J14" s="7">
        <f t="shared" si="18"/>
        <v>1.4999999999999999E-2</v>
      </c>
      <c r="K14" s="51">
        <f t="shared" si="19"/>
        <v>3.1870000000000003</v>
      </c>
      <c r="L14" s="52">
        <f t="shared" si="20"/>
        <v>6.3039999833066004E-2</v>
      </c>
      <c r="M14" s="75">
        <f t="shared" si="4"/>
        <v>42</v>
      </c>
      <c r="N14" s="52"/>
      <c r="O14" s="51">
        <f t="shared" si="21"/>
        <v>0.38300000000000001</v>
      </c>
      <c r="P14" s="66"/>
      <c r="Q14" s="65"/>
      <c r="R14" s="5">
        <f t="shared" si="6"/>
        <v>36675</v>
      </c>
      <c r="S14" s="77"/>
      <c r="T14" s="87"/>
      <c r="U14" s="81">
        <f t="shared" si="22"/>
        <v>141858.08915672623</v>
      </c>
      <c r="V14" s="10"/>
      <c r="X14" t="str">
        <f t="shared" si="16"/>
        <v>36678IF-HPL/SHPCHAN</v>
      </c>
      <c r="Z14" s="41">
        <f t="shared" si="13"/>
        <v>36404</v>
      </c>
      <c r="AA14" s="43">
        <f t="shared" si="8"/>
        <v>0</v>
      </c>
      <c r="AB14" s="43">
        <f t="shared" si="8"/>
        <v>0</v>
      </c>
      <c r="AC14" s="43">
        <f t="shared" si="8"/>
        <v>0</v>
      </c>
      <c r="AD14" s="43">
        <f t="shared" si="8"/>
        <v>0</v>
      </c>
      <c r="AE14" s="43">
        <f t="shared" si="8"/>
        <v>0</v>
      </c>
      <c r="AF14" s="43">
        <f t="shared" si="8"/>
        <v>0</v>
      </c>
      <c r="AG14" s="44">
        <f t="shared" si="8"/>
        <v>0</v>
      </c>
      <c r="AI14" s="41">
        <f t="shared" si="14"/>
        <v>36404</v>
      </c>
      <c r="AJ14" s="44">
        <f t="shared" si="15"/>
        <v>0</v>
      </c>
      <c r="AL14" s="5">
        <v>36770</v>
      </c>
      <c r="AP14">
        <f t="shared" si="23"/>
        <v>3.1065</v>
      </c>
      <c r="AQ14">
        <f t="shared" si="24"/>
        <v>6.3014700465000004E-2</v>
      </c>
      <c r="AR14" s="291">
        <f t="shared" si="25"/>
        <v>0.373</v>
      </c>
      <c r="AS14" s="152">
        <f t="shared" si="12"/>
        <v>45</v>
      </c>
      <c r="BB14" s="210"/>
      <c r="BH14" s="281"/>
      <c r="BI14" s="379" t="s">
        <v>171</v>
      </c>
      <c r="BJ14" s="282"/>
      <c r="BK14" s="283"/>
      <c r="BL14" s="284"/>
    </row>
    <row r="15" spans="1:64" x14ac:dyDescent="0.25">
      <c r="A15" s="64" t="s">
        <v>262</v>
      </c>
      <c r="B15" s="295" t="s">
        <v>109</v>
      </c>
      <c r="C15" s="4" t="s">
        <v>0</v>
      </c>
      <c r="D15" s="5">
        <v>36708</v>
      </c>
      <c r="E15" s="5"/>
      <c r="F15" s="6">
        <v>150000</v>
      </c>
      <c r="G15" s="76">
        <v>2.1</v>
      </c>
      <c r="H15" s="76">
        <v>2.4</v>
      </c>
      <c r="I15" s="53">
        <f t="shared" si="17"/>
        <v>3.181</v>
      </c>
      <c r="J15" s="7">
        <f t="shared" si="18"/>
        <v>2.2499999999999999E-2</v>
      </c>
      <c r="K15" s="51">
        <f t="shared" si="19"/>
        <v>3.2035</v>
      </c>
      <c r="L15" s="52">
        <f t="shared" si="20"/>
        <v>6.3695649345076003E-2</v>
      </c>
      <c r="M15" s="75">
        <f t="shared" si="4"/>
        <v>72</v>
      </c>
      <c r="N15" s="52"/>
      <c r="O15" s="51">
        <f t="shared" si="21"/>
        <v>0.39500000000000002</v>
      </c>
      <c r="P15" s="66"/>
      <c r="Q15" s="65"/>
      <c r="R15" s="5">
        <f t="shared" si="6"/>
        <v>36705</v>
      </c>
      <c r="S15" s="77"/>
      <c r="T15" s="87"/>
      <c r="U15" s="81">
        <f t="shared" si="22"/>
        <v>141858.08915672623</v>
      </c>
      <c r="V15" s="10"/>
      <c r="X15" t="str">
        <f t="shared" si="16"/>
        <v>36708IF-HPL/SHPCHAN</v>
      </c>
      <c r="Z15" s="41">
        <f t="shared" si="13"/>
        <v>36434</v>
      </c>
      <c r="AA15" s="43">
        <f t="shared" si="8"/>
        <v>0</v>
      </c>
      <c r="AB15" s="43">
        <f t="shared" si="8"/>
        <v>0</v>
      </c>
      <c r="AC15" s="43">
        <f t="shared" si="8"/>
        <v>0</v>
      </c>
      <c r="AD15" s="43">
        <f t="shared" si="8"/>
        <v>0</v>
      </c>
      <c r="AE15" s="43">
        <f t="shared" si="8"/>
        <v>0</v>
      </c>
      <c r="AF15" s="43">
        <f t="shared" si="8"/>
        <v>0</v>
      </c>
      <c r="AG15" s="44">
        <f t="shared" si="8"/>
        <v>0</v>
      </c>
      <c r="AI15" s="41">
        <f t="shared" si="14"/>
        <v>36434</v>
      </c>
      <c r="AJ15" s="44">
        <f t="shared" si="15"/>
        <v>0</v>
      </c>
      <c r="AL15" s="5">
        <v>36800</v>
      </c>
      <c r="AP15">
        <f t="shared" si="23"/>
        <v>3.1244999999999998</v>
      </c>
      <c r="AQ15">
        <f t="shared" si="24"/>
        <v>6.3649858745369006E-2</v>
      </c>
      <c r="AR15" s="291">
        <f t="shared" si="25"/>
        <v>0.38500000000000001</v>
      </c>
      <c r="AS15" s="152">
        <f t="shared" si="12"/>
        <v>75</v>
      </c>
      <c r="BB15" s="210"/>
      <c r="BH15" s="281"/>
      <c r="BI15" s="379" t="s">
        <v>172</v>
      </c>
      <c r="BJ15" s="282"/>
      <c r="BK15" s="283"/>
      <c r="BL15" s="284"/>
    </row>
    <row r="16" spans="1:64" x14ac:dyDescent="0.25">
      <c r="A16" s="64" t="s">
        <v>262</v>
      </c>
      <c r="B16" s="295" t="s">
        <v>109</v>
      </c>
      <c r="C16" s="4" t="s">
        <v>0</v>
      </c>
      <c r="D16" s="5">
        <v>36739</v>
      </c>
      <c r="E16" s="5"/>
      <c r="F16" s="6">
        <v>150000</v>
      </c>
      <c r="G16" s="76">
        <v>2.1</v>
      </c>
      <c r="H16" s="76">
        <v>2.4</v>
      </c>
      <c r="I16" s="53">
        <f t="shared" si="17"/>
        <v>3.1829999999999998</v>
      </c>
      <c r="J16" s="7">
        <f t="shared" si="18"/>
        <v>2.5000000000000001E-2</v>
      </c>
      <c r="K16" s="51">
        <f t="shared" si="19"/>
        <v>3.2079999999999997</v>
      </c>
      <c r="L16" s="52">
        <f t="shared" si="20"/>
        <v>6.4500399973534003E-2</v>
      </c>
      <c r="M16" s="75">
        <f t="shared" si="4"/>
        <v>101</v>
      </c>
      <c r="N16" s="52"/>
      <c r="O16" s="51">
        <f t="shared" si="21"/>
        <v>0.41299999999999998</v>
      </c>
      <c r="P16" s="66"/>
      <c r="Q16" s="65"/>
      <c r="R16" s="5">
        <f t="shared" si="6"/>
        <v>36734</v>
      </c>
      <c r="S16" s="77"/>
      <c r="T16" s="87"/>
      <c r="U16" s="81">
        <f t="shared" si="22"/>
        <v>141858.08915672623</v>
      </c>
      <c r="V16" s="10"/>
      <c r="X16" t="str">
        <f t="shared" si="16"/>
        <v>36739IF-HPL/SHPCHAN</v>
      </c>
      <c r="Z16" s="41">
        <f t="shared" si="13"/>
        <v>36465</v>
      </c>
      <c r="AA16" s="43">
        <f t="shared" si="8"/>
        <v>0</v>
      </c>
      <c r="AB16" s="43">
        <f t="shared" si="8"/>
        <v>0</v>
      </c>
      <c r="AC16" s="43">
        <f t="shared" si="8"/>
        <v>0</v>
      </c>
      <c r="AD16" s="43">
        <f t="shared" si="8"/>
        <v>0</v>
      </c>
      <c r="AE16" s="43">
        <f t="shared" si="8"/>
        <v>0</v>
      </c>
      <c r="AF16" s="43">
        <f t="shared" si="8"/>
        <v>0</v>
      </c>
      <c r="AG16" s="44">
        <f t="shared" si="8"/>
        <v>0</v>
      </c>
      <c r="AI16" s="41">
        <f t="shared" si="14"/>
        <v>36465</v>
      </c>
      <c r="AJ16" s="44">
        <f t="shared" si="15"/>
        <v>0</v>
      </c>
      <c r="AP16">
        <f t="shared" si="23"/>
        <v>3.13</v>
      </c>
      <c r="AQ16">
        <f t="shared" si="24"/>
        <v>6.4474341076841996E-2</v>
      </c>
      <c r="AR16" s="291">
        <f t="shared" si="25"/>
        <v>0.40300000000000002</v>
      </c>
      <c r="AS16" s="152">
        <f t="shared" si="12"/>
        <v>104</v>
      </c>
      <c r="BB16" s="210"/>
      <c r="BH16" s="281"/>
      <c r="BI16" s="379" t="s">
        <v>173</v>
      </c>
      <c r="BJ16" s="282"/>
      <c r="BK16" s="283"/>
      <c r="BL16" s="284"/>
    </row>
    <row r="17" spans="1:70" x14ac:dyDescent="0.25">
      <c r="A17" s="64" t="s">
        <v>262</v>
      </c>
      <c r="B17" s="295" t="s">
        <v>109</v>
      </c>
      <c r="C17" s="4" t="s">
        <v>0</v>
      </c>
      <c r="D17" s="5">
        <v>36770</v>
      </c>
      <c r="E17" s="5"/>
      <c r="F17" s="6">
        <v>150000</v>
      </c>
      <c r="G17" s="76">
        <v>2.1</v>
      </c>
      <c r="H17" s="76">
        <v>2.4</v>
      </c>
      <c r="I17" s="53">
        <f t="shared" si="17"/>
        <v>3.173</v>
      </c>
      <c r="J17" s="7">
        <f t="shared" si="18"/>
        <v>1.7500000000000002E-2</v>
      </c>
      <c r="K17" s="51">
        <f t="shared" si="19"/>
        <v>3.1905000000000001</v>
      </c>
      <c r="L17" s="52">
        <f t="shared" si="20"/>
        <v>6.5221012015626995E-2</v>
      </c>
      <c r="M17" s="75">
        <f t="shared" si="4"/>
        <v>134</v>
      </c>
      <c r="N17" s="52"/>
      <c r="O17" s="51">
        <f t="shared" si="21"/>
        <v>0.42</v>
      </c>
      <c r="P17" s="66"/>
      <c r="Q17" s="65"/>
      <c r="R17" s="5">
        <f t="shared" si="6"/>
        <v>36767</v>
      </c>
      <c r="S17" s="77"/>
      <c r="T17" s="87"/>
      <c r="U17" s="81">
        <f t="shared" si="22"/>
        <v>141858.08915672623</v>
      </c>
      <c r="V17" s="10"/>
      <c r="X17" t="str">
        <f t="shared" si="16"/>
        <v>36770IF-HPL/SHPCHAN</v>
      </c>
      <c r="Z17" s="41">
        <f t="shared" si="13"/>
        <v>36495</v>
      </c>
      <c r="AA17" s="43">
        <f t="shared" ref="AA17:AG26" si="26">SUMIF($X:$X,CONCATENATE($Z17,AA$6),$U:$U)</f>
        <v>0</v>
      </c>
      <c r="AB17" s="43">
        <f t="shared" si="26"/>
        <v>0</v>
      </c>
      <c r="AC17" s="43">
        <f t="shared" si="26"/>
        <v>0</v>
      </c>
      <c r="AD17" s="43">
        <f t="shared" si="26"/>
        <v>0</v>
      </c>
      <c r="AE17" s="43">
        <f t="shared" si="26"/>
        <v>0</v>
      </c>
      <c r="AF17" s="43">
        <f t="shared" si="26"/>
        <v>0</v>
      </c>
      <c r="AG17" s="44">
        <f t="shared" si="26"/>
        <v>0</v>
      </c>
      <c r="AI17" s="41">
        <f t="shared" si="14"/>
        <v>36495</v>
      </c>
      <c r="AJ17" s="44">
        <f t="shared" si="15"/>
        <v>0</v>
      </c>
      <c r="AP17">
        <f t="shared" si="23"/>
        <v>3.1160000000000001</v>
      </c>
      <c r="AQ17">
        <f t="shared" si="24"/>
        <v>6.5225433954021E-2</v>
      </c>
      <c r="AR17" s="291">
        <f t="shared" si="25"/>
        <v>0.41</v>
      </c>
      <c r="AS17" s="152">
        <f t="shared" si="12"/>
        <v>137</v>
      </c>
      <c r="BB17" s="210"/>
      <c r="BH17" s="281"/>
      <c r="BI17" s="379" t="s">
        <v>174</v>
      </c>
      <c r="BJ17" s="282"/>
      <c r="BK17" s="283"/>
      <c r="BL17" s="284"/>
    </row>
    <row r="18" spans="1:70" x14ac:dyDescent="0.25">
      <c r="A18" s="64" t="s">
        <v>262</v>
      </c>
      <c r="B18" s="295" t="s">
        <v>109</v>
      </c>
      <c r="C18" s="4" t="s">
        <v>0</v>
      </c>
      <c r="D18" s="5">
        <v>36800</v>
      </c>
      <c r="E18" s="5"/>
      <c r="F18" s="6">
        <v>150000</v>
      </c>
      <c r="G18" s="76">
        <v>2.1</v>
      </c>
      <c r="H18" s="76">
        <v>2.4</v>
      </c>
      <c r="I18" s="53">
        <f t="shared" si="17"/>
        <v>3.18</v>
      </c>
      <c r="J18" s="7">
        <f t="shared" si="18"/>
        <v>7.4999999999999997E-3</v>
      </c>
      <c r="K18" s="51">
        <f t="shared" si="19"/>
        <v>3.1875</v>
      </c>
      <c r="L18" s="52">
        <f t="shared" si="20"/>
        <v>6.5817989695161006E-2</v>
      </c>
      <c r="M18" s="75">
        <f t="shared" si="4"/>
        <v>163</v>
      </c>
      <c r="N18" s="52"/>
      <c r="O18" s="51">
        <f t="shared" si="21"/>
        <v>0.42299999999999999</v>
      </c>
      <c r="P18" s="66"/>
      <c r="Q18" s="65"/>
      <c r="R18" s="5">
        <f t="shared" si="6"/>
        <v>36796</v>
      </c>
      <c r="S18" s="77"/>
      <c r="T18" s="87"/>
      <c r="U18" s="81">
        <f t="shared" si="22"/>
        <v>141858.08915672623</v>
      </c>
      <c r="V18" s="10"/>
      <c r="X18" t="str">
        <f t="shared" si="16"/>
        <v>36800IF-HPL/SHPCHAN</v>
      </c>
      <c r="Z18" s="41">
        <f t="shared" si="13"/>
        <v>36526</v>
      </c>
      <c r="AA18" s="43">
        <f t="shared" si="26"/>
        <v>0</v>
      </c>
      <c r="AB18" s="43">
        <f t="shared" si="26"/>
        <v>0</v>
      </c>
      <c r="AC18" s="43">
        <f t="shared" si="26"/>
        <v>0</v>
      </c>
      <c r="AD18" s="43">
        <f t="shared" si="26"/>
        <v>0</v>
      </c>
      <c r="AE18" s="43">
        <f t="shared" si="26"/>
        <v>0</v>
      </c>
      <c r="AF18" s="43">
        <f t="shared" si="26"/>
        <v>0</v>
      </c>
      <c r="AG18" s="44">
        <f t="shared" si="26"/>
        <v>0</v>
      </c>
      <c r="AI18" s="41">
        <f t="shared" si="14"/>
        <v>36526</v>
      </c>
      <c r="AJ18" s="44">
        <f t="shared" si="15"/>
        <v>0</v>
      </c>
      <c r="AP18">
        <f t="shared" si="23"/>
        <v>3.1159999999999997</v>
      </c>
      <c r="AQ18">
        <f t="shared" si="24"/>
        <v>6.5854112767071996E-2</v>
      </c>
      <c r="AR18" s="291">
        <f t="shared" si="25"/>
        <v>0.41299999999999998</v>
      </c>
      <c r="AS18" s="152">
        <f t="shared" si="12"/>
        <v>166</v>
      </c>
      <c r="BB18" s="210"/>
      <c r="BH18" s="272" t="s">
        <v>176</v>
      </c>
      <c r="BI18" s="285"/>
      <c r="BJ18" s="278">
        <v>0</v>
      </c>
      <c r="BK18" s="279"/>
      <c r="BL18" s="280">
        <v>0</v>
      </c>
    </row>
    <row r="19" spans="1:70" x14ac:dyDescent="0.25">
      <c r="A19" s="64" t="s">
        <v>262</v>
      </c>
      <c r="B19" s="295" t="s">
        <v>108</v>
      </c>
      <c r="C19" s="4" t="s">
        <v>0</v>
      </c>
      <c r="D19" s="5">
        <v>36647</v>
      </c>
      <c r="E19" s="5">
        <f>+WORKDAY(D19,-6)</f>
        <v>36637</v>
      </c>
      <c r="F19" s="6">
        <v>-150000</v>
      </c>
      <c r="G19" s="76">
        <v>2.1</v>
      </c>
      <c r="H19" s="76">
        <v>2.4</v>
      </c>
      <c r="I19" s="53">
        <f t="shared" ref="I19:I30" si="27">VLOOKUP(D19,NGPrices,2,FALSE)</f>
        <v>3.1579999999999999</v>
      </c>
      <c r="J19" s="7">
        <f t="shared" ref="J19:J30" si="28">HLOOKUP(C19,Prices,VLOOKUP(D19,move_down,2,FALSE),FALSE)</f>
        <v>5.0000000000000001E-3</v>
      </c>
      <c r="K19" s="51">
        <f t="shared" ref="K19:K30" si="29">J19+I19</f>
        <v>3.1629999999999998</v>
      </c>
      <c r="L19" s="52">
        <f t="shared" ref="L19:L30" si="30">VLOOKUP(D19,NGPrices,4,FALSE)</f>
        <v>6.2683518517613002E-2</v>
      </c>
      <c r="M19" s="75">
        <f t="shared" si="4"/>
        <v>9</v>
      </c>
      <c r="N19" s="52">
        <v>0</v>
      </c>
      <c r="O19" s="51">
        <f t="shared" ref="O19:O30" si="31">HLOOKUP(C19,VOLS,VLOOKUP(D19,move_down,2,FALSE),FALSE)</f>
        <v>0.41</v>
      </c>
      <c r="P19" s="66">
        <v>0.26</v>
      </c>
      <c r="Q19" s="65">
        <v>1E-3</v>
      </c>
      <c r="R19" s="5">
        <f t="shared" si="6"/>
        <v>36642</v>
      </c>
      <c r="S19" s="77">
        <f>_xll.xXCOL2($K19:$K24,$L19:$L24,$O19:$O24,$M19:$M24,$P19,$Q19,$E19-$B$3,$H19,$G19,$N19,45,0)</f>
        <v>0.79462176561355591</v>
      </c>
      <c r="T19" s="52">
        <f>_xll.xXCOL2($K19:$K24,$L19:$L24,$O19:$O24,$M19:$M24,$P19,$Q19,$E19-$B$3,$H19,$G19,$N19,45,1)</f>
        <v>0.94572059437817491</v>
      </c>
      <c r="U19" s="81">
        <f t="shared" ref="U19:U30" si="32">$T$13*F19</f>
        <v>-141858.08915672623</v>
      </c>
      <c r="V19" s="10">
        <f>S19*SUM(F19:F24)</f>
        <v>-715159.58905220032</v>
      </c>
      <c r="X19" t="str">
        <f t="shared" ref="X19:X30" si="33">D19&amp;C19</f>
        <v>36647IF-HPL/SHPCHAN</v>
      </c>
      <c r="Z19" s="41">
        <f t="shared" si="13"/>
        <v>36557</v>
      </c>
      <c r="AA19" s="43">
        <f t="shared" si="26"/>
        <v>0</v>
      </c>
      <c r="AB19" s="43">
        <f t="shared" si="26"/>
        <v>0</v>
      </c>
      <c r="AC19" s="43">
        <f t="shared" si="26"/>
        <v>0</v>
      </c>
      <c r="AD19" s="43">
        <f t="shared" si="26"/>
        <v>0</v>
      </c>
      <c r="AE19" s="43">
        <f t="shared" si="26"/>
        <v>0</v>
      </c>
      <c r="AF19" s="43">
        <f t="shared" si="26"/>
        <v>0</v>
      </c>
      <c r="AG19" s="44">
        <f t="shared" si="26"/>
        <v>0</v>
      </c>
      <c r="AI19" s="41">
        <f t="shared" si="14"/>
        <v>36557</v>
      </c>
      <c r="AJ19" s="44">
        <f t="shared" si="15"/>
        <v>0</v>
      </c>
      <c r="AP19">
        <f t="shared" ref="AP19:AP28" si="34">(VLOOKUP(D19,NGPREVPRICES,2,FALSE)+HLOOKUP(C19,PREVCURVES,VLOOKUP(D19,MOVE_DOWN2,2,FALSE),FALSE))</f>
        <v>3.0854999999999997</v>
      </c>
      <c r="AQ19">
        <f t="shared" ref="AQ19:AQ28" si="35">VLOOKUP(D19,NGPREVPRICES,4,FALSE)</f>
        <v>6.2586250879322999E-2</v>
      </c>
      <c r="AR19" s="291">
        <f t="shared" ref="AR19:AR28" si="36">HLOOKUP(C19,PREVVOLS,VLOOKUP(D19,MOVE_DOWN2,2,FALSE),FALSE)</f>
        <v>0.35499999999999998</v>
      </c>
      <c r="AS19" s="152">
        <f t="shared" si="12"/>
        <v>12</v>
      </c>
      <c r="AT19" t="s">
        <v>175</v>
      </c>
      <c r="AU19" t="str">
        <f>C19</f>
        <v>IF-HPL/SHPCHAN</v>
      </c>
      <c r="AV19" s="275">
        <f>_xll.xXCOL2(K19:K24,AQ19:AQ24,AR19:AR24,AS19:AS24,P19,Q19,E19-$AP$2,H19,G19,N19,45,0)*(SUM(F19:F24))-BA19</f>
        <v>-65225.851535797119</v>
      </c>
      <c r="AW19" s="275">
        <f>_xll.xXCOL2(AP19:AP24,L19:L24,AR19:AR24,AS19:AS24,P19,Q19,E19-$AP$2,H19,G19,N19,45,0)*(SUM(F19:F24))-BA19</f>
        <v>0.48279762268066406</v>
      </c>
      <c r="AX19" s="335">
        <f>(BA19/VLOOKUP(D19,discount,3,FALSE))-(BA19/VLOOKUP(D19,discount,2,FALSE))</f>
        <v>109.73846022610087</v>
      </c>
      <c r="AY19" s="275">
        <f>_xll.xXCOL2(AP19:AP24,AQ19:AQ24,AR19:AR24,AS19:AS24,P13,Q19,E19-$AP$2,H19,G19,N19,45,0)*(SUM(F19:F24))-BA19</f>
        <v>0</v>
      </c>
      <c r="AZ19" s="275">
        <f>_xll.xXCOL2(AP19:AP24,AQ19:AQ24,AR19:AR24,M19:M24,P19,Q19,E19-$B$3,H19,G19,N19,45,0)*(SUM(F19:F24))-BA19</f>
        <v>-71.668624877929688</v>
      </c>
      <c r="BA19" s="152">
        <f>_xll.xXCOL2(AP19:AP24,AQ19:AQ24,AR19:AR24,AS19:AS24,P19,Q19,E19-$AP$2,H19,G19,N19,45,0)*(SUM(F19:F24))</f>
        <v>-648807.5315952301</v>
      </c>
      <c r="BB19" s="276">
        <f>V19-BA19</f>
        <v>-66352.057456970215</v>
      </c>
      <c r="BH19" s="272" t="s">
        <v>177</v>
      </c>
      <c r="BI19" s="285"/>
      <c r="BJ19" s="278">
        <v>0</v>
      </c>
      <c r="BK19" s="279"/>
      <c r="BL19" s="280">
        <v>0</v>
      </c>
    </row>
    <row r="20" spans="1:70" x14ac:dyDescent="0.25">
      <c r="A20" s="64" t="s">
        <v>262</v>
      </c>
      <c r="B20" s="295" t="s">
        <v>108</v>
      </c>
      <c r="C20" s="4" t="s">
        <v>0</v>
      </c>
      <c r="D20" s="5">
        <v>36678</v>
      </c>
      <c r="E20" s="5"/>
      <c r="F20" s="6">
        <v>-150000</v>
      </c>
      <c r="G20" s="76">
        <v>2.1</v>
      </c>
      <c r="H20" s="76">
        <v>2.4</v>
      </c>
      <c r="I20" s="53">
        <f t="shared" si="27"/>
        <v>3.1720000000000002</v>
      </c>
      <c r="J20" s="7">
        <f t="shared" si="28"/>
        <v>1.4999999999999999E-2</v>
      </c>
      <c r="K20" s="51">
        <f t="shared" si="29"/>
        <v>3.1870000000000003</v>
      </c>
      <c r="L20" s="52">
        <f t="shared" si="30"/>
        <v>6.3039999833066004E-2</v>
      </c>
      <c r="M20" s="75">
        <f t="shared" si="4"/>
        <v>42</v>
      </c>
      <c r="N20" s="52"/>
      <c r="O20" s="51">
        <f t="shared" si="31"/>
        <v>0.38300000000000001</v>
      </c>
      <c r="P20" s="66"/>
      <c r="Q20" s="65"/>
      <c r="R20" s="5">
        <f t="shared" si="6"/>
        <v>36675</v>
      </c>
      <c r="S20" s="77"/>
      <c r="T20" s="87"/>
      <c r="U20" s="81">
        <f t="shared" si="32"/>
        <v>-141858.08915672623</v>
      </c>
      <c r="V20" s="10"/>
      <c r="X20" t="str">
        <f t="shared" si="33"/>
        <v>36678IF-HPL/SHPCHAN</v>
      </c>
      <c r="Z20" s="41">
        <f t="shared" si="13"/>
        <v>36586</v>
      </c>
      <c r="AA20" s="43">
        <f t="shared" si="26"/>
        <v>0</v>
      </c>
      <c r="AB20" s="43">
        <f t="shared" si="26"/>
        <v>0</v>
      </c>
      <c r="AC20" s="43">
        <f t="shared" si="26"/>
        <v>0</v>
      </c>
      <c r="AD20" s="43">
        <f t="shared" si="26"/>
        <v>0</v>
      </c>
      <c r="AE20" s="43">
        <f t="shared" si="26"/>
        <v>0</v>
      </c>
      <c r="AF20" s="43">
        <f t="shared" si="26"/>
        <v>0</v>
      </c>
      <c r="AG20" s="44">
        <f t="shared" si="26"/>
        <v>0</v>
      </c>
      <c r="AI20" s="41">
        <f t="shared" si="14"/>
        <v>36586</v>
      </c>
      <c r="AJ20" s="44">
        <f t="shared" si="15"/>
        <v>0</v>
      </c>
      <c r="AP20">
        <f t="shared" si="34"/>
        <v>3.1065</v>
      </c>
      <c r="AQ20">
        <f t="shared" si="35"/>
        <v>6.3014700465000004E-2</v>
      </c>
      <c r="AR20" s="291">
        <f t="shared" si="36"/>
        <v>0.373</v>
      </c>
      <c r="AS20" s="152">
        <f t="shared" si="12"/>
        <v>45</v>
      </c>
      <c r="BH20" s="272" t="s">
        <v>178</v>
      </c>
      <c r="BI20" s="285"/>
      <c r="BJ20" s="278">
        <v>0</v>
      </c>
      <c r="BK20" s="279"/>
      <c r="BL20" s="280">
        <v>0</v>
      </c>
    </row>
    <row r="21" spans="1:70" x14ac:dyDescent="0.25">
      <c r="A21" s="64" t="s">
        <v>262</v>
      </c>
      <c r="B21" s="295" t="s">
        <v>108</v>
      </c>
      <c r="C21" s="4" t="s">
        <v>0</v>
      </c>
      <c r="D21" s="5">
        <v>36708</v>
      </c>
      <c r="E21" s="5"/>
      <c r="F21" s="6">
        <v>-150000</v>
      </c>
      <c r="G21" s="76">
        <v>2.1</v>
      </c>
      <c r="H21" s="76">
        <v>2.4</v>
      </c>
      <c r="I21" s="53">
        <f t="shared" si="27"/>
        <v>3.181</v>
      </c>
      <c r="J21" s="7">
        <f t="shared" si="28"/>
        <v>2.2499999999999999E-2</v>
      </c>
      <c r="K21" s="51">
        <f t="shared" si="29"/>
        <v>3.2035</v>
      </c>
      <c r="L21" s="52">
        <f t="shared" si="30"/>
        <v>6.3695649345076003E-2</v>
      </c>
      <c r="M21" s="75">
        <f t="shared" si="4"/>
        <v>72</v>
      </c>
      <c r="N21" s="52"/>
      <c r="O21" s="51">
        <f t="shared" si="31"/>
        <v>0.39500000000000002</v>
      </c>
      <c r="P21" s="66"/>
      <c r="Q21" s="65"/>
      <c r="R21" s="5">
        <f t="shared" si="6"/>
        <v>36705</v>
      </c>
      <c r="S21" s="77"/>
      <c r="T21" s="87"/>
      <c r="U21" s="81">
        <f t="shared" si="32"/>
        <v>-141858.08915672623</v>
      </c>
      <c r="V21" s="10"/>
      <c r="X21" t="str">
        <f t="shared" si="33"/>
        <v>36708IF-HPL/SHPCHAN</v>
      </c>
      <c r="Z21" s="41">
        <f t="shared" si="13"/>
        <v>36617</v>
      </c>
      <c r="AA21" s="43">
        <f t="shared" si="26"/>
        <v>0</v>
      </c>
      <c r="AB21" s="43">
        <f t="shared" si="26"/>
        <v>0</v>
      </c>
      <c r="AC21" s="43">
        <f t="shared" si="26"/>
        <v>0</v>
      </c>
      <c r="AD21" s="43">
        <f t="shared" si="26"/>
        <v>0</v>
      </c>
      <c r="AE21" s="43">
        <f t="shared" si="26"/>
        <v>0</v>
      </c>
      <c r="AF21" s="43">
        <f t="shared" si="26"/>
        <v>0</v>
      </c>
      <c r="AG21" s="44">
        <f t="shared" si="26"/>
        <v>0</v>
      </c>
      <c r="AI21" s="41">
        <f t="shared" si="14"/>
        <v>36617</v>
      </c>
      <c r="AJ21" s="44">
        <f t="shared" si="15"/>
        <v>0</v>
      </c>
      <c r="AP21">
        <f t="shared" si="34"/>
        <v>3.1244999999999998</v>
      </c>
      <c r="AQ21">
        <f t="shared" si="35"/>
        <v>6.3649858745369006E-2</v>
      </c>
      <c r="AR21" s="291">
        <f t="shared" si="36"/>
        <v>0.38500000000000001</v>
      </c>
      <c r="AS21" s="152">
        <f t="shared" si="12"/>
        <v>75</v>
      </c>
      <c r="BH21" s="272" t="s">
        <v>179</v>
      </c>
      <c r="BI21" s="285"/>
      <c r="BJ21" s="278">
        <v>0</v>
      </c>
      <c r="BK21" s="279"/>
      <c r="BL21" s="280">
        <v>0</v>
      </c>
    </row>
    <row r="22" spans="1:70" x14ac:dyDescent="0.25">
      <c r="A22" s="64" t="s">
        <v>262</v>
      </c>
      <c r="B22" s="295" t="s">
        <v>108</v>
      </c>
      <c r="C22" s="4" t="s">
        <v>0</v>
      </c>
      <c r="D22" s="5">
        <v>36739</v>
      </c>
      <c r="E22" s="5"/>
      <c r="F22" s="6">
        <v>-150000</v>
      </c>
      <c r="G22" s="76">
        <v>2.1</v>
      </c>
      <c r="H22" s="76">
        <v>2.4</v>
      </c>
      <c r="I22" s="53">
        <f t="shared" si="27"/>
        <v>3.1829999999999998</v>
      </c>
      <c r="J22" s="7">
        <f t="shared" si="28"/>
        <v>2.5000000000000001E-2</v>
      </c>
      <c r="K22" s="51">
        <f t="shared" si="29"/>
        <v>3.2079999999999997</v>
      </c>
      <c r="L22" s="52">
        <f t="shared" si="30"/>
        <v>6.4500399973534003E-2</v>
      </c>
      <c r="M22" s="75">
        <f t="shared" si="4"/>
        <v>101</v>
      </c>
      <c r="N22" s="52"/>
      <c r="O22" s="51">
        <f t="shared" si="31"/>
        <v>0.41299999999999998</v>
      </c>
      <c r="P22" s="66"/>
      <c r="Q22" s="65"/>
      <c r="R22" s="5">
        <f t="shared" si="6"/>
        <v>36734</v>
      </c>
      <c r="S22" s="77"/>
      <c r="T22" s="87"/>
      <c r="U22" s="81">
        <f t="shared" si="32"/>
        <v>-141858.08915672623</v>
      </c>
      <c r="V22" s="10"/>
      <c r="X22" t="str">
        <f t="shared" si="33"/>
        <v>36739IF-HPL/SHPCHAN</v>
      </c>
      <c r="Z22" s="41">
        <f t="shared" si="13"/>
        <v>36647</v>
      </c>
      <c r="AA22" s="43">
        <f t="shared" si="26"/>
        <v>0</v>
      </c>
      <c r="AB22" s="43">
        <f t="shared" si="26"/>
        <v>0</v>
      </c>
      <c r="AC22" s="43">
        <f t="shared" si="26"/>
        <v>0</v>
      </c>
      <c r="AD22" s="43">
        <f t="shared" si="26"/>
        <v>0</v>
      </c>
      <c r="AE22" s="43">
        <f t="shared" si="26"/>
        <v>0</v>
      </c>
      <c r="AF22" s="43">
        <f t="shared" si="26"/>
        <v>0</v>
      </c>
      <c r="AG22" s="44">
        <f t="shared" si="26"/>
        <v>0</v>
      </c>
      <c r="AI22" s="41">
        <f t="shared" si="14"/>
        <v>36647</v>
      </c>
      <c r="AJ22" s="44">
        <f t="shared" si="15"/>
        <v>0</v>
      </c>
      <c r="AP22">
        <f t="shared" si="34"/>
        <v>3.13</v>
      </c>
      <c r="AQ22">
        <f t="shared" si="35"/>
        <v>6.4474341076841996E-2</v>
      </c>
      <c r="AR22" s="291">
        <f t="shared" si="36"/>
        <v>0.40300000000000002</v>
      </c>
      <c r="AS22" s="152">
        <f t="shared" si="12"/>
        <v>104</v>
      </c>
      <c r="BH22" s="286" t="s">
        <v>180</v>
      </c>
      <c r="BI22" s="287"/>
      <c r="BJ22" s="288">
        <v>0</v>
      </c>
      <c r="BK22" s="289"/>
      <c r="BL22" s="290">
        <v>0</v>
      </c>
    </row>
    <row r="23" spans="1:70" x14ac:dyDescent="0.25">
      <c r="A23" s="64" t="s">
        <v>262</v>
      </c>
      <c r="B23" s="295" t="s">
        <v>108</v>
      </c>
      <c r="C23" s="4" t="s">
        <v>0</v>
      </c>
      <c r="D23" s="5">
        <v>36770</v>
      </c>
      <c r="E23" s="5"/>
      <c r="F23" s="6">
        <v>-150000</v>
      </c>
      <c r="G23" s="76">
        <v>2.1</v>
      </c>
      <c r="H23" s="76">
        <v>2.4</v>
      </c>
      <c r="I23" s="53">
        <f t="shared" si="27"/>
        <v>3.173</v>
      </c>
      <c r="J23" s="7">
        <f t="shared" si="28"/>
        <v>1.7500000000000002E-2</v>
      </c>
      <c r="K23" s="51">
        <f t="shared" si="29"/>
        <v>3.1905000000000001</v>
      </c>
      <c r="L23" s="52">
        <f t="shared" si="30"/>
        <v>6.5221012015626995E-2</v>
      </c>
      <c r="M23" s="75">
        <f t="shared" si="4"/>
        <v>134</v>
      </c>
      <c r="N23" s="52"/>
      <c r="O23" s="51">
        <f t="shared" si="31"/>
        <v>0.42</v>
      </c>
      <c r="P23" s="66"/>
      <c r="Q23" s="65"/>
      <c r="R23" s="5">
        <f t="shared" si="6"/>
        <v>36767</v>
      </c>
      <c r="S23" s="77"/>
      <c r="T23" s="87"/>
      <c r="U23" s="81">
        <f t="shared" si="32"/>
        <v>-141858.08915672623</v>
      </c>
      <c r="V23" s="10"/>
      <c r="X23" t="str">
        <f t="shared" si="33"/>
        <v>36770IF-HPL/SHPCHAN</v>
      </c>
      <c r="Z23" s="41">
        <f t="shared" si="13"/>
        <v>36678</v>
      </c>
      <c r="AA23" s="43">
        <f t="shared" si="26"/>
        <v>0</v>
      </c>
      <c r="AB23" s="43">
        <f t="shared" si="26"/>
        <v>0</v>
      </c>
      <c r="AC23" s="43">
        <f t="shared" si="26"/>
        <v>0</v>
      </c>
      <c r="AD23" s="43">
        <f t="shared" si="26"/>
        <v>0</v>
      </c>
      <c r="AE23" s="43">
        <f t="shared" si="26"/>
        <v>0</v>
      </c>
      <c r="AF23" s="43">
        <f t="shared" si="26"/>
        <v>0</v>
      </c>
      <c r="AG23" s="44">
        <f t="shared" si="26"/>
        <v>0</v>
      </c>
      <c r="AI23" s="41">
        <f t="shared" si="14"/>
        <v>36678</v>
      </c>
      <c r="AJ23" s="44">
        <f t="shared" si="15"/>
        <v>0</v>
      </c>
      <c r="AP23">
        <f t="shared" si="34"/>
        <v>3.1160000000000001</v>
      </c>
      <c r="AQ23">
        <f t="shared" si="35"/>
        <v>6.5225433954021E-2</v>
      </c>
      <c r="AR23" s="291">
        <f t="shared" si="36"/>
        <v>0.41</v>
      </c>
      <c r="AS23" s="152">
        <f t="shared" si="12"/>
        <v>137</v>
      </c>
    </row>
    <row r="24" spans="1:70" x14ac:dyDescent="0.25">
      <c r="A24" s="64" t="s">
        <v>262</v>
      </c>
      <c r="B24" s="295" t="s">
        <v>108</v>
      </c>
      <c r="C24" s="4" t="s">
        <v>0</v>
      </c>
      <c r="D24" s="5">
        <v>36800</v>
      </c>
      <c r="E24" s="5"/>
      <c r="F24" s="6">
        <v>-150000</v>
      </c>
      <c r="G24" s="76">
        <v>2.1</v>
      </c>
      <c r="H24" s="76">
        <v>2.4</v>
      </c>
      <c r="I24" s="53">
        <f t="shared" si="27"/>
        <v>3.18</v>
      </c>
      <c r="J24" s="7">
        <f t="shared" si="28"/>
        <v>7.4999999999999997E-3</v>
      </c>
      <c r="K24" s="51">
        <f t="shared" si="29"/>
        <v>3.1875</v>
      </c>
      <c r="L24" s="52">
        <f t="shared" si="30"/>
        <v>6.5817989695161006E-2</v>
      </c>
      <c r="M24" s="75">
        <f t="shared" si="4"/>
        <v>163</v>
      </c>
      <c r="N24" s="52"/>
      <c r="O24" s="51">
        <f t="shared" si="31"/>
        <v>0.42299999999999999</v>
      </c>
      <c r="P24" s="66"/>
      <c r="Q24" s="65"/>
      <c r="R24" s="5">
        <f t="shared" si="6"/>
        <v>36796</v>
      </c>
      <c r="S24" s="77"/>
      <c r="T24" s="87"/>
      <c r="U24" s="81">
        <f t="shared" si="32"/>
        <v>-141858.08915672623</v>
      </c>
      <c r="V24" s="10"/>
      <c r="X24" t="str">
        <f t="shared" si="33"/>
        <v>36800IF-HPL/SHPCHAN</v>
      </c>
      <c r="Z24" s="41">
        <f t="shared" si="13"/>
        <v>36708</v>
      </c>
      <c r="AA24" s="43">
        <f t="shared" si="26"/>
        <v>0</v>
      </c>
      <c r="AB24" s="43">
        <f t="shared" si="26"/>
        <v>0</v>
      </c>
      <c r="AC24" s="43">
        <f t="shared" si="26"/>
        <v>0</v>
      </c>
      <c r="AD24" s="43">
        <f t="shared" si="26"/>
        <v>0</v>
      </c>
      <c r="AE24" s="43">
        <f t="shared" si="26"/>
        <v>0</v>
      </c>
      <c r="AF24" s="43">
        <f t="shared" si="26"/>
        <v>0</v>
      </c>
      <c r="AG24" s="44">
        <f t="shared" si="26"/>
        <v>0</v>
      </c>
      <c r="AI24" s="41">
        <f t="shared" si="14"/>
        <v>36708</v>
      </c>
      <c r="AJ24" s="44">
        <f>SUM(AA24:AG24)</f>
        <v>0</v>
      </c>
      <c r="AP24">
        <f t="shared" si="34"/>
        <v>3.1159999999999997</v>
      </c>
      <c r="AQ24">
        <f t="shared" si="35"/>
        <v>6.5854112767071996E-2</v>
      </c>
      <c r="AR24" s="291">
        <f t="shared" si="36"/>
        <v>0.41299999999999998</v>
      </c>
      <c r="AS24" s="152">
        <f t="shared" si="12"/>
        <v>166</v>
      </c>
      <c r="BH24" s="380" t="s">
        <v>261</v>
      </c>
      <c r="BI24" s="381"/>
      <c r="BJ24" s="381"/>
      <c r="BK24" s="381"/>
      <c r="BL24" s="382">
        <f>SUM(BL18:BL23)</f>
        <v>0</v>
      </c>
    </row>
    <row r="25" spans="1:70" x14ac:dyDescent="0.25">
      <c r="A25" s="64" t="s">
        <v>262</v>
      </c>
      <c r="B25" s="295" t="s">
        <v>109</v>
      </c>
      <c r="C25" s="4" t="s">
        <v>0</v>
      </c>
      <c r="D25" s="5">
        <v>36647</v>
      </c>
      <c r="E25" s="5">
        <f>+WORKDAY(D25,-6)</f>
        <v>36637</v>
      </c>
      <c r="F25" s="6">
        <v>-150000</v>
      </c>
      <c r="G25" s="76">
        <v>2.1</v>
      </c>
      <c r="H25" s="76">
        <v>2.4</v>
      </c>
      <c r="I25" s="53">
        <f t="shared" si="27"/>
        <v>3.1579999999999999</v>
      </c>
      <c r="J25" s="7">
        <f t="shared" si="28"/>
        <v>5.0000000000000001E-3</v>
      </c>
      <c r="K25" s="51">
        <f t="shared" si="29"/>
        <v>3.1629999999999998</v>
      </c>
      <c r="L25" s="52">
        <f t="shared" si="30"/>
        <v>6.2683518517613002E-2</v>
      </c>
      <c r="M25" s="75">
        <f t="shared" si="4"/>
        <v>9</v>
      </c>
      <c r="N25" s="52">
        <v>0</v>
      </c>
      <c r="O25" s="51">
        <f t="shared" si="31"/>
        <v>0.41</v>
      </c>
      <c r="P25" s="66">
        <v>0.26</v>
      </c>
      <c r="Q25" s="65">
        <v>1E-3</v>
      </c>
      <c r="R25" s="5">
        <f t="shared" si="6"/>
        <v>36642</v>
      </c>
      <c r="S25" s="77">
        <f>_xll.xXCOL2($K25:$K30,$L25:$L30,$O25:$O30,$M25:$M30,$P25,$Q25,$E25-$B$3,$H25,$G25,$N25,45,0)</f>
        <v>0.79462176561355591</v>
      </c>
      <c r="T25" s="52">
        <f>_xll.xXCOL2($K25:$K30,$L25:$L30,$O25:$O30,$M25:$M30,$P25,$Q25,$E25-$B$3,$H25,$G25,$N25,45,1)</f>
        <v>0.94572059437817491</v>
      </c>
      <c r="U25" s="81">
        <f t="shared" si="32"/>
        <v>-141858.08915672623</v>
      </c>
      <c r="V25" s="10">
        <f>S25*SUM(F25:F30)</f>
        <v>-715159.58905220032</v>
      </c>
      <c r="X25" t="str">
        <f t="shared" si="33"/>
        <v>36647IF-HPL/SHPCHAN</v>
      </c>
      <c r="Z25" s="41">
        <f t="shared" si="13"/>
        <v>36739</v>
      </c>
      <c r="AA25" s="43">
        <f t="shared" si="26"/>
        <v>0</v>
      </c>
      <c r="AB25" s="43">
        <f t="shared" si="26"/>
        <v>0</v>
      </c>
      <c r="AC25" s="43">
        <f t="shared" si="26"/>
        <v>0</v>
      </c>
      <c r="AD25" s="43">
        <f t="shared" si="26"/>
        <v>0</v>
      </c>
      <c r="AE25" s="43">
        <f t="shared" si="26"/>
        <v>0</v>
      </c>
      <c r="AF25" s="43">
        <f t="shared" si="26"/>
        <v>0</v>
      </c>
      <c r="AG25" s="44">
        <f t="shared" si="26"/>
        <v>0</v>
      </c>
      <c r="AI25" s="41">
        <f t="shared" si="14"/>
        <v>36739</v>
      </c>
      <c r="AJ25" s="44">
        <f>SUM(AA25:AG25)</f>
        <v>0</v>
      </c>
      <c r="AP25">
        <f t="shared" si="34"/>
        <v>3.0854999999999997</v>
      </c>
      <c r="AQ25">
        <f t="shared" si="35"/>
        <v>6.2586250879322999E-2</v>
      </c>
      <c r="AR25" s="291">
        <f t="shared" si="36"/>
        <v>0.35499999999999998</v>
      </c>
      <c r="AS25" s="152">
        <f t="shared" si="12"/>
        <v>12</v>
      </c>
      <c r="AT25" t="s">
        <v>175</v>
      </c>
      <c r="AU25" t="str">
        <f>C25</f>
        <v>IF-HPL/SHPCHAN</v>
      </c>
      <c r="AV25" s="275">
        <f>_xll.xXCOL2(K25:K30,AQ25:AQ30,AR25:AR30,AS25:AS30,P25,Q25,E25-$AP$2,H25,G25,N25,45,0)*(SUM(F25:F30))-BA25</f>
        <v>-65225.851535797119</v>
      </c>
      <c r="AW25" s="275">
        <f>_xll.xXCOL2(AP25:AP30,L25:L30,AR25:AR30,AS25:AS30,P25,Q25,E25-$AP$2,H25,G25,N25,45,0)*(SUM(F25:F30))-BA25</f>
        <v>0.48279762268066406</v>
      </c>
      <c r="AX25" s="335">
        <f>(BA25/VLOOKUP(D25,discount,3,FALSE))-(BA25/VLOOKUP(D25,discount,2,FALSE))</f>
        <v>109.73846022610087</v>
      </c>
      <c r="AY25" s="275">
        <f>_xll.xXCOL2(AP25:AP30,AQ25:AQ30,AR25:AR30,AS25:AS30,P19,Q25,E25-$AP$2,H25,G25,N25,45,0)*(SUM(F25:F30))-BA25</f>
        <v>0</v>
      </c>
      <c r="AZ25" s="275">
        <f>_xll.xXCOL2(AP25:AP30,AQ25:AQ30,AR25:AR30,M25:M30,P25,Q25,E25-$B$3,H25,G25,N25,45,0)*(SUM(F25:F30))-BA25</f>
        <v>-71.668624877929688</v>
      </c>
      <c r="BA25" s="152">
        <f>_xll.xXCOL2(AP25:AP30,AQ25:AQ30,AR25:AR30,AS25:AS30,P25,Q25,E25-$AP$2,H25,G25,N25,45,0)*(SUM(F25:F30))</f>
        <v>-648807.5315952301</v>
      </c>
      <c r="BB25" s="276">
        <f>V25-BA25</f>
        <v>-66352.057456970215</v>
      </c>
    </row>
    <row r="26" spans="1:70" x14ac:dyDescent="0.25">
      <c r="A26" s="64" t="s">
        <v>262</v>
      </c>
      <c r="B26" s="295" t="s">
        <v>109</v>
      </c>
      <c r="C26" s="4" t="s">
        <v>0</v>
      </c>
      <c r="D26" s="5">
        <v>36678</v>
      </c>
      <c r="E26" s="5"/>
      <c r="F26" s="6">
        <v>-150000</v>
      </c>
      <c r="G26" s="76">
        <v>2.1</v>
      </c>
      <c r="H26" s="76">
        <v>2.4</v>
      </c>
      <c r="I26" s="53">
        <f t="shared" si="27"/>
        <v>3.1720000000000002</v>
      </c>
      <c r="J26" s="7">
        <f t="shared" si="28"/>
        <v>1.4999999999999999E-2</v>
      </c>
      <c r="K26" s="51">
        <f t="shared" si="29"/>
        <v>3.1870000000000003</v>
      </c>
      <c r="L26" s="52">
        <f t="shared" si="30"/>
        <v>6.3039999833066004E-2</v>
      </c>
      <c r="M26" s="75">
        <f t="shared" si="4"/>
        <v>42</v>
      </c>
      <c r="N26" s="52"/>
      <c r="O26" s="51">
        <f t="shared" si="31"/>
        <v>0.38300000000000001</v>
      </c>
      <c r="P26" s="66"/>
      <c r="Q26" s="65"/>
      <c r="R26" s="5">
        <f t="shared" si="6"/>
        <v>36675</v>
      </c>
      <c r="S26" s="77"/>
      <c r="T26" s="87"/>
      <c r="U26" s="81">
        <f t="shared" si="32"/>
        <v>-141858.08915672623</v>
      </c>
      <c r="V26" s="10"/>
      <c r="X26" t="str">
        <f t="shared" si="33"/>
        <v>36678IF-HPL/SHPCHAN</v>
      </c>
      <c r="Z26" s="41">
        <f>EOMONTH(Z23,0)+1</f>
        <v>36708</v>
      </c>
      <c r="AA26" s="43">
        <f t="shared" si="26"/>
        <v>0</v>
      </c>
      <c r="AB26" s="43">
        <f t="shared" si="26"/>
        <v>0</v>
      </c>
      <c r="AC26" s="43">
        <f t="shared" si="26"/>
        <v>0</v>
      </c>
      <c r="AD26" s="43">
        <f t="shared" si="26"/>
        <v>0</v>
      </c>
      <c r="AE26" s="43">
        <f t="shared" si="26"/>
        <v>0</v>
      </c>
      <c r="AF26" s="43">
        <f t="shared" si="26"/>
        <v>0</v>
      </c>
      <c r="AG26" s="44">
        <f t="shared" si="26"/>
        <v>0</v>
      </c>
      <c r="AI26" s="41">
        <f>EOMONTH(AI23,0)+1</f>
        <v>36708</v>
      </c>
      <c r="AJ26" s="44">
        <f t="shared" si="15"/>
        <v>0</v>
      </c>
      <c r="AP26">
        <f t="shared" si="34"/>
        <v>3.1065</v>
      </c>
      <c r="AQ26">
        <f t="shared" si="35"/>
        <v>6.3014700465000004E-2</v>
      </c>
      <c r="AR26" s="291">
        <f t="shared" si="36"/>
        <v>0.373</v>
      </c>
      <c r="AS26" s="152">
        <f t="shared" si="12"/>
        <v>45</v>
      </c>
    </row>
    <row r="27" spans="1:70" x14ac:dyDescent="0.25">
      <c r="A27" s="64" t="s">
        <v>262</v>
      </c>
      <c r="B27" s="295" t="s">
        <v>109</v>
      </c>
      <c r="C27" s="4" t="s">
        <v>0</v>
      </c>
      <c r="D27" s="5">
        <v>36708</v>
      </c>
      <c r="E27" s="5"/>
      <c r="F27" s="6">
        <v>-150000</v>
      </c>
      <c r="G27" s="76">
        <v>2.1</v>
      </c>
      <c r="H27" s="76">
        <v>2.4</v>
      </c>
      <c r="I27" s="53">
        <f t="shared" si="27"/>
        <v>3.181</v>
      </c>
      <c r="J27" s="7">
        <f t="shared" si="28"/>
        <v>2.2499999999999999E-2</v>
      </c>
      <c r="K27" s="51">
        <f t="shared" si="29"/>
        <v>3.2035</v>
      </c>
      <c r="L27" s="52">
        <f t="shared" si="30"/>
        <v>6.3695649345076003E-2</v>
      </c>
      <c r="M27" s="75">
        <f t="shared" si="4"/>
        <v>72</v>
      </c>
      <c r="N27" s="52"/>
      <c r="O27" s="51">
        <f t="shared" si="31"/>
        <v>0.39500000000000002</v>
      </c>
      <c r="P27" s="66"/>
      <c r="Q27" s="65"/>
      <c r="R27" s="5">
        <f t="shared" si="6"/>
        <v>36705</v>
      </c>
      <c r="S27" s="77"/>
      <c r="T27" s="87"/>
      <c r="U27" s="81">
        <f t="shared" si="32"/>
        <v>-141858.08915672623</v>
      </c>
      <c r="V27" s="10"/>
      <c r="X27" t="str">
        <f t="shared" si="33"/>
        <v>36708IF-HPL/SHPCHAN</v>
      </c>
      <c r="Z27" s="41">
        <f t="shared" ref="Z27:Z58" si="37">EOMONTH(Z26,0)+1</f>
        <v>36739</v>
      </c>
      <c r="AA27" s="43">
        <f t="shared" ref="AA27:AG36" si="38">SUMIF($X:$X,CONCATENATE($Z27,AA$6),$U:$U)</f>
        <v>0</v>
      </c>
      <c r="AB27" s="43">
        <f t="shared" si="38"/>
        <v>0</v>
      </c>
      <c r="AC27" s="43">
        <f t="shared" si="38"/>
        <v>0</v>
      </c>
      <c r="AD27" s="43">
        <f t="shared" si="38"/>
        <v>0</v>
      </c>
      <c r="AE27" s="43">
        <f t="shared" si="38"/>
        <v>0</v>
      </c>
      <c r="AF27" s="43">
        <f t="shared" si="38"/>
        <v>0</v>
      </c>
      <c r="AG27" s="44">
        <f t="shared" si="38"/>
        <v>0</v>
      </c>
      <c r="AI27" s="41">
        <f t="shared" ref="AI27:AI58" si="39">EOMONTH(AI26,0)+1</f>
        <v>36739</v>
      </c>
      <c r="AJ27" s="44">
        <f t="shared" si="15"/>
        <v>0</v>
      </c>
      <c r="AP27">
        <f t="shared" si="34"/>
        <v>3.1244999999999998</v>
      </c>
      <c r="AQ27">
        <f t="shared" si="35"/>
        <v>6.3649858745369006E-2</v>
      </c>
      <c r="AR27" s="291">
        <f t="shared" si="36"/>
        <v>0.38500000000000001</v>
      </c>
      <c r="AS27" s="152">
        <f t="shared" si="12"/>
        <v>75</v>
      </c>
    </row>
    <row r="28" spans="1:70" x14ac:dyDescent="0.25">
      <c r="A28" s="64" t="s">
        <v>262</v>
      </c>
      <c r="B28" s="295" t="s">
        <v>109</v>
      </c>
      <c r="C28" s="4" t="s">
        <v>0</v>
      </c>
      <c r="D28" s="5">
        <v>36739</v>
      </c>
      <c r="E28" s="5"/>
      <c r="F28" s="6">
        <v>-150000</v>
      </c>
      <c r="G28" s="76">
        <v>2.1</v>
      </c>
      <c r="H28" s="76">
        <v>2.4</v>
      </c>
      <c r="I28" s="53">
        <f t="shared" si="27"/>
        <v>3.1829999999999998</v>
      </c>
      <c r="J28" s="7">
        <f t="shared" si="28"/>
        <v>2.5000000000000001E-2</v>
      </c>
      <c r="K28" s="51">
        <f t="shared" si="29"/>
        <v>3.2079999999999997</v>
      </c>
      <c r="L28" s="52">
        <f t="shared" si="30"/>
        <v>6.4500399973534003E-2</v>
      </c>
      <c r="M28" s="75">
        <f t="shared" si="4"/>
        <v>101</v>
      </c>
      <c r="N28" s="52"/>
      <c r="O28" s="51">
        <f t="shared" si="31"/>
        <v>0.41299999999999998</v>
      </c>
      <c r="P28" s="66"/>
      <c r="Q28" s="65"/>
      <c r="R28" s="5">
        <f t="shared" si="6"/>
        <v>36734</v>
      </c>
      <c r="S28" s="77"/>
      <c r="T28" s="87"/>
      <c r="U28" s="81">
        <f t="shared" si="32"/>
        <v>-141858.08915672623</v>
      </c>
      <c r="V28" s="10"/>
      <c r="X28" t="str">
        <f t="shared" si="33"/>
        <v>36739IF-HPL/SHPCHAN</v>
      </c>
      <c r="Z28" s="41">
        <f t="shared" si="37"/>
        <v>36770</v>
      </c>
      <c r="AA28" s="43">
        <f t="shared" si="38"/>
        <v>0</v>
      </c>
      <c r="AB28" s="43">
        <f t="shared" si="38"/>
        <v>0</v>
      </c>
      <c r="AC28" s="43">
        <f t="shared" si="38"/>
        <v>0</v>
      </c>
      <c r="AD28" s="43">
        <f t="shared" si="38"/>
        <v>0</v>
      </c>
      <c r="AE28" s="43">
        <f t="shared" si="38"/>
        <v>0</v>
      </c>
      <c r="AF28" s="43">
        <f t="shared" si="38"/>
        <v>0</v>
      </c>
      <c r="AG28" s="44">
        <f t="shared" si="38"/>
        <v>0</v>
      </c>
      <c r="AI28" s="41">
        <f t="shared" si="39"/>
        <v>36770</v>
      </c>
      <c r="AJ28" s="44">
        <f t="shared" si="15"/>
        <v>0</v>
      </c>
      <c r="AP28">
        <f t="shared" si="34"/>
        <v>3.13</v>
      </c>
      <c r="AQ28">
        <f t="shared" si="35"/>
        <v>6.4474341076841996E-2</v>
      </c>
      <c r="AR28" s="291">
        <f t="shared" si="36"/>
        <v>0.40300000000000002</v>
      </c>
      <c r="AS28" s="152">
        <f t="shared" si="12"/>
        <v>104</v>
      </c>
    </row>
    <row r="29" spans="1:70" x14ac:dyDescent="0.25">
      <c r="A29" s="64" t="s">
        <v>262</v>
      </c>
      <c r="B29" s="295" t="s">
        <v>109</v>
      </c>
      <c r="C29" s="4" t="s">
        <v>0</v>
      </c>
      <c r="D29" s="5">
        <v>36770</v>
      </c>
      <c r="E29" s="5"/>
      <c r="F29" s="6">
        <v>-150000</v>
      </c>
      <c r="G29" s="76">
        <v>2.1</v>
      </c>
      <c r="H29" s="76">
        <v>2.4</v>
      </c>
      <c r="I29" s="53">
        <f t="shared" si="27"/>
        <v>3.173</v>
      </c>
      <c r="J29" s="7">
        <f t="shared" si="28"/>
        <v>1.7500000000000002E-2</v>
      </c>
      <c r="K29" s="51">
        <f t="shared" si="29"/>
        <v>3.1905000000000001</v>
      </c>
      <c r="L29" s="52">
        <f t="shared" si="30"/>
        <v>6.5221012015626995E-2</v>
      </c>
      <c r="M29" s="75">
        <f t="shared" si="4"/>
        <v>134</v>
      </c>
      <c r="N29" s="52"/>
      <c r="O29" s="51">
        <f t="shared" si="31"/>
        <v>0.42</v>
      </c>
      <c r="P29" s="66"/>
      <c r="Q29" s="65"/>
      <c r="R29" s="5">
        <f t="shared" si="6"/>
        <v>36767</v>
      </c>
      <c r="S29" s="77"/>
      <c r="T29" s="87"/>
      <c r="U29" s="81">
        <f t="shared" si="32"/>
        <v>-141858.08915672623</v>
      </c>
      <c r="V29" s="10"/>
      <c r="X29" t="str">
        <f t="shared" si="33"/>
        <v>36770IF-HPL/SHPCHAN</v>
      </c>
      <c r="Z29" s="41">
        <f t="shared" si="37"/>
        <v>36800</v>
      </c>
      <c r="AA29" s="43">
        <f t="shared" si="38"/>
        <v>0</v>
      </c>
      <c r="AB29" s="43">
        <f t="shared" si="38"/>
        <v>0</v>
      </c>
      <c r="AC29" s="43">
        <f t="shared" si="38"/>
        <v>0</v>
      </c>
      <c r="AD29" s="43">
        <f t="shared" si="38"/>
        <v>0</v>
      </c>
      <c r="AE29" s="43">
        <f t="shared" si="38"/>
        <v>0</v>
      </c>
      <c r="AF29" s="43">
        <f t="shared" si="38"/>
        <v>0</v>
      </c>
      <c r="AG29" s="44">
        <f t="shared" si="38"/>
        <v>0</v>
      </c>
      <c r="AI29" s="41">
        <f t="shared" si="39"/>
        <v>36800</v>
      </c>
      <c r="AJ29" s="44">
        <f t="shared" si="15"/>
        <v>0</v>
      </c>
      <c r="AP29">
        <f>(VLOOKUP(D29,NGPREVPRICES,2,FALSE)+HLOOKUP(C29,PREVCURVES,VLOOKUP(D29,MOVE_DOWN2,2,FALSE),FALSE))</f>
        <v>3.1160000000000001</v>
      </c>
      <c r="AQ29">
        <f>VLOOKUP(D29,NGPREVPRICES,4,FALSE)</f>
        <v>6.5225433954021E-2</v>
      </c>
      <c r="AR29" s="291">
        <f>HLOOKUP(C29,PREVVOLS,VLOOKUP(D29,MOVE_DOWN2,2,FALSE),FALSE)</f>
        <v>0.41</v>
      </c>
      <c r="AS29" s="152">
        <f t="shared" si="12"/>
        <v>137</v>
      </c>
    </row>
    <row r="30" spans="1:70" x14ac:dyDescent="0.25">
      <c r="A30" s="64" t="s">
        <v>262</v>
      </c>
      <c r="B30" s="295" t="s">
        <v>109</v>
      </c>
      <c r="C30" s="4" t="s">
        <v>0</v>
      </c>
      <c r="D30" s="5">
        <v>36800</v>
      </c>
      <c r="E30" s="5"/>
      <c r="F30" s="6">
        <v>-150000</v>
      </c>
      <c r="G30" s="76">
        <v>2.1</v>
      </c>
      <c r="H30" s="76">
        <v>2.4</v>
      </c>
      <c r="I30" s="53">
        <f t="shared" si="27"/>
        <v>3.18</v>
      </c>
      <c r="J30" s="7">
        <f t="shared" si="28"/>
        <v>7.4999999999999997E-3</v>
      </c>
      <c r="K30" s="51">
        <f t="shared" si="29"/>
        <v>3.1875</v>
      </c>
      <c r="L30" s="52">
        <f t="shared" si="30"/>
        <v>6.5817989695161006E-2</v>
      </c>
      <c r="M30" s="75">
        <f t="shared" si="4"/>
        <v>163</v>
      </c>
      <c r="N30" s="52"/>
      <c r="O30" s="51">
        <f t="shared" si="31"/>
        <v>0.42299999999999999</v>
      </c>
      <c r="P30" s="66"/>
      <c r="Q30" s="65"/>
      <c r="R30" s="5">
        <f t="shared" si="6"/>
        <v>36796</v>
      </c>
      <c r="S30" s="77"/>
      <c r="T30" s="87"/>
      <c r="U30" s="81">
        <f t="shared" si="32"/>
        <v>-141858.08915672623</v>
      </c>
      <c r="V30" s="10"/>
      <c r="X30" t="str">
        <f t="shared" si="33"/>
        <v>36800IF-HPL/SHPCHAN</v>
      </c>
      <c r="Z30" s="41">
        <f t="shared" si="37"/>
        <v>36831</v>
      </c>
      <c r="AA30" s="43">
        <f t="shared" si="38"/>
        <v>0</v>
      </c>
      <c r="AB30" s="43">
        <f t="shared" si="38"/>
        <v>0</v>
      </c>
      <c r="AC30" s="43">
        <f t="shared" si="38"/>
        <v>0</v>
      </c>
      <c r="AD30" s="43">
        <f t="shared" si="38"/>
        <v>0</v>
      </c>
      <c r="AE30" s="43">
        <f t="shared" si="38"/>
        <v>0</v>
      </c>
      <c r="AF30" s="43">
        <f t="shared" si="38"/>
        <v>0</v>
      </c>
      <c r="AG30" s="44">
        <f t="shared" si="38"/>
        <v>0</v>
      </c>
      <c r="AI30" s="41">
        <f t="shared" si="39"/>
        <v>36831</v>
      </c>
      <c r="AJ30" s="44">
        <f t="shared" si="15"/>
        <v>0</v>
      </c>
      <c r="AP30">
        <f>(VLOOKUP(D30,NGPREVPRICES,2,FALSE)+HLOOKUP(C30,PREVCURVES,VLOOKUP(D30,MOVE_DOWN2,2,FALSE),FALSE))</f>
        <v>3.1159999999999997</v>
      </c>
      <c r="AQ30">
        <f>VLOOKUP(D30,NGPREVPRICES,4,FALSE)</f>
        <v>6.5854112767071996E-2</v>
      </c>
      <c r="AR30" s="291">
        <f>HLOOKUP(C30,PREVVOLS,VLOOKUP(D30,MOVE_DOWN2,2,FALSE),FALSE)</f>
        <v>0.41299999999999998</v>
      </c>
      <c r="AS30" s="152">
        <f t="shared" si="12"/>
        <v>166</v>
      </c>
    </row>
    <row r="31" spans="1:70" x14ac:dyDescent="0.25">
      <c r="A31" s="51"/>
      <c r="B31" s="295"/>
      <c r="C31" s="4"/>
      <c r="D31" s="5"/>
      <c r="E31" s="51"/>
      <c r="F31" s="6"/>
      <c r="I31" s="53"/>
      <c r="J31" s="7"/>
      <c r="K31" s="51"/>
      <c r="L31" s="52"/>
      <c r="M31" s="75"/>
      <c r="O31" s="51"/>
      <c r="R31" s="5"/>
      <c r="T31" s="88"/>
      <c r="U31" s="81"/>
      <c r="Z31" s="41">
        <f t="shared" si="37"/>
        <v>36861</v>
      </c>
      <c r="AA31" s="43">
        <f t="shared" si="38"/>
        <v>0</v>
      </c>
      <c r="AB31" s="43">
        <f t="shared" si="38"/>
        <v>0</v>
      </c>
      <c r="AC31" s="43">
        <f t="shared" si="38"/>
        <v>0</v>
      </c>
      <c r="AD31" s="43">
        <f t="shared" si="38"/>
        <v>0</v>
      </c>
      <c r="AE31" s="43">
        <f t="shared" si="38"/>
        <v>0</v>
      </c>
      <c r="AF31" s="43">
        <f t="shared" si="38"/>
        <v>0</v>
      </c>
      <c r="AG31" s="44">
        <f t="shared" si="38"/>
        <v>0</v>
      </c>
      <c r="AI31" s="41">
        <f t="shared" si="39"/>
        <v>36861</v>
      </c>
      <c r="AJ31" s="44">
        <f t="shared" si="15"/>
        <v>0</v>
      </c>
      <c r="BG31" s="376"/>
      <c r="BM31" s="377"/>
      <c r="BN31" s="377"/>
      <c r="BO31" s="377"/>
      <c r="BP31" s="377"/>
      <c r="BQ31" s="377"/>
      <c r="BR31" s="377"/>
    </row>
    <row r="32" spans="1:70" x14ac:dyDescent="0.25">
      <c r="A32" s="51"/>
      <c r="B32" s="51"/>
      <c r="C32" s="51"/>
      <c r="D32" s="51"/>
      <c r="E32" s="51"/>
      <c r="T32" s="88"/>
      <c r="Z32" s="41">
        <f t="shared" si="37"/>
        <v>36892</v>
      </c>
      <c r="AA32" s="43">
        <f t="shared" si="38"/>
        <v>0</v>
      </c>
      <c r="AB32" s="43">
        <f t="shared" si="38"/>
        <v>0</v>
      </c>
      <c r="AC32" s="43">
        <f t="shared" si="38"/>
        <v>0</v>
      </c>
      <c r="AD32" s="43">
        <f t="shared" si="38"/>
        <v>0</v>
      </c>
      <c r="AE32" s="43">
        <f t="shared" si="38"/>
        <v>0</v>
      </c>
      <c r="AF32" s="43">
        <f t="shared" si="38"/>
        <v>0</v>
      </c>
      <c r="AG32" s="44">
        <f t="shared" si="38"/>
        <v>0</v>
      </c>
      <c r="AI32" s="41">
        <f t="shared" si="39"/>
        <v>36892</v>
      </c>
      <c r="AJ32" s="44">
        <f t="shared" si="15"/>
        <v>0</v>
      </c>
    </row>
    <row r="33" spans="1:36" x14ac:dyDescent="0.25">
      <c r="A33" s="51"/>
      <c r="B33" s="51"/>
      <c r="C33" s="51"/>
      <c r="D33" s="51"/>
      <c r="E33" s="51"/>
      <c r="T33" s="88"/>
      <c r="Z33" s="41">
        <f t="shared" si="37"/>
        <v>36923</v>
      </c>
      <c r="AA33" s="43">
        <f t="shared" si="38"/>
        <v>0</v>
      </c>
      <c r="AB33" s="43">
        <f t="shared" si="38"/>
        <v>0</v>
      </c>
      <c r="AC33" s="43">
        <f t="shared" si="38"/>
        <v>0</v>
      </c>
      <c r="AD33" s="43">
        <f t="shared" si="38"/>
        <v>0</v>
      </c>
      <c r="AE33" s="43">
        <f t="shared" si="38"/>
        <v>0</v>
      </c>
      <c r="AF33" s="43">
        <f t="shared" si="38"/>
        <v>0</v>
      </c>
      <c r="AG33" s="44">
        <f t="shared" si="38"/>
        <v>0</v>
      </c>
      <c r="AI33" s="41">
        <f t="shared" si="39"/>
        <v>36923</v>
      </c>
      <c r="AJ33" s="44">
        <f t="shared" si="15"/>
        <v>0</v>
      </c>
    </row>
    <row r="34" spans="1:36" x14ac:dyDescent="0.25">
      <c r="A34" s="51"/>
      <c r="B34" s="51"/>
      <c r="C34" s="51"/>
      <c r="D34" s="51"/>
      <c r="E34" s="51"/>
      <c r="T34" s="88"/>
      <c r="Z34" s="41">
        <f t="shared" si="37"/>
        <v>36951</v>
      </c>
      <c r="AA34" s="43">
        <f t="shared" si="38"/>
        <v>0</v>
      </c>
      <c r="AB34" s="43">
        <f t="shared" si="38"/>
        <v>0</v>
      </c>
      <c r="AC34" s="43">
        <f t="shared" si="38"/>
        <v>0</v>
      </c>
      <c r="AD34" s="43">
        <f t="shared" si="38"/>
        <v>0</v>
      </c>
      <c r="AE34" s="43">
        <f t="shared" si="38"/>
        <v>0</v>
      </c>
      <c r="AF34" s="43">
        <f t="shared" si="38"/>
        <v>0</v>
      </c>
      <c r="AG34" s="44">
        <f t="shared" si="38"/>
        <v>0</v>
      </c>
      <c r="AI34" s="41">
        <f t="shared" si="39"/>
        <v>36951</v>
      </c>
      <c r="AJ34" s="44">
        <f t="shared" si="15"/>
        <v>0</v>
      </c>
    </row>
    <row r="35" spans="1:36" x14ac:dyDescent="0.25">
      <c r="A35" s="51"/>
      <c r="B35" s="51"/>
      <c r="C35" s="51"/>
      <c r="D35" s="51"/>
      <c r="E35" s="51"/>
      <c r="T35" s="88"/>
      <c r="Z35" s="41">
        <f t="shared" si="37"/>
        <v>36982</v>
      </c>
      <c r="AA35" s="43">
        <f t="shared" si="38"/>
        <v>0</v>
      </c>
      <c r="AB35" s="43">
        <f t="shared" si="38"/>
        <v>0</v>
      </c>
      <c r="AC35" s="43">
        <f t="shared" si="38"/>
        <v>0</v>
      </c>
      <c r="AD35" s="43">
        <f t="shared" si="38"/>
        <v>0</v>
      </c>
      <c r="AE35" s="43">
        <f t="shared" si="38"/>
        <v>0</v>
      </c>
      <c r="AF35" s="43">
        <f t="shared" si="38"/>
        <v>0</v>
      </c>
      <c r="AG35" s="44">
        <f t="shared" si="38"/>
        <v>0</v>
      </c>
      <c r="AI35" s="41">
        <f t="shared" si="39"/>
        <v>36982</v>
      </c>
      <c r="AJ35" s="44">
        <f t="shared" si="15"/>
        <v>0</v>
      </c>
    </row>
    <row r="36" spans="1:36" x14ac:dyDescent="0.25">
      <c r="A36" s="51"/>
      <c r="B36" s="51"/>
      <c r="C36" s="51"/>
      <c r="D36" s="51"/>
      <c r="E36" s="51"/>
      <c r="T36" s="88"/>
      <c r="Z36" s="41">
        <f t="shared" si="37"/>
        <v>37012</v>
      </c>
      <c r="AA36" s="43">
        <f t="shared" si="38"/>
        <v>0</v>
      </c>
      <c r="AB36" s="43">
        <f t="shared" si="38"/>
        <v>0</v>
      </c>
      <c r="AC36" s="43">
        <f t="shared" si="38"/>
        <v>0</v>
      </c>
      <c r="AD36" s="43">
        <f t="shared" si="38"/>
        <v>0</v>
      </c>
      <c r="AE36" s="43">
        <f t="shared" si="38"/>
        <v>0</v>
      </c>
      <c r="AF36" s="43">
        <f t="shared" si="38"/>
        <v>0</v>
      </c>
      <c r="AG36" s="44">
        <f t="shared" si="38"/>
        <v>0</v>
      </c>
      <c r="AI36" s="41">
        <f t="shared" si="39"/>
        <v>37012</v>
      </c>
      <c r="AJ36" s="44">
        <f t="shared" si="15"/>
        <v>0</v>
      </c>
    </row>
    <row r="37" spans="1:36" x14ac:dyDescent="0.25">
      <c r="A37" s="51"/>
      <c r="B37" s="51"/>
      <c r="C37" s="51"/>
      <c r="D37" s="51"/>
      <c r="E37" s="51"/>
      <c r="T37" s="88"/>
      <c r="Z37" s="41">
        <f t="shared" si="37"/>
        <v>37043</v>
      </c>
      <c r="AA37" s="43">
        <f t="shared" ref="AA37:AG46" si="40">SUMIF($X:$X,CONCATENATE($Z37,AA$6),$U:$U)</f>
        <v>0</v>
      </c>
      <c r="AB37" s="43">
        <f t="shared" si="40"/>
        <v>0</v>
      </c>
      <c r="AC37" s="43">
        <f t="shared" si="40"/>
        <v>0</v>
      </c>
      <c r="AD37" s="43">
        <f t="shared" si="40"/>
        <v>0</v>
      </c>
      <c r="AE37" s="43">
        <f t="shared" si="40"/>
        <v>0</v>
      </c>
      <c r="AF37" s="43">
        <f t="shared" si="40"/>
        <v>0</v>
      </c>
      <c r="AG37" s="44">
        <f t="shared" si="40"/>
        <v>0</v>
      </c>
      <c r="AI37" s="41">
        <f t="shared" si="39"/>
        <v>37043</v>
      </c>
      <c r="AJ37" s="44">
        <f t="shared" si="15"/>
        <v>0</v>
      </c>
    </row>
    <row r="38" spans="1:36" x14ac:dyDescent="0.25">
      <c r="A38" s="51"/>
      <c r="B38" s="51"/>
      <c r="C38" s="51"/>
      <c r="D38" s="51"/>
      <c r="E38" s="51"/>
      <c r="T38" s="88"/>
      <c r="Z38" s="41">
        <f t="shared" si="37"/>
        <v>37073</v>
      </c>
      <c r="AA38" s="43">
        <f t="shared" si="40"/>
        <v>0</v>
      </c>
      <c r="AB38" s="43">
        <f t="shared" si="40"/>
        <v>0</v>
      </c>
      <c r="AC38" s="43">
        <f t="shared" si="40"/>
        <v>0</v>
      </c>
      <c r="AD38" s="43">
        <f t="shared" si="40"/>
        <v>0</v>
      </c>
      <c r="AE38" s="43">
        <f t="shared" si="40"/>
        <v>0</v>
      </c>
      <c r="AF38" s="43">
        <f t="shared" si="40"/>
        <v>0</v>
      </c>
      <c r="AG38" s="44">
        <f t="shared" si="40"/>
        <v>0</v>
      </c>
      <c r="AI38" s="41">
        <f t="shared" si="39"/>
        <v>37073</v>
      </c>
      <c r="AJ38" s="44">
        <f t="shared" si="15"/>
        <v>0</v>
      </c>
    </row>
    <row r="39" spans="1:36" x14ac:dyDescent="0.25">
      <c r="A39" s="51"/>
      <c r="B39" s="51"/>
      <c r="C39" s="51"/>
      <c r="D39" s="51"/>
      <c r="E39" s="51"/>
      <c r="T39" s="88"/>
      <c r="Z39" s="41">
        <f t="shared" si="37"/>
        <v>37104</v>
      </c>
      <c r="AA39" s="43">
        <f t="shared" si="40"/>
        <v>0</v>
      </c>
      <c r="AB39" s="43">
        <f t="shared" si="40"/>
        <v>0</v>
      </c>
      <c r="AC39" s="43">
        <f t="shared" si="40"/>
        <v>0</v>
      </c>
      <c r="AD39" s="43">
        <f t="shared" si="40"/>
        <v>0</v>
      </c>
      <c r="AE39" s="43">
        <f t="shared" si="40"/>
        <v>0</v>
      </c>
      <c r="AF39" s="43">
        <f t="shared" si="40"/>
        <v>0</v>
      </c>
      <c r="AG39" s="44">
        <f t="shared" si="40"/>
        <v>0</v>
      </c>
      <c r="AI39" s="41">
        <f t="shared" si="39"/>
        <v>37104</v>
      </c>
      <c r="AJ39" s="44">
        <f t="shared" si="15"/>
        <v>0</v>
      </c>
    </row>
    <row r="40" spans="1:36" x14ac:dyDescent="0.25">
      <c r="A40" s="51"/>
      <c r="B40" s="51"/>
      <c r="C40" s="51"/>
      <c r="D40" s="51"/>
      <c r="E40" s="51"/>
      <c r="T40" s="88"/>
      <c r="Z40" s="41">
        <f t="shared" si="37"/>
        <v>37135</v>
      </c>
      <c r="AA40" s="43">
        <f t="shared" si="40"/>
        <v>0</v>
      </c>
      <c r="AB40" s="43">
        <f t="shared" si="40"/>
        <v>0</v>
      </c>
      <c r="AC40" s="43">
        <f t="shared" si="40"/>
        <v>0</v>
      </c>
      <c r="AD40" s="43">
        <f t="shared" si="40"/>
        <v>0</v>
      </c>
      <c r="AE40" s="43">
        <f t="shared" si="40"/>
        <v>0</v>
      </c>
      <c r="AF40" s="43">
        <f t="shared" si="40"/>
        <v>0</v>
      </c>
      <c r="AG40" s="44">
        <f t="shared" si="40"/>
        <v>0</v>
      </c>
      <c r="AI40" s="41">
        <f t="shared" si="39"/>
        <v>37135</v>
      </c>
      <c r="AJ40" s="44">
        <f t="shared" si="15"/>
        <v>0</v>
      </c>
    </row>
    <row r="41" spans="1:36" x14ac:dyDescent="0.25">
      <c r="A41" s="51"/>
      <c r="B41" s="51"/>
      <c r="C41" s="51"/>
      <c r="D41" s="51"/>
      <c r="E41" s="51"/>
      <c r="T41" s="88"/>
      <c r="Z41" s="41">
        <f t="shared" si="37"/>
        <v>37165</v>
      </c>
      <c r="AA41" s="43">
        <f t="shared" si="40"/>
        <v>0</v>
      </c>
      <c r="AB41" s="43">
        <f t="shared" si="40"/>
        <v>0</v>
      </c>
      <c r="AC41" s="43">
        <f t="shared" si="40"/>
        <v>0</v>
      </c>
      <c r="AD41" s="43">
        <f t="shared" si="40"/>
        <v>0</v>
      </c>
      <c r="AE41" s="43">
        <f t="shared" si="40"/>
        <v>0</v>
      </c>
      <c r="AF41" s="43">
        <f t="shared" si="40"/>
        <v>0</v>
      </c>
      <c r="AG41" s="44">
        <f t="shared" si="40"/>
        <v>0</v>
      </c>
      <c r="AI41" s="41">
        <f t="shared" si="39"/>
        <v>37165</v>
      </c>
      <c r="AJ41" s="44">
        <f t="shared" si="15"/>
        <v>0</v>
      </c>
    </row>
    <row r="42" spans="1:36" x14ac:dyDescent="0.25">
      <c r="A42" s="51"/>
      <c r="B42" s="51"/>
      <c r="C42" s="51"/>
      <c r="D42" s="51"/>
      <c r="E42" s="51"/>
      <c r="T42" s="88"/>
      <c r="Z42" s="41">
        <f t="shared" si="37"/>
        <v>37196</v>
      </c>
      <c r="AA42" s="43">
        <f t="shared" si="40"/>
        <v>0</v>
      </c>
      <c r="AB42" s="43">
        <f t="shared" si="40"/>
        <v>0</v>
      </c>
      <c r="AC42" s="43">
        <f t="shared" si="40"/>
        <v>0</v>
      </c>
      <c r="AD42" s="43">
        <f t="shared" si="40"/>
        <v>0</v>
      </c>
      <c r="AE42" s="43">
        <f t="shared" si="40"/>
        <v>0</v>
      </c>
      <c r="AF42" s="43">
        <f t="shared" si="40"/>
        <v>0</v>
      </c>
      <c r="AG42" s="44">
        <f t="shared" si="40"/>
        <v>0</v>
      </c>
      <c r="AI42" s="41">
        <f t="shared" si="39"/>
        <v>37196</v>
      </c>
      <c r="AJ42" s="44">
        <f t="shared" si="15"/>
        <v>0</v>
      </c>
    </row>
    <row r="43" spans="1:36" x14ac:dyDescent="0.25">
      <c r="A43" s="51"/>
      <c r="B43" s="51"/>
      <c r="C43" s="51"/>
      <c r="D43" s="51"/>
      <c r="E43" s="51"/>
      <c r="T43" s="88"/>
      <c r="Z43" s="41">
        <f t="shared" si="37"/>
        <v>37226</v>
      </c>
      <c r="AA43" s="43">
        <f t="shared" si="40"/>
        <v>0</v>
      </c>
      <c r="AB43" s="43">
        <f t="shared" si="40"/>
        <v>0</v>
      </c>
      <c r="AC43" s="43">
        <f t="shared" si="40"/>
        <v>0</v>
      </c>
      <c r="AD43" s="43">
        <f t="shared" si="40"/>
        <v>0</v>
      </c>
      <c r="AE43" s="43">
        <f t="shared" si="40"/>
        <v>0</v>
      </c>
      <c r="AF43" s="43">
        <f t="shared" si="40"/>
        <v>0</v>
      </c>
      <c r="AG43" s="44">
        <f t="shared" si="40"/>
        <v>0</v>
      </c>
      <c r="AI43" s="41">
        <f t="shared" si="39"/>
        <v>37226</v>
      </c>
      <c r="AJ43" s="44">
        <f t="shared" si="15"/>
        <v>0</v>
      </c>
    </row>
    <row r="44" spans="1:36" x14ac:dyDescent="0.25">
      <c r="A44" s="51"/>
      <c r="B44" s="51"/>
      <c r="C44" s="51"/>
      <c r="D44" s="51"/>
      <c r="E44" s="51"/>
      <c r="T44" s="88"/>
      <c r="Z44" s="41">
        <f t="shared" si="37"/>
        <v>37257</v>
      </c>
      <c r="AA44" s="43">
        <f t="shared" si="40"/>
        <v>0</v>
      </c>
      <c r="AB44" s="43">
        <f t="shared" si="40"/>
        <v>0</v>
      </c>
      <c r="AC44" s="43">
        <f t="shared" si="40"/>
        <v>0</v>
      </c>
      <c r="AD44" s="43">
        <f t="shared" si="40"/>
        <v>0</v>
      </c>
      <c r="AE44" s="43">
        <f t="shared" si="40"/>
        <v>0</v>
      </c>
      <c r="AF44" s="43">
        <f t="shared" si="40"/>
        <v>0</v>
      </c>
      <c r="AG44" s="44">
        <f t="shared" si="40"/>
        <v>0</v>
      </c>
      <c r="AI44" s="41">
        <f t="shared" si="39"/>
        <v>37257</v>
      </c>
      <c r="AJ44" s="44">
        <f t="shared" si="15"/>
        <v>0</v>
      </c>
    </row>
    <row r="45" spans="1:36" x14ac:dyDescent="0.25">
      <c r="A45" s="51"/>
      <c r="B45" s="51"/>
      <c r="C45" s="51"/>
      <c r="D45" s="51"/>
      <c r="E45" s="51"/>
      <c r="T45" s="88"/>
      <c r="Z45" s="41">
        <f t="shared" si="37"/>
        <v>37288</v>
      </c>
      <c r="AA45" s="43">
        <f t="shared" si="40"/>
        <v>0</v>
      </c>
      <c r="AB45" s="43">
        <f t="shared" si="40"/>
        <v>0</v>
      </c>
      <c r="AC45" s="43">
        <f t="shared" si="40"/>
        <v>0</v>
      </c>
      <c r="AD45" s="43">
        <f t="shared" si="40"/>
        <v>0</v>
      </c>
      <c r="AE45" s="43">
        <f t="shared" si="40"/>
        <v>0</v>
      </c>
      <c r="AF45" s="43">
        <f t="shared" si="40"/>
        <v>0</v>
      </c>
      <c r="AG45" s="44">
        <f t="shared" si="40"/>
        <v>0</v>
      </c>
      <c r="AI45" s="41">
        <f t="shared" si="39"/>
        <v>37288</v>
      </c>
      <c r="AJ45" s="44">
        <f t="shared" si="15"/>
        <v>0</v>
      </c>
    </row>
    <row r="46" spans="1:36" x14ac:dyDescent="0.25">
      <c r="A46" s="51"/>
      <c r="B46" s="51"/>
      <c r="C46" s="51"/>
      <c r="D46" s="51"/>
      <c r="E46" s="51"/>
      <c r="T46" s="88"/>
      <c r="Z46" s="41">
        <f t="shared" si="37"/>
        <v>37316</v>
      </c>
      <c r="AA46" s="43">
        <f t="shared" si="40"/>
        <v>0</v>
      </c>
      <c r="AB46" s="43">
        <f t="shared" si="40"/>
        <v>0</v>
      </c>
      <c r="AC46" s="43">
        <f t="shared" si="40"/>
        <v>0</v>
      </c>
      <c r="AD46" s="43">
        <f t="shared" si="40"/>
        <v>0</v>
      </c>
      <c r="AE46" s="43">
        <f t="shared" si="40"/>
        <v>0</v>
      </c>
      <c r="AF46" s="43">
        <f t="shared" si="40"/>
        <v>0</v>
      </c>
      <c r="AG46" s="44">
        <f t="shared" si="40"/>
        <v>0</v>
      </c>
      <c r="AI46" s="41">
        <f t="shared" si="39"/>
        <v>37316</v>
      </c>
      <c r="AJ46" s="44">
        <f t="shared" si="15"/>
        <v>0</v>
      </c>
    </row>
    <row r="47" spans="1:36" x14ac:dyDescent="0.25">
      <c r="A47" s="51"/>
      <c r="B47" s="51"/>
      <c r="C47" s="51"/>
      <c r="D47" s="51"/>
      <c r="E47" s="51"/>
      <c r="T47" s="88"/>
      <c r="Z47" s="41">
        <f t="shared" si="37"/>
        <v>37347</v>
      </c>
      <c r="AA47" s="43">
        <f t="shared" ref="AA47:AG56" si="41">SUMIF($X:$X,CONCATENATE($Z47,AA$6),$U:$U)</f>
        <v>0</v>
      </c>
      <c r="AB47" s="43">
        <f t="shared" si="41"/>
        <v>0</v>
      </c>
      <c r="AC47" s="43">
        <f t="shared" si="41"/>
        <v>0</v>
      </c>
      <c r="AD47" s="43">
        <f t="shared" si="41"/>
        <v>0</v>
      </c>
      <c r="AE47" s="43">
        <f t="shared" si="41"/>
        <v>0</v>
      </c>
      <c r="AF47" s="43">
        <f t="shared" si="41"/>
        <v>0</v>
      </c>
      <c r="AG47" s="44">
        <f t="shared" si="41"/>
        <v>0</v>
      </c>
      <c r="AI47" s="41">
        <f t="shared" si="39"/>
        <v>37347</v>
      </c>
      <c r="AJ47" s="44">
        <f t="shared" si="15"/>
        <v>0</v>
      </c>
    </row>
    <row r="48" spans="1:36" x14ac:dyDescent="0.25">
      <c r="T48" s="88"/>
      <c r="Z48" s="41">
        <f t="shared" si="37"/>
        <v>37377</v>
      </c>
      <c r="AA48" s="43">
        <f t="shared" si="41"/>
        <v>0</v>
      </c>
      <c r="AB48" s="43">
        <f t="shared" si="41"/>
        <v>0</v>
      </c>
      <c r="AC48" s="43">
        <f t="shared" si="41"/>
        <v>0</v>
      </c>
      <c r="AD48" s="43">
        <f t="shared" si="41"/>
        <v>0</v>
      </c>
      <c r="AE48" s="43">
        <f t="shared" si="41"/>
        <v>0</v>
      </c>
      <c r="AF48" s="43">
        <f t="shared" si="41"/>
        <v>0</v>
      </c>
      <c r="AG48" s="44">
        <f t="shared" si="41"/>
        <v>0</v>
      </c>
      <c r="AI48" s="41">
        <f t="shared" si="39"/>
        <v>37377</v>
      </c>
      <c r="AJ48" s="44">
        <f t="shared" si="15"/>
        <v>0</v>
      </c>
    </row>
    <row r="49" spans="20:36" x14ac:dyDescent="0.25">
      <c r="T49" s="88"/>
      <c r="Z49" s="41">
        <f t="shared" si="37"/>
        <v>37408</v>
      </c>
      <c r="AA49" s="43">
        <f t="shared" si="41"/>
        <v>0</v>
      </c>
      <c r="AB49" s="43">
        <f t="shared" si="41"/>
        <v>0</v>
      </c>
      <c r="AC49" s="43">
        <f t="shared" si="41"/>
        <v>0</v>
      </c>
      <c r="AD49" s="43">
        <f t="shared" si="41"/>
        <v>0</v>
      </c>
      <c r="AE49" s="43">
        <f t="shared" si="41"/>
        <v>0</v>
      </c>
      <c r="AF49" s="43">
        <f t="shared" si="41"/>
        <v>0</v>
      </c>
      <c r="AG49" s="44">
        <f t="shared" si="41"/>
        <v>0</v>
      </c>
      <c r="AI49" s="41">
        <f t="shared" si="39"/>
        <v>37408</v>
      </c>
      <c r="AJ49" s="44">
        <f t="shared" si="15"/>
        <v>0</v>
      </c>
    </row>
    <row r="50" spans="20:36" x14ac:dyDescent="0.25">
      <c r="T50" s="88"/>
      <c r="Z50" s="41">
        <f t="shared" si="37"/>
        <v>37438</v>
      </c>
      <c r="AA50" s="43">
        <f t="shared" si="41"/>
        <v>0</v>
      </c>
      <c r="AB50" s="43">
        <f t="shared" si="41"/>
        <v>0</v>
      </c>
      <c r="AC50" s="43">
        <f t="shared" si="41"/>
        <v>0</v>
      </c>
      <c r="AD50" s="43">
        <f t="shared" si="41"/>
        <v>0</v>
      </c>
      <c r="AE50" s="43">
        <f t="shared" si="41"/>
        <v>0</v>
      </c>
      <c r="AF50" s="43">
        <f t="shared" si="41"/>
        <v>0</v>
      </c>
      <c r="AG50" s="44">
        <f t="shared" si="41"/>
        <v>0</v>
      </c>
      <c r="AI50" s="41">
        <f t="shared" si="39"/>
        <v>37438</v>
      </c>
      <c r="AJ50" s="44">
        <f t="shared" si="15"/>
        <v>0</v>
      </c>
    </row>
    <row r="51" spans="20:36" x14ac:dyDescent="0.25">
      <c r="T51" s="88"/>
      <c r="Z51" s="41">
        <f t="shared" si="37"/>
        <v>37469</v>
      </c>
      <c r="AA51" s="43">
        <f t="shared" si="41"/>
        <v>0</v>
      </c>
      <c r="AB51" s="43">
        <f t="shared" si="41"/>
        <v>0</v>
      </c>
      <c r="AC51" s="43">
        <f t="shared" si="41"/>
        <v>0</v>
      </c>
      <c r="AD51" s="43">
        <f t="shared" si="41"/>
        <v>0</v>
      </c>
      <c r="AE51" s="43">
        <f t="shared" si="41"/>
        <v>0</v>
      </c>
      <c r="AF51" s="43">
        <f t="shared" si="41"/>
        <v>0</v>
      </c>
      <c r="AG51" s="44">
        <f t="shared" si="41"/>
        <v>0</v>
      </c>
      <c r="AI51" s="41">
        <f t="shared" si="39"/>
        <v>37469</v>
      </c>
      <c r="AJ51" s="44">
        <f t="shared" si="15"/>
        <v>0</v>
      </c>
    </row>
    <row r="52" spans="20:36" x14ac:dyDescent="0.25">
      <c r="T52" s="88"/>
      <c r="Z52" s="41">
        <f t="shared" si="37"/>
        <v>37500</v>
      </c>
      <c r="AA52" s="43">
        <f t="shared" si="41"/>
        <v>0</v>
      </c>
      <c r="AB52" s="43">
        <f t="shared" si="41"/>
        <v>0</v>
      </c>
      <c r="AC52" s="43">
        <f t="shared" si="41"/>
        <v>0</v>
      </c>
      <c r="AD52" s="43">
        <f t="shared" si="41"/>
        <v>0</v>
      </c>
      <c r="AE52" s="43">
        <f t="shared" si="41"/>
        <v>0</v>
      </c>
      <c r="AF52" s="43">
        <f t="shared" si="41"/>
        <v>0</v>
      </c>
      <c r="AG52" s="44">
        <f t="shared" si="41"/>
        <v>0</v>
      </c>
      <c r="AI52" s="41">
        <f t="shared" si="39"/>
        <v>37500</v>
      </c>
      <c r="AJ52" s="44">
        <f t="shared" si="15"/>
        <v>0</v>
      </c>
    </row>
    <row r="53" spans="20:36" x14ac:dyDescent="0.25">
      <c r="T53" s="88"/>
      <c r="Z53" s="41">
        <f t="shared" si="37"/>
        <v>37530</v>
      </c>
      <c r="AA53" s="43">
        <f t="shared" si="41"/>
        <v>0</v>
      </c>
      <c r="AB53" s="43">
        <f t="shared" si="41"/>
        <v>0</v>
      </c>
      <c r="AC53" s="43">
        <f t="shared" si="41"/>
        <v>0</v>
      </c>
      <c r="AD53" s="43">
        <f t="shared" si="41"/>
        <v>0</v>
      </c>
      <c r="AE53" s="43">
        <f t="shared" si="41"/>
        <v>0</v>
      </c>
      <c r="AF53" s="43">
        <f t="shared" si="41"/>
        <v>0</v>
      </c>
      <c r="AG53" s="44">
        <f t="shared" si="41"/>
        <v>0</v>
      </c>
      <c r="AI53" s="41">
        <f t="shared" si="39"/>
        <v>37530</v>
      </c>
      <c r="AJ53" s="44">
        <f t="shared" si="15"/>
        <v>0</v>
      </c>
    </row>
    <row r="54" spans="20:36" x14ac:dyDescent="0.25">
      <c r="T54" s="88"/>
      <c r="Z54" s="41">
        <f t="shared" si="37"/>
        <v>37561</v>
      </c>
      <c r="AA54" s="43">
        <f t="shared" si="41"/>
        <v>0</v>
      </c>
      <c r="AB54" s="43">
        <f t="shared" si="41"/>
        <v>0</v>
      </c>
      <c r="AC54" s="43">
        <f t="shared" si="41"/>
        <v>0</v>
      </c>
      <c r="AD54" s="43">
        <f t="shared" si="41"/>
        <v>0</v>
      </c>
      <c r="AE54" s="43">
        <f t="shared" si="41"/>
        <v>0</v>
      </c>
      <c r="AF54" s="43">
        <f t="shared" si="41"/>
        <v>0</v>
      </c>
      <c r="AG54" s="44">
        <f t="shared" si="41"/>
        <v>0</v>
      </c>
      <c r="AI54" s="41">
        <f t="shared" si="39"/>
        <v>37561</v>
      </c>
      <c r="AJ54" s="44">
        <f t="shared" si="15"/>
        <v>0</v>
      </c>
    </row>
    <row r="55" spans="20:36" x14ac:dyDescent="0.25">
      <c r="Z55" s="41">
        <f t="shared" si="37"/>
        <v>37591</v>
      </c>
      <c r="AA55" s="43">
        <f t="shared" si="41"/>
        <v>0</v>
      </c>
      <c r="AB55" s="43">
        <f t="shared" si="41"/>
        <v>0</v>
      </c>
      <c r="AC55" s="43">
        <f t="shared" si="41"/>
        <v>0</v>
      </c>
      <c r="AD55" s="43">
        <f t="shared" si="41"/>
        <v>0</v>
      </c>
      <c r="AE55" s="43">
        <f t="shared" si="41"/>
        <v>0</v>
      </c>
      <c r="AF55" s="43">
        <f t="shared" si="41"/>
        <v>0</v>
      </c>
      <c r="AG55" s="44">
        <f t="shared" si="41"/>
        <v>0</v>
      </c>
      <c r="AI55" s="41">
        <f t="shared" si="39"/>
        <v>37591</v>
      </c>
      <c r="AJ55" s="44">
        <f t="shared" si="15"/>
        <v>0</v>
      </c>
    </row>
    <row r="56" spans="20:36" x14ac:dyDescent="0.25">
      <c r="Z56" s="41">
        <f t="shared" si="37"/>
        <v>37622</v>
      </c>
      <c r="AA56" s="43">
        <f t="shared" si="41"/>
        <v>0</v>
      </c>
      <c r="AB56" s="43">
        <f t="shared" si="41"/>
        <v>0</v>
      </c>
      <c r="AC56" s="43">
        <f t="shared" si="41"/>
        <v>0</v>
      </c>
      <c r="AD56" s="43">
        <f t="shared" si="41"/>
        <v>0</v>
      </c>
      <c r="AE56" s="43">
        <f t="shared" si="41"/>
        <v>0</v>
      </c>
      <c r="AF56" s="43">
        <f t="shared" si="41"/>
        <v>0</v>
      </c>
      <c r="AG56" s="44">
        <f t="shared" si="41"/>
        <v>0</v>
      </c>
      <c r="AI56" s="41">
        <f t="shared" si="39"/>
        <v>37622</v>
      </c>
      <c r="AJ56" s="44">
        <f t="shared" si="15"/>
        <v>0</v>
      </c>
    </row>
    <row r="57" spans="20:36" x14ac:dyDescent="0.25">
      <c r="Z57" s="41">
        <f t="shared" si="37"/>
        <v>37653</v>
      </c>
      <c r="AA57" s="43">
        <f t="shared" ref="AA57:AG66" si="42">SUMIF($X:$X,CONCATENATE($Z57,AA$6),$U:$U)</f>
        <v>0</v>
      </c>
      <c r="AB57" s="43">
        <f t="shared" si="42"/>
        <v>0</v>
      </c>
      <c r="AC57" s="43">
        <f t="shared" si="42"/>
        <v>0</v>
      </c>
      <c r="AD57" s="43">
        <f t="shared" si="42"/>
        <v>0</v>
      </c>
      <c r="AE57" s="43">
        <f t="shared" si="42"/>
        <v>0</v>
      </c>
      <c r="AF57" s="43">
        <f t="shared" si="42"/>
        <v>0</v>
      </c>
      <c r="AG57" s="44">
        <f t="shared" si="42"/>
        <v>0</v>
      </c>
      <c r="AI57" s="41">
        <f t="shared" si="39"/>
        <v>37653</v>
      </c>
      <c r="AJ57" s="44">
        <f t="shared" si="15"/>
        <v>0</v>
      </c>
    </row>
    <row r="58" spans="20:36" x14ac:dyDescent="0.25">
      <c r="Z58" s="41">
        <f t="shared" si="37"/>
        <v>37681</v>
      </c>
      <c r="AA58" s="43">
        <f t="shared" si="42"/>
        <v>0</v>
      </c>
      <c r="AB58" s="43">
        <f t="shared" si="42"/>
        <v>0</v>
      </c>
      <c r="AC58" s="43">
        <f t="shared" si="42"/>
        <v>0</v>
      </c>
      <c r="AD58" s="43">
        <f t="shared" si="42"/>
        <v>0</v>
      </c>
      <c r="AE58" s="43">
        <f t="shared" si="42"/>
        <v>0</v>
      </c>
      <c r="AF58" s="43">
        <f t="shared" si="42"/>
        <v>0</v>
      </c>
      <c r="AG58" s="44">
        <f t="shared" si="42"/>
        <v>0</v>
      </c>
      <c r="AI58" s="41">
        <f t="shared" si="39"/>
        <v>37681</v>
      </c>
      <c r="AJ58" s="44">
        <f t="shared" si="15"/>
        <v>0</v>
      </c>
    </row>
    <row r="59" spans="20:36" x14ac:dyDescent="0.25">
      <c r="Z59" s="41">
        <f t="shared" ref="Z59:Z90" si="43">EOMONTH(Z58,0)+1</f>
        <v>37712</v>
      </c>
      <c r="AA59" s="43">
        <f t="shared" si="42"/>
        <v>0</v>
      </c>
      <c r="AB59" s="43">
        <f t="shared" si="42"/>
        <v>0</v>
      </c>
      <c r="AC59" s="43">
        <f t="shared" si="42"/>
        <v>0</v>
      </c>
      <c r="AD59" s="43">
        <f t="shared" si="42"/>
        <v>0</v>
      </c>
      <c r="AE59" s="43">
        <f t="shared" si="42"/>
        <v>0</v>
      </c>
      <c r="AF59" s="43">
        <f t="shared" si="42"/>
        <v>0</v>
      </c>
      <c r="AG59" s="44">
        <f t="shared" si="42"/>
        <v>0</v>
      </c>
      <c r="AI59" s="41">
        <f t="shared" ref="AI59:AI90" si="44">EOMONTH(AI58,0)+1</f>
        <v>37712</v>
      </c>
      <c r="AJ59" s="44">
        <f t="shared" si="15"/>
        <v>0</v>
      </c>
    </row>
    <row r="60" spans="20:36" x14ac:dyDescent="0.25">
      <c r="Z60" s="41">
        <f t="shared" si="43"/>
        <v>37742</v>
      </c>
      <c r="AA60" s="43">
        <f t="shared" si="42"/>
        <v>0</v>
      </c>
      <c r="AB60" s="43">
        <f t="shared" si="42"/>
        <v>0</v>
      </c>
      <c r="AC60" s="43">
        <f t="shared" si="42"/>
        <v>0</v>
      </c>
      <c r="AD60" s="43">
        <f t="shared" si="42"/>
        <v>0</v>
      </c>
      <c r="AE60" s="43">
        <f t="shared" si="42"/>
        <v>0</v>
      </c>
      <c r="AF60" s="43">
        <f t="shared" si="42"/>
        <v>0</v>
      </c>
      <c r="AG60" s="44">
        <f t="shared" si="42"/>
        <v>0</v>
      </c>
      <c r="AI60" s="41">
        <f t="shared" si="44"/>
        <v>37742</v>
      </c>
      <c r="AJ60" s="44">
        <f t="shared" si="15"/>
        <v>0</v>
      </c>
    </row>
    <row r="61" spans="20:36" x14ac:dyDescent="0.25">
      <c r="Z61" s="41">
        <f t="shared" si="43"/>
        <v>37773</v>
      </c>
      <c r="AA61" s="43">
        <f t="shared" si="42"/>
        <v>0</v>
      </c>
      <c r="AB61" s="43">
        <f t="shared" si="42"/>
        <v>0</v>
      </c>
      <c r="AC61" s="43">
        <f t="shared" si="42"/>
        <v>0</v>
      </c>
      <c r="AD61" s="43">
        <f t="shared" si="42"/>
        <v>0</v>
      </c>
      <c r="AE61" s="43">
        <f t="shared" si="42"/>
        <v>0</v>
      </c>
      <c r="AF61" s="43">
        <f t="shared" si="42"/>
        <v>0</v>
      </c>
      <c r="AG61" s="44">
        <f t="shared" si="42"/>
        <v>0</v>
      </c>
      <c r="AI61" s="41">
        <f t="shared" si="44"/>
        <v>37773</v>
      </c>
      <c r="AJ61" s="44">
        <f t="shared" si="15"/>
        <v>0</v>
      </c>
    </row>
    <row r="62" spans="20:36" x14ac:dyDescent="0.25">
      <c r="Z62" s="41">
        <f t="shared" si="43"/>
        <v>37803</v>
      </c>
      <c r="AA62" s="43">
        <f t="shared" si="42"/>
        <v>0</v>
      </c>
      <c r="AB62" s="43">
        <f t="shared" si="42"/>
        <v>0</v>
      </c>
      <c r="AC62" s="43">
        <f t="shared" si="42"/>
        <v>0</v>
      </c>
      <c r="AD62" s="43">
        <f t="shared" si="42"/>
        <v>0</v>
      </c>
      <c r="AE62" s="43">
        <f t="shared" si="42"/>
        <v>0</v>
      </c>
      <c r="AF62" s="43">
        <f t="shared" si="42"/>
        <v>0</v>
      </c>
      <c r="AG62" s="44">
        <f t="shared" si="42"/>
        <v>0</v>
      </c>
      <c r="AI62" s="41">
        <f t="shared" si="44"/>
        <v>37803</v>
      </c>
      <c r="AJ62" s="44">
        <f t="shared" si="15"/>
        <v>0</v>
      </c>
    </row>
    <row r="63" spans="20:36" x14ac:dyDescent="0.25">
      <c r="Z63" s="41">
        <f t="shared" si="43"/>
        <v>37834</v>
      </c>
      <c r="AA63" s="43">
        <f t="shared" si="42"/>
        <v>0</v>
      </c>
      <c r="AB63" s="43">
        <f t="shared" si="42"/>
        <v>0</v>
      </c>
      <c r="AC63" s="43">
        <f t="shared" si="42"/>
        <v>0</v>
      </c>
      <c r="AD63" s="43">
        <f t="shared" si="42"/>
        <v>0</v>
      </c>
      <c r="AE63" s="43">
        <f t="shared" si="42"/>
        <v>0</v>
      </c>
      <c r="AF63" s="43">
        <f t="shared" si="42"/>
        <v>0</v>
      </c>
      <c r="AG63" s="44">
        <f t="shared" si="42"/>
        <v>0</v>
      </c>
      <c r="AI63" s="41">
        <f t="shared" si="44"/>
        <v>37834</v>
      </c>
      <c r="AJ63" s="44">
        <f t="shared" si="15"/>
        <v>0</v>
      </c>
    </row>
    <row r="64" spans="20:36" x14ac:dyDescent="0.25">
      <c r="Z64" s="41">
        <f t="shared" si="43"/>
        <v>37865</v>
      </c>
      <c r="AA64" s="43">
        <f t="shared" si="42"/>
        <v>0</v>
      </c>
      <c r="AB64" s="43">
        <f t="shared" si="42"/>
        <v>0</v>
      </c>
      <c r="AC64" s="43">
        <f t="shared" si="42"/>
        <v>0</v>
      </c>
      <c r="AD64" s="43">
        <f t="shared" si="42"/>
        <v>0</v>
      </c>
      <c r="AE64" s="43">
        <f t="shared" si="42"/>
        <v>0</v>
      </c>
      <c r="AF64" s="43">
        <f t="shared" si="42"/>
        <v>0</v>
      </c>
      <c r="AG64" s="44">
        <f t="shared" si="42"/>
        <v>0</v>
      </c>
      <c r="AI64" s="41">
        <f t="shared" si="44"/>
        <v>37865</v>
      </c>
      <c r="AJ64" s="44">
        <f t="shared" si="15"/>
        <v>0</v>
      </c>
    </row>
    <row r="65" spans="26:36" x14ac:dyDescent="0.25">
      <c r="Z65" s="41">
        <f t="shared" si="43"/>
        <v>37895</v>
      </c>
      <c r="AA65" s="43">
        <f t="shared" si="42"/>
        <v>0</v>
      </c>
      <c r="AB65" s="43">
        <f t="shared" si="42"/>
        <v>0</v>
      </c>
      <c r="AC65" s="43">
        <f t="shared" si="42"/>
        <v>0</v>
      </c>
      <c r="AD65" s="43">
        <f t="shared" si="42"/>
        <v>0</v>
      </c>
      <c r="AE65" s="43">
        <f t="shared" si="42"/>
        <v>0</v>
      </c>
      <c r="AF65" s="43">
        <f t="shared" si="42"/>
        <v>0</v>
      </c>
      <c r="AG65" s="44">
        <f t="shared" si="42"/>
        <v>0</v>
      </c>
      <c r="AI65" s="41">
        <f t="shared" si="44"/>
        <v>37895</v>
      </c>
      <c r="AJ65" s="44">
        <f t="shared" si="15"/>
        <v>0</v>
      </c>
    </row>
    <row r="66" spans="26:36" x14ac:dyDescent="0.25">
      <c r="Z66" s="41">
        <f t="shared" si="43"/>
        <v>37926</v>
      </c>
      <c r="AA66" s="43">
        <f t="shared" si="42"/>
        <v>0</v>
      </c>
      <c r="AB66" s="43">
        <f t="shared" si="42"/>
        <v>0</v>
      </c>
      <c r="AC66" s="43">
        <f t="shared" si="42"/>
        <v>0</v>
      </c>
      <c r="AD66" s="43">
        <f t="shared" si="42"/>
        <v>0</v>
      </c>
      <c r="AE66" s="43">
        <f t="shared" si="42"/>
        <v>0</v>
      </c>
      <c r="AF66" s="43">
        <f t="shared" si="42"/>
        <v>0</v>
      </c>
      <c r="AG66" s="44">
        <f t="shared" si="42"/>
        <v>0</v>
      </c>
      <c r="AI66" s="41">
        <f t="shared" si="44"/>
        <v>37926</v>
      </c>
      <c r="AJ66" s="44">
        <f t="shared" si="15"/>
        <v>0</v>
      </c>
    </row>
    <row r="67" spans="26:36" x14ac:dyDescent="0.25">
      <c r="Z67" s="41">
        <f t="shared" si="43"/>
        <v>37956</v>
      </c>
      <c r="AA67" s="43">
        <f t="shared" ref="AA67:AG76" si="45">SUMIF($X:$X,CONCATENATE($Z67,AA$6),$U:$U)</f>
        <v>0</v>
      </c>
      <c r="AB67" s="43">
        <f t="shared" si="45"/>
        <v>0</v>
      </c>
      <c r="AC67" s="43">
        <f t="shared" si="45"/>
        <v>0</v>
      </c>
      <c r="AD67" s="43">
        <f t="shared" si="45"/>
        <v>0</v>
      </c>
      <c r="AE67" s="43">
        <f t="shared" si="45"/>
        <v>0</v>
      </c>
      <c r="AF67" s="43">
        <f t="shared" si="45"/>
        <v>0</v>
      </c>
      <c r="AG67" s="44">
        <f t="shared" si="45"/>
        <v>0</v>
      </c>
      <c r="AI67" s="41">
        <f t="shared" si="44"/>
        <v>37956</v>
      </c>
      <c r="AJ67" s="44">
        <f t="shared" si="15"/>
        <v>0</v>
      </c>
    </row>
    <row r="68" spans="26:36" x14ac:dyDescent="0.25">
      <c r="Z68" s="41">
        <f t="shared" si="43"/>
        <v>37987</v>
      </c>
      <c r="AA68" s="43">
        <f t="shared" si="45"/>
        <v>0</v>
      </c>
      <c r="AB68" s="43">
        <f t="shared" si="45"/>
        <v>0</v>
      </c>
      <c r="AC68" s="43">
        <f t="shared" si="45"/>
        <v>0</v>
      </c>
      <c r="AD68" s="43">
        <f t="shared" si="45"/>
        <v>0</v>
      </c>
      <c r="AE68" s="43">
        <f t="shared" si="45"/>
        <v>0</v>
      </c>
      <c r="AF68" s="43">
        <f t="shared" si="45"/>
        <v>0</v>
      </c>
      <c r="AG68" s="44">
        <f t="shared" si="45"/>
        <v>0</v>
      </c>
      <c r="AI68" s="41">
        <f t="shared" si="44"/>
        <v>37987</v>
      </c>
      <c r="AJ68" s="44">
        <f t="shared" si="15"/>
        <v>0</v>
      </c>
    </row>
    <row r="69" spans="26:36" x14ac:dyDescent="0.25">
      <c r="Z69" s="41">
        <f t="shared" si="43"/>
        <v>38018</v>
      </c>
      <c r="AA69" s="43">
        <f t="shared" si="45"/>
        <v>0</v>
      </c>
      <c r="AB69" s="43">
        <f t="shared" si="45"/>
        <v>0</v>
      </c>
      <c r="AC69" s="43">
        <f t="shared" si="45"/>
        <v>0</v>
      </c>
      <c r="AD69" s="43">
        <f t="shared" si="45"/>
        <v>0</v>
      </c>
      <c r="AE69" s="43">
        <f t="shared" si="45"/>
        <v>0</v>
      </c>
      <c r="AF69" s="43">
        <f t="shared" si="45"/>
        <v>0</v>
      </c>
      <c r="AG69" s="44">
        <f t="shared" si="45"/>
        <v>0</v>
      </c>
      <c r="AI69" s="41">
        <f t="shared" si="44"/>
        <v>38018</v>
      </c>
      <c r="AJ69" s="44">
        <f t="shared" si="15"/>
        <v>0</v>
      </c>
    </row>
    <row r="70" spans="26:36" x14ac:dyDescent="0.25">
      <c r="Z70" s="41">
        <f t="shared" si="43"/>
        <v>38047</v>
      </c>
      <c r="AA70" s="43">
        <f t="shared" si="45"/>
        <v>0</v>
      </c>
      <c r="AB70" s="43">
        <f t="shared" si="45"/>
        <v>0</v>
      </c>
      <c r="AC70" s="43">
        <f t="shared" si="45"/>
        <v>0</v>
      </c>
      <c r="AD70" s="43">
        <f t="shared" si="45"/>
        <v>0</v>
      </c>
      <c r="AE70" s="43">
        <f t="shared" si="45"/>
        <v>0</v>
      </c>
      <c r="AF70" s="43">
        <f t="shared" si="45"/>
        <v>0</v>
      </c>
      <c r="AG70" s="44">
        <f t="shared" si="45"/>
        <v>0</v>
      </c>
      <c r="AI70" s="41">
        <f t="shared" si="44"/>
        <v>38047</v>
      </c>
      <c r="AJ70" s="44">
        <f t="shared" si="15"/>
        <v>0</v>
      </c>
    </row>
    <row r="71" spans="26:36" x14ac:dyDescent="0.25">
      <c r="Z71" s="41">
        <f t="shared" si="43"/>
        <v>38078</v>
      </c>
      <c r="AA71" s="43">
        <f t="shared" si="45"/>
        <v>0</v>
      </c>
      <c r="AB71" s="43">
        <f t="shared" si="45"/>
        <v>0</v>
      </c>
      <c r="AC71" s="43">
        <f t="shared" si="45"/>
        <v>0</v>
      </c>
      <c r="AD71" s="43">
        <f t="shared" si="45"/>
        <v>0</v>
      </c>
      <c r="AE71" s="43">
        <f t="shared" si="45"/>
        <v>0</v>
      </c>
      <c r="AF71" s="43">
        <f t="shared" si="45"/>
        <v>0</v>
      </c>
      <c r="AG71" s="44">
        <f t="shared" si="45"/>
        <v>0</v>
      </c>
      <c r="AI71" s="41">
        <f t="shared" si="44"/>
        <v>38078</v>
      </c>
      <c r="AJ71" s="44">
        <f t="shared" si="15"/>
        <v>0</v>
      </c>
    </row>
    <row r="72" spans="26:36" x14ac:dyDescent="0.25">
      <c r="Z72" s="41">
        <f t="shared" si="43"/>
        <v>38108</v>
      </c>
      <c r="AA72" s="43">
        <f t="shared" si="45"/>
        <v>0</v>
      </c>
      <c r="AB72" s="43">
        <f t="shared" si="45"/>
        <v>0</v>
      </c>
      <c r="AC72" s="43">
        <f t="shared" si="45"/>
        <v>0</v>
      </c>
      <c r="AD72" s="43">
        <f t="shared" si="45"/>
        <v>0</v>
      </c>
      <c r="AE72" s="43">
        <f t="shared" si="45"/>
        <v>0</v>
      </c>
      <c r="AF72" s="43">
        <f t="shared" si="45"/>
        <v>0</v>
      </c>
      <c r="AG72" s="44">
        <f t="shared" si="45"/>
        <v>0</v>
      </c>
      <c r="AI72" s="41">
        <f t="shared" si="44"/>
        <v>38108</v>
      </c>
      <c r="AJ72" s="44">
        <f t="shared" si="15"/>
        <v>0</v>
      </c>
    </row>
    <row r="73" spans="26:36" x14ac:dyDescent="0.25">
      <c r="Z73" s="41">
        <f t="shared" si="43"/>
        <v>38139</v>
      </c>
      <c r="AA73" s="43">
        <f t="shared" si="45"/>
        <v>0</v>
      </c>
      <c r="AB73" s="43">
        <f t="shared" si="45"/>
        <v>0</v>
      </c>
      <c r="AC73" s="43">
        <f t="shared" si="45"/>
        <v>0</v>
      </c>
      <c r="AD73" s="43">
        <f t="shared" si="45"/>
        <v>0</v>
      </c>
      <c r="AE73" s="43">
        <f t="shared" si="45"/>
        <v>0</v>
      </c>
      <c r="AF73" s="43">
        <f t="shared" si="45"/>
        <v>0</v>
      </c>
      <c r="AG73" s="44">
        <f t="shared" si="45"/>
        <v>0</v>
      </c>
      <c r="AI73" s="41">
        <f t="shared" si="44"/>
        <v>38139</v>
      </c>
      <c r="AJ73" s="44">
        <f t="shared" si="15"/>
        <v>0</v>
      </c>
    </row>
    <row r="74" spans="26:36" x14ac:dyDescent="0.25">
      <c r="Z74" s="41">
        <f t="shared" si="43"/>
        <v>38169</v>
      </c>
      <c r="AA74" s="43">
        <f t="shared" si="45"/>
        <v>0</v>
      </c>
      <c r="AB74" s="43">
        <f t="shared" si="45"/>
        <v>0</v>
      </c>
      <c r="AC74" s="43">
        <f t="shared" si="45"/>
        <v>0</v>
      </c>
      <c r="AD74" s="43">
        <f t="shared" si="45"/>
        <v>0</v>
      </c>
      <c r="AE74" s="43">
        <f t="shared" si="45"/>
        <v>0</v>
      </c>
      <c r="AF74" s="43">
        <f t="shared" si="45"/>
        <v>0</v>
      </c>
      <c r="AG74" s="44">
        <f t="shared" si="45"/>
        <v>0</v>
      </c>
      <c r="AI74" s="41">
        <f t="shared" si="44"/>
        <v>38169</v>
      </c>
      <c r="AJ74" s="44">
        <f t="shared" ref="AJ74:AJ137" si="46">SUM(AA74:AG74)</f>
        <v>0</v>
      </c>
    </row>
    <row r="75" spans="26:36" x14ac:dyDescent="0.25">
      <c r="Z75" s="41">
        <f t="shared" si="43"/>
        <v>38200</v>
      </c>
      <c r="AA75" s="43">
        <f t="shared" si="45"/>
        <v>0</v>
      </c>
      <c r="AB75" s="43">
        <f t="shared" si="45"/>
        <v>0</v>
      </c>
      <c r="AC75" s="43">
        <f t="shared" si="45"/>
        <v>0</v>
      </c>
      <c r="AD75" s="43">
        <f t="shared" si="45"/>
        <v>0</v>
      </c>
      <c r="AE75" s="43">
        <f t="shared" si="45"/>
        <v>0</v>
      </c>
      <c r="AF75" s="43">
        <f t="shared" si="45"/>
        <v>0</v>
      </c>
      <c r="AG75" s="44">
        <f t="shared" si="45"/>
        <v>0</v>
      </c>
      <c r="AI75" s="41">
        <f t="shared" si="44"/>
        <v>38200</v>
      </c>
      <c r="AJ75" s="44">
        <f t="shared" si="46"/>
        <v>0</v>
      </c>
    </row>
    <row r="76" spans="26:36" x14ac:dyDescent="0.25">
      <c r="Z76" s="41">
        <f t="shared" si="43"/>
        <v>38231</v>
      </c>
      <c r="AA76" s="43">
        <f t="shared" si="45"/>
        <v>0</v>
      </c>
      <c r="AB76" s="43">
        <f t="shared" si="45"/>
        <v>0</v>
      </c>
      <c r="AC76" s="43">
        <f t="shared" si="45"/>
        <v>0</v>
      </c>
      <c r="AD76" s="43">
        <f t="shared" si="45"/>
        <v>0</v>
      </c>
      <c r="AE76" s="43">
        <f t="shared" si="45"/>
        <v>0</v>
      </c>
      <c r="AF76" s="43">
        <f t="shared" si="45"/>
        <v>0</v>
      </c>
      <c r="AG76" s="44">
        <f t="shared" si="45"/>
        <v>0</v>
      </c>
      <c r="AI76" s="41">
        <f t="shared" si="44"/>
        <v>38231</v>
      </c>
      <c r="AJ76" s="44">
        <f t="shared" si="46"/>
        <v>0</v>
      </c>
    </row>
    <row r="77" spans="26:36" x14ac:dyDescent="0.25">
      <c r="Z77" s="41">
        <f t="shared" si="43"/>
        <v>38261</v>
      </c>
      <c r="AA77" s="43">
        <f t="shared" ref="AA77:AG86" si="47">SUMIF($X:$X,CONCATENATE($Z77,AA$6),$U:$U)</f>
        <v>0</v>
      </c>
      <c r="AB77" s="43">
        <f t="shared" si="47"/>
        <v>0</v>
      </c>
      <c r="AC77" s="43">
        <f t="shared" si="47"/>
        <v>0</v>
      </c>
      <c r="AD77" s="43">
        <f t="shared" si="47"/>
        <v>0</v>
      </c>
      <c r="AE77" s="43">
        <f t="shared" si="47"/>
        <v>0</v>
      </c>
      <c r="AF77" s="43">
        <f t="shared" si="47"/>
        <v>0</v>
      </c>
      <c r="AG77" s="44">
        <f t="shared" si="47"/>
        <v>0</v>
      </c>
      <c r="AI77" s="41">
        <f t="shared" si="44"/>
        <v>38261</v>
      </c>
      <c r="AJ77" s="44">
        <f t="shared" si="46"/>
        <v>0</v>
      </c>
    </row>
    <row r="78" spans="26:36" x14ac:dyDescent="0.25">
      <c r="Z78" s="41">
        <f t="shared" si="43"/>
        <v>38292</v>
      </c>
      <c r="AA78" s="43">
        <f t="shared" si="47"/>
        <v>0</v>
      </c>
      <c r="AB78" s="43">
        <f t="shared" si="47"/>
        <v>0</v>
      </c>
      <c r="AC78" s="43">
        <f t="shared" si="47"/>
        <v>0</v>
      </c>
      <c r="AD78" s="43">
        <f t="shared" si="47"/>
        <v>0</v>
      </c>
      <c r="AE78" s="43">
        <f t="shared" si="47"/>
        <v>0</v>
      </c>
      <c r="AF78" s="43">
        <f t="shared" si="47"/>
        <v>0</v>
      </c>
      <c r="AG78" s="44">
        <f t="shared" si="47"/>
        <v>0</v>
      </c>
      <c r="AI78" s="41">
        <f t="shared" si="44"/>
        <v>38292</v>
      </c>
      <c r="AJ78" s="44">
        <f t="shared" si="46"/>
        <v>0</v>
      </c>
    </row>
    <row r="79" spans="26:36" x14ac:dyDescent="0.25">
      <c r="Z79" s="41">
        <f t="shared" si="43"/>
        <v>38322</v>
      </c>
      <c r="AA79" s="43">
        <f t="shared" si="47"/>
        <v>0</v>
      </c>
      <c r="AB79" s="43">
        <f t="shared" si="47"/>
        <v>0</v>
      </c>
      <c r="AC79" s="43">
        <f t="shared" si="47"/>
        <v>0</v>
      </c>
      <c r="AD79" s="43">
        <f t="shared" si="47"/>
        <v>0</v>
      </c>
      <c r="AE79" s="43">
        <f t="shared" si="47"/>
        <v>0</v>
      </c>
      <c r="AF79" s="43">
        <f t="shared" si="47"/>
        <v>0</v>
      </c>
      <c r="AG79" s="44">
        <f t="shared" si="47"/>
        <v>0</v>
      </c>
      <c r="AI79" s="41">
        <f t="shared" si="44"/>
        <v>38322</v>
      </c>
      <c r="AJ79" s="44">
        <f t="shared" si="46"/>
        <v>0</v>
      </c>
    </row>
    <row r="80" spans="26:36" x14ac:dyDescent="0.25">
      <c r="Z80" s="41">
        <f t="shared" si="43"/>
        <v>38353</v>
      </c>
      <c r="AA80" s="43">
        <f t="shared" si="47"/>
        <v>0</v>
      </c>
      <c r="AB80" s="43">
        <f t="shared" si="47"/>
        <v>0</v>
      </c>
      <c r="AC80" s="43">
        <f t="shared" si="47"/>
        <v>0</v>
      </c>
      <c r="AD80" s="43">
        <f t="shared" si="47"/>
        <v>0</v>
      </c>
      <c r="AE80" s="43">
        <f t="shared" si="47"/>
        <v>0</v>
      </c>
      <c r="AF80" s="43">
        <f t="shared" si="47"/>
        <v>0</v>
      </c>
      <c r="AG80" s="44">
        <f t="shared" si="47"/>
        <v>0</v>
      </c>
      <c r="AI80" s="41">
        <f t="shared" si="44"/>
        <v>38353</v>
      </c>
      <c r="AJ80" s="44">
        <f t="shared" si="46"/>
        <v>0</v>
      </c>
    </row>
    <row r="81" spans="26:36" x14ac:dyDescent="0.25">
      <c r="Z81" s="41">
        <f t="shared" si="43"/>
        <v>38384</v>
      </c>
      <c r="AA81" s="43">
        <f t="shared" si="47"/>
        <v>0</v>
      </c>
      <c r="AB81" s="43">
        <f t="shared" si="47"/>
        <v>0</v>
      </c>
      <c r="AC81" s="43">
        <f t="shared" si="47"/>
        <v>0</v>
      </c>
      <c r="AD81" s="43">
        <f t="shared" si="47"/>
        <v>0</v>
      </c>
      <c r="AE81" s="43">
        <f t="shared" si="47"/>
        <v>0</v>
      </c>
      <c r="AF81" s="43">
        <f t="shared" si="47"/>
        <v>0</v>
      </c>
      <c r="AG81" s="44">
        <f t="shared" si="47"/>
        <v>0</v>
      </c>
      <c r="AI81" s="41">
        <f t="shared" si="44"/>
        <v>38384</v>
      </c>
      <c r="AJ81" s="44">
        <f t="shared" si="46"/>
        <v>0</v>
      </c>
    </row>
    <row r="82" spans="26:36" x14ac:dyDescent="0.25">
      <c r="Z82" s="41">
        <f t="shared" si="43"/>
        <v>38412</v>
      </c>
      <c r="AA82" s="43">
        <f t="shared" si="47"/>
        <v>0</v>
      </c>
      <c r="AB82" s="43">
        <f t="shared" si="47"/>
        <v>0</v>
      </c>
      <c r="AC82" s="43">
        <f t="shared" si="47"/>
        <v>0</v>
      </c>
      <c r="AD82" s="43">
        <f t="shared" si="47"/>
        <v>0</v>
      </c>
      <c r="AE82" s="43">
        <f t="shared" si="47"/>
        <v>0</v>
      </c>
      <c r="AF82" s="43">
        <f t="shared" si="47"/>
        <v>0</v>
      </c>
      <c r="AG82" s="44">
        <f t="shared" si="47"/>
        <v>0</v>
      </c>
      <c r="AI82" s="41">
        <f t="shared" si="44"/>
        <v>38412</v>
      </c>
      <c r="AJ82" s="44">
        <f t="shared" si="46"/>
        <v>0</v>
      </c>
    </row>
    <row r="83" spans="26:36" x14ac:dyDescent="0.25">
      <c r="Z83" s="41">
        <f t="shared" si="43"/>
        <v>38443</v>
      </c>
      <c r="AA83" s="43">
        <f t="shared" si="47"/>
        <v>0</v>
      </c>
      <c r="AB83" s="43">
        <f t="shared" si="47"/>
        <v>0</v>
      </c>
      <c r="AC83" s="43">
        <f t="shared" si="47"/>
        <v>0</v>
      </c>
      <c r="AD83" s="43">
        <f t="shared" si="47"/>
        <v>0</v>
      </c>
      <c r="AE83" s="43">
        <f t="shared" si="47"/>
        <v>0</v>
      </c>
      <c r="AF83" s="43">
        <f t="shared" si="47"/>
        <v>0</v>
      </c>
      <c r="AG83" s="44">
        <f t="shared" si="47"/>
        <v>0</v>
      </c>
      <c r="AI83" s="41">
        <f t="shared" si="44"/>
        <v>38443</v>
      </c>
      <c r="AJ83" s="44">
        <f t="shared" si="46"/>
        <v>0</v>
      </c>
    </row>
    <row r="84" spans="26:36" x14ac:dyDescent="0.25">
      <c r="Z84" s="41">
        <f t="shared" si="43"/>
        <v>38473</v>
      </c>
      <c r="AA84" s="43">
        <f t="shared" si="47"/>
        <v>0</v>
      </c>
      <c r="AB84" s="43">
        <f t="shared" si="47"/>
        <v>0</v>
      </c>
      <c r="AC84" s="43">
        <f t="shared" si="47"/>
        <v>0</v>
      </c>
      <c r="AD84" s="43">
        <f t="shared" si="47"/>
        <v>0</v>
      </c>
      <c r="AE84" s="43">
        <f t="shared" si="47"/>
        <v>0</v>
      </c>
      <c r="AF84" s="43">
        <f t="shared" si="47"/>
        <v>0</v>
      </c>
      <c r="AG84" s="44">
        <f t="shared" si="47"/>
        <v>0</v>
      </c>
      <c r="AI84" s="41">
        <f t="shared" si="44"/>
        <v>38473</v>
      </c>
      <c r="AJ84" s="44">
        <f t="shared" si="46"/>
        <v>0</v>
      </c>
    </row>
    <row r="85" spans="26:36" x14ac:dyDescent="0.25">
      <c r="Z85" s="41">
        <f t="shared" si="43"/>
        <v>38504</v>
      </c>
      <c r="AA85" s="43">
        <f t="shared" si="47"/>
        <v>0</v>
      </c>
      <c r="AB85" s="43">
        <f t="shared" si="47"/>
        <v>0</v>
      </c>
      <c r="AC85" s="43">
        <f t="shared" si="47"/>
        <v>0</v>
      </c>
      <c r="AD85" s="43">
        <f t="shared" si="47"/>
        <v>0</v>
      </c>
      <c r="AE85" s="43">
        <f t="shared" si="47"/>
        <v>0</v>
      </c>
      <c r="AF85" s="43">
        <f t="shared" si="47"/>
        <v>0</v>
      </c>
      <c r="AG85" s="44">
        <f t="shared" si="47"/>
        <v>0</v>
      </c>
      <c r="AI85" s="41">
        <f t="shared" si="44"/>
        <v>38504</v>
      </c>
      <c r="AJ85" s="44">
        <f t="shared" si="46"/>
        <v>0</v>
      </c>
    </row>
    <row r="86" spans="26:36" x14ac:dyDescent="0.25">
      <c r="Z86" s="41">
        <f t="shared" si="43"/>
        <v>38534</v>
      </c>
      <c r="AA86" s="43">
        <f t="shared" si="47"/>
        <v>0</v>
      </c>
      <c r="AB86" s="43">
        <f t="shared" si="47"/>
        <v>0</v>
      </c>
      <c r="AC86" s="43">
        <f t="shared" si="47"/>
        <v>0</v>
      </c>
      <c r="AD86" s="43">
        <f t="shared" si="47"/>
        <v>0</v>
      </c>
      <c r="AE86" s="43">
        <f t="shared" si="47"/>
        <v>0</v>
      </c>
      <c r="AF86" s="43">
        <f t="shared" si="47"/>
        <v>0</v>
      </c>
      <c r="AG86" s="44">
        <f t="shared" si="47"/>
        <v>0</v>
      </c>
      <c r="AI86" s="41">
        <f t="shared" si="44"/>
        <v>38534</v>
      </c>
      <c r="AJ86" s="44">
        <f t="shared" si="46"/>
        <v>0</v>
      </c>
    </row>
    <row r="87" spans="26:36" x14ac:dyDescent="0.25">
      <c r="Z87" s="41">
        <f t="shared" si="43"/>
        <v>38565</v>
      </c>
      <c r="AA87" s="43">
        <f t="shared" ref="AA87:AG96" si="48">SUMIF($X:$X,CONCATENATE($Z87,AA$6),$U:$U)</f>
        <v>0</v>
      </c>
      <c r="AB87" s="43">
        <f t="shared" si="48"/>
        <v>0</v>
      </c>
      <c r="AC87" s="43">
        <f t="shared" si="48"/>
        <v>0</v>
      </c>
      <c r="AD87" s="43">
        <f t="shared" si="48"/>
        <v>0</v>
      </c>
      <c r="AE87" s="43">
        <f t="shared" si="48"/>
        <v>0</v>
      </c>
      <c r="AF87" s="43">
        <f t="shared" si="48"/>
        <v>0</v>
      </c>
      <c r="AG87" s="44">
        <f t="shared" si="48"/>
        <v>0</v>
      </c>
      <c r="AI87" s="41">
        <f t="shared" si="44"/>
        <v>38565</v>
      </c>
      <c r="AJ87" s="44">
        <f t="shared" si="46"/>
        <v>0</v>
      </c>
    </row>
    <row r="88" spans="26:36" x14ac:dyDescent="0.25">
      <c r="Z88" s="41">
        <f t="shared" si="43"/>
        <v>38596</v>
      </c>
      <c r="AA88" s="43">
        <f t="shared" si="48"/>
        <v>0</v>
      </c>
      <c r="AB88" s="43">
        <f t="shared" si="48"/>
        <v>0</v>
      </c>
      <c r="AC88" s="43">
        <f t="shared" si="48"/>
        <v>0</v>
      </c>
      <c r="AD88" s="43">
        <f t="shared" si="48"/>
        <v>0</v>
      </c>
      <c r="AE88" s="43">
        <f t="shared" si="48"/>
        <v>0</v>
      </c>
      <c r="AF88" s="43">
        <f t="shared" si="48"/>
        <v>0</v>
      </c>
      <c r="AG88" s="44">
        <f t="shared" si="48"/>
        <v>0</v>
      </c>
      <c r="AI88" s="41">
        <f t="shared" si="44"/>
        <v>38596</v>
      </c>
      <c r="AJ88" s="44">
        <f t="shared" si="46"/>
        <v>0</v>
      </c>
    </row>
    <row r="89" spans="26:36" x14ac:dyDescent="0.25">
      <c r="Z89" s="41">
        <f t="shared" si="43"/>
        <v>38626</v>
      </c>
      <c r="AA89" s="43">
        <f t="shared" si="48"/>
        <v>0</v>
      </c>
      <c r="AB89" s="43">
        <f t="shared" si="48"/>
        <v>0</v>
      </c>
      <c r="AC89" s="43">
        <f t="shared" si="48"/>
        <v>0</v>
      </c>
      <c r="AD89" s="43">
        <f t="shared" si="48"/>
        <v>0</v>
      </c>
      <c r="AE89" s="43">
        <f t="shared" si="48"/>
        <v>0</v>
      </c>
      <c r="AF89" s="43">
        <f t="shared" si="48"/>
        <v>0</v>
      </c>
      <c r="AG89" s="44">
        <f t="shared" si="48"/>
        <v>0</v>
      </c>
      <c r="AI89" s="41">
        <f t="shared" si="44"/>
        <v>38626</v>
      </c>
      <c r="AJ89" s="44">
        <f t="shared" si="46"/>
        <v>0</v>
      </c>
    </row>
    <row r="90" spans="26:36" x14ac:dyDescent="0.25">
      <c r="Z90" s="41">
        <f t="shared" si="43"/>
        <v>38657</v>
      </c>
      <c r="AA90" s="43">
        <f t="shared" si="48"/>
        <v>0</v>
      </c>
      <c r="AB90" s="43">
        <f t="shared" si="48"/>
        <v>0</v>
      </c>
      <c r="AC90" s="43">
        <f t="shared" si="48"/>
        <v>0</v>
      </c>
      <c r="AD90" s="43">
        <f t="shared" si="48"/>
        <v>0</v>
      </c>
      <c r="AE90" s="43">
        <f t="shared" si="48"/>
        <v>0</v>
      </c>
      <c r="AF90" s="43">
        <f t="shared" si="48"/>
        <v>0</v>
      </c>
      <c r="AG90" s="44">
        <f t="shared" si="48"/>
        <v>0</v>
      </c>
      <c r="AI90" s="41">
        <f t="shared" si="44"/>
        <v>38657</v>
      </c>
      <c r="AJ90" s="44">
        <f t="shared" si="46"/>
        <v>0</v>
      </c>
    </row>
    <row r="91" spans="26:36" x14ac:dyDescent="0.25">
      <c r="Z91" s="41">
        <f t="shared" ref="Z91:Z122" si="49">EOMONTH(Z90,0)+1</f>
        <v>38687</v>
      </c>
      <c r="AA91" s="43">
        <f t="shared" si="48"/>
        <v>0</v>
      </c>
      <c r="AB91" s="43">
        <f t="shared" si="48"/>
        <v>0</v>
      </c>
      <c r="AC91" s="43">
        <f t="shared" si="48"/>
        <v>0</v>
      </c>
      <c r="AD91" s="43">
        <f t="shared" si="48"/>
        <v>0</v>
      </c>
      <c r="AE91" s="43">
        <f t="shared" si="48"/>
        <v>0</v>
      </c>
      <c r="AF91" s="43">
        <f t="shared" si="48"/>
        <v>0</v>
      </c>
      <c r="AG91" s="44">
        <f t="shared" si="48"/>
        <v>0</v>
      </c>
      <c r="AI91" s="41">
        <f t="shared" ref="AI91:AI122" si="50">EOMONTH(AI90,0)+1</f>
        <v>38687</v>
      </c>
      <c r="AJ91" s="44">
        <f t="shared" si="46"/>
        <v>0</v>
      </c>
    </row>
    <row r="92" spans="26:36" x14ac:dyDescent="0.25">
      <c r="Z92" s="41">
        <f t="shared" si="49"/>
        <v>38718</v>
      </c>
      <c r="AA92" s="43">
        <f t="shared" si="48"/>
        <v>0</v>
      </c>
      <c r="AB92" s="43">
        <f t="shared" si="48"/>
        <v>0</v>
      </c>
      <c r="AC92" s="43">
        <f t="shared" si="48"/>
        <v>0</v>
      </c>
      <c r="AD92" s="43">
        <f t="shared" si="48"/>
        <v>0</v>
      </c>
      <c r="AE92" s="43">
        <f t="shared" si="48"/>
        <v>0</v>
      </c>
      <c r="AF92" s="43">
        <f t="shared" si="48"/>
        <v>0</v>
      </c>
      <c r="AG92" s="44">
        <f t="shared" si="48"/>
        <v>0</v>
      </c>
      <c r="AI92" s="41">
        <f t="shared" si="50"/>
        <v>38718</v>
      </c>
      <c r="AJ92" s="44">
        <f t="shared" si="46"/>
        <v>0</v>
      </c>
    </row>
    <row r="93" spans="26:36" x14ac:dyDescent="0.25">
      <c r="Z93" s="41">
        <f t="shared" si="49"/>
        <v>38749</v>
      </c>
      <c r="AA93" s="43">
        <f t="shared" si="48"/>
        <v>0</v>
      </c>
      <c r="AB93" s="43">
        <f t="shared" si="48"/>
        <v>0</v>
      </c>
      <c r="AC93" s="43">
        <f t="shared" si="48"/>
        <v>0</v>
      </c>
      <c r="AD93" s="43">
        <f t="shared" si="48"/>
        <v>0</v>
      </c>
      <c r="AE93" s="43">
        <f t="shared" si="48"/>
        <v>0</v>
      </c>
      <c r="AF93" s="43">
        <f t="shared" si="48"/>
        <v>0</v>
      </c>
      <c r="AG93" s="44">
        <f t="shared" si="48"/>
        <v>0</v>
      </c>
      <c r="AI93" s="41">
        <f t="shared" si="50"/>
        <v>38749</v>
      </c>
      <c r="AJ93" s="44">
        <f t="shared" si="46"/>
        <v>0</v>
      </c>
    </row>
    <row r="94" spans="26:36" x14ac:dyDescent="0.25">
      <c r="Z94" s="41">
        <f t="shared" si="49"/>
        <v>38777</v>
      </c>
      <c r="AA94" s="43">
        <f t="shared" si="48"/>
        <v>0</v>
      </c>
      <c r="AB94" s="43">
        <f t="shared" si="48"/>
        <v>0</v>
      </c>
      <c r="AC94" s="43">
        <f t="shared" si="48"/>
        <v>0</v>
      </c>
      <c r="AD94" s="43">
        <f t="shared" si="48"/>
        <v>0</v>
      </c>
      <c r="AE94" s="43">
        <f t="shared" si="48"/>
        <v>0</v>
      </c>
      <c r="AF94" s="43">
        <f t="shared" si="48"/>
        <v>0</v>
      </c>
      <c r="AG94" s="44">
        <f t="shared" si="48"/>
        <v>0</v>
      </c>
      <c r="AI94" s="41">
        <f t="shared" si="50"/>
        <v>38777</v>
      </c>
      <c r="AJ94" s="44">
        <f t="shared" si="46"/>
        <v>0</v>
      </c>
    </row>
    <row r="95" spans="26:36" x14ac:dyDescent="0.25">
      <c r="Z95" s="41">
        <f t="shared" si="49"/>
        <v>38808</v>
      </c>
      <c r="AA95" s="43">
        <f t="shared" si="48"/>
        <v>0</v>
      </c>
      <c r="AB95" s="43">
        <f t="shared" si="48"/>
        <v>0</v>
      </c>
      <c r="AC95" s="43">
        <f t="shared" si="48"/>
        <v>0</v>
      </c>
      <c r="AD95" s="43">
        <f t="shared" si="48"/>
        <v>0</v>
      </c>
      <c r="AE95" s="43">
        <f t="shared" si="48"/>
        <v>0</v>
      </c>
      <c r="AF95" s="43">
        <f t="shared" si="48"/>
        <v>0</v>
      </c>
      <c r="AG95" s="44">
        <f t="shared" si="48"/>
        <v>0</v>
      </c>
      <c r="AI95" s="41">
        <f t="shared" si="50"/>
        <v>38808</v>
      </c>
      <c r="AJ95" s="44">
        <f t="shared" si="46"/>
        <v>0</v>
      </c>
    </row>
    <row r="96" spans="26:36" x14ac:dyDescent="0.25">
      <c r="Z96" s="41">
        <f t="shared" si="49"/>
        <v>38838</v>
      </c>
      <c r="AA96" s="43">
        <f t="shared" si="48"/>
        <v>0</v>
      </c>
      <c r="AB96" s="43">
        <f t="shared" si="48"/>
        <v>0</v>
      </c>
      <c r="AC96" s="43">
        <f t="shared" si="48"/>
        <v>0</v>
      </c>
      <c r="AD96" s="43">
        <f t="shared" si="48"/>
        <v>0</v>
      </c>
      <c r="AE96" s="43">
        <f t="shared" si="48"/>
        <v>0</v>
      </c>
      <c r="AF96" s="43">
        <f t="shared" si="48"/>
        <v>0</v>
      </c>
      <c r="AG96" s="44">
        <f t="shared" si="48"/>
        <v>0</v>
      </c>
      <c r="AI96" s="41">
        <f t="shared" si="50"/>
        <v>38838</v>
      </c>
      <c r="AJ96" s="44">
        <f t="shared" si="46"/>
        <v>0</v>
      </c>
    </row>
    <row r="97" spans="26:36" x14ac:dyDescent="0.25">
      <c r="Z97" s="41">
        <f t="shared" si="49"/>
        <v>38869</v>
      </c>
      <c r="AA97" s="43">
        <f t="shared" ref="AA97:AG106" si="51">SUMIF($X:$X,CONCATENATE($Z97,AA$6),$U:$U)</f>
        <v>0</v>
      </c>
      <c r="AB97" s="43">
        <f t="shared" si="51"/>
        <v>0</v>
      </c>
      <c r="AC97" s="43">
        <f t="shared" si="51"/>
        <v>0</v>
      </c>
      <c r="AD97" s="43">
        <f t="shared" si="51"/>
        <v>0</v>
      </c>
      <c r="AE97" s="43">
        <f t="shared" si="51"/>
        <v>0</v>
      </c>
      <c r="AF97" s="43">
        <f t="shared" si="51"/>
        <v>0</v>
      </c>
      <c r="AG97" s="44">
        <f t="shared" si="51"/>
        <v>0</v>
      </c>
      <c r="AI97" s="41">
        <f t="shared" si="50"/>
        <v>38869</v>
      </c>
      <c r="AJ97" s="44">
        <f t="shared" si="46"/>
        <v>0</v>
      </c>
    </row>
    <row r="98" spans="26:36" x14ac:dyDescent="0.25">
      <c r="Z98" s="41">
        <f t="shared" si="49"/>
        <v>38899</v>
      </c>
      <c r="AA98" s="43">
        <f t="shared" si="51"/>
        <v>0</v>
      </c>
      <c r="AB98" s="43">
        <f t="shared" si="51"/>
        <v>0</v>
      </c>
      <c r="AC98" s="43">
        <f t="shared" si="51"/>
        <v>0</v>
      </c>
      <c r="AD98" s="43">
        <f t="shared" si="51"/>
        <v>0</v>
      </c>
      <c r="AE98" s="43">
        <f t="shared" si="51"/>
        <v>0</v>
      </c>
      <c r="AF98" s="43">
        <f t="shared" si="51"/>
        <v>0</v>
      </c>
      <c r="AG98" s="44">
        <f t="shared" si="51"/>
        <v>0</v>
      </c>
      <c r="AI98" s="41">
        <f t="shared" si="50"/>
        <v>38899</v>
      </c>
      <c r="AJ98" s="44">
        <f t="shared" si="46"/>
        <v>0</v>
      </c>
    </row>
    <row r="99" spans="26:36" x14ac:dyDescent="0.25">
      <c r="Z99" s="41">
        <f t="shared" si="49"/>
        <v>38930</v>
      </c>
      <c r="AA99" s="43">
        <f t="shared" si="51"/>
        <v>0</v>
      </c>
      <c r="AB99" s="43">
        <f t="shared" si="51"/>
        <v>0</v>
      </c>
      <c r="AC99" s="43">
        <f t="shared" si="51"/>
        <v>0</v>
      </c>
      <c r="AD99" s="43">
        <f t="shared" si="51"/>
        <v>0</v>
      </c>
      <c r="AE99" s="43">
        <f t="shared" si="51"/>
        <v>0</v>
      </c>
      <c r="AF99" s="43">
        <f t="shared" si="51"/>
        <v>0</v>
      </c>
      <c r="AG99" s="44">
        <f t="shared" si="51"/>
        <v>0</v>
      </c>
      <c r="AI99" s="41">
        <f t="shared" si="50"/>
        <v>38930</v>
      </c>
      <c r="AJ99" s="44">
        <f>SUM(AA99:AG99)</f>
        <v>0</v>
      </c>
    </row>
    <row r="100" spans="26:36" x14ac:dyDescent="0.25">
      <c r="Z100" s="41">
        <f t="shared" si="49"/>
        <v>38961</v>
      </c>
      <c r="AA100" s="43">
        <f t="shared" si="51"/>
        <v>0</v>
      </c>
      <c r="AB100" s="43">
        <f t="shared" si="51"/>
        <v>0</v>
      </c>
      <c r="AC100" s="43">
        <f t="shared" si="51"/>
        <v>0</v>
      </c>
      <c r="AD100" s="43">
        <f t="shared" si="51"/>
        <v>0</v>
      </c>
      <c r="AE100" s="43">
        <f t="shared" si="51"/>
        <v>0</v>
      </c>
      <c r="AF100" s="43">
        <f t="shared" si="51"/>
        <v>0</v>
      </c>
      <c r="AG100" s="44">
        <f t="shared" si="51"/>
        <v>0</v>
      </c>
      <c r="AI100" s="41">
        <f t="shared" si="50"/>
        <v>38961</v>
      </c>
      <c r="AJ100" s="44">
        <f>SUM(AA100:AG100)</f>
        <v>0</v>
      </c>
    </row>
    <row r="101" spans="26:36" x14ac:dyDescent="0.25">
      <c r="Z101" s="41">
        <f t="shared" si="49"/>
        <v>38991</v>
      </c>
      <c r="AA101" s="43">
        <f t="shared" si="51"/>
        <v>0</v>
      </c>
      <c r="AB101" s="43">
        <f t="shared" si="51"/>
        <v>0</v>
      </c>
      <c r="AC101" s="43">
        <f t="shared" si="51"/>
        <v>0</v>
      </c>
      <c r="AD101" s="43">
        <f t="shared" si="51"/>
        <v>0</v>
      </c>
      <c r="AE101" s="43">
        <f t="shared" si="51"/>
        <v>0</v>
      </c>
      <c r="AF101" s="43">
        <f t="shared" si="51"/>
        <v>0</v>
      </c>
      <c r="AG101" s="44">
        <f t="shared" si="51"/>
        <v>0</v>
      </c>
      <c r="AI101" s="41">
        <f t="shared" si="50"/>
        <v>38991</v>
      </c>
      <c r="AJ101" s="44">
        <f>SUM(AA101:AG101)</f>
        <v>0</v>
      </c>
    </row>
    <row r="102" spans="26:36" x14ac:dyDescent="0.25">
      <c r="Z102" s="41">
        <f t="shared" si="49"/>
        <v>39022</v>
      </c>
      <c r="AA102" s="43">
        <f t="shared" si="51"/>
        <v>0</v>
      </c>
      <c r="AB102" s="43">
        <f t="shared" si="51"/>
        <v>0</v>
      </c>
      <c r="AC102" s="43">
        <f t="shared" si="51"/>
        <v>0</v>
      </c>
      <c r="AD102" s="43">
        <f t="shared" si="51"/>
        <v>0</v>
      </c>
      <c r="AE102" s="43">
        <f t="shared" si="51"/>
        <v>0</v>
      </c>
      <c r="AF102" s="43">
        <f t="shared" si="51"/>
        <v>0</v>
      </c>
      <c r="AG102" s="44">
        <f t="shared" si="51"/>
        <v>0</v>
      </c>
      <c r="AI102" s="41">
        <f t="shared" si="50"/>
        <v>39022</v>
      </c>
      <c r="AJ102" s="44">
        <f>SUM(AA102:AG102)</f>
        <v>0</v>
      </c>
    </row>
    <row r="103" spans="26:36" x14ac:dyDescent="0.25">
      <c r="Z103" s="41">
        <f t="shared" si="49"/>
        <v>39052</v>
      </c>
      <c r="AA103" s="43">
        <f t="shared" si="51"/>
        <v>0</v>
      </c>
      <c r="AB103" s="43">
        <f t="shared" si="51"/>
        <v>0</v>
      </c>
      <c r="AC103" s="43">
        <f t="shared" si="51"/>
        <v>0</v>
      </c>
      <c r="AD103" s="43">
        <f t="shared" si="51"/>
        <v>0</v>
      </c>
      <c r="AE103" s="43">
        <f t="shared" si="51"/>
        <v>0</v>
      </c>
      <c r="AF103" s="43">
        <f t="shared" si="51"/>
        <v>0</v>
      </c>
      <c r="AG103" s="44">
        <f t="shared" si="51"/>
        <v>0</v>
      </c>
      <c r="AI103" s="41">
        <f t="shared" si="50"/>
        <v>39052</v>
      </c>
      <c r="AJ103" s="44">
        <f>SUM(AA103:AG103)</f>
        <v>0</v>
      </c>
    </row>
    <row r="104" spans="26:36" x14ac:dyDescent="0.25">
      <c r="Z104" s="41">
        <f t="shared" si="49"/>
        <v>39083</v>
      </c>
      <c r="AA104" s="43">
        <f t="shared" si="51"/>
        <v>0</v>
      </c>
      <c r="AB104" s="43">
        <f t="shared" si="51"/>
        <v>0</v>
      </c>
      <c r="AC104" s="43">
        <f t="shared" si="51"/>
        <v>0</v>
      </c>
      <c r="AD104" s="43">
        <f t="shared" si="51"/>
        <v>0</v>
      </c>
      <c r="AE104" s="43">
        <f t="shared" si="51"/>
        <v>0</v>
      </c>
      <c r="AF104" s="43">
        <f t="shared" si="51"/>
        <v>0</v>
      </c>
      <c r="AG104" s="44">
        <f t="shared" si="51"/>
        <v>0</v>
      </c>
      <c r="AI104" s="41">
        <f t="shared" si="50"/>
        <v>39083</v>
      </c>
      <c r="AJ104" s="44">
        <f t="shared" si="46"/>
        <v>0</v>
      </c>
    </row>
    <row r="105" spans="26:36" x14ac:dyDescent="0.25">
      <c r="Z105" s="41">
        <f t="shared" si="49"/>
        <v>39114</v>
      </c>
      <c r="AA105" s="43">
        <f t="shared" si="51"/>
        <v>0</v>
      </c>
      <c r="AB105" s="43">
        <f t="shared" si="51"/>
        <v>0</v>
      </c>
      <c r="AC105" s="43">
        <f t="shared" si="51"/>
        <v>0</v>
      </c>
      <c r="AD105" s="43">
        <f t="shared" si="51"/>
        <v>0</v>
      </c>
      <c r="AE105" s="43">
        <f t="shared" si="51"/>
        <v>0</v>
      </c>
      <c r="AF105" s="43">
        <f t="shared" si="51"/>
        <v>0</v>
      </c>
      <c r="AG105" s="44">
        <f t="shared" si="51"/>
        <v>0</v>
      </c>
      <c r="AI105" s="41">
        <f t="shared" si="50"/>
        <v>39114</v>
      </c>
      <c r="AJ105" s="44">
        <f t="shared" si="46"/>
        <v>0</v>
      </c>
    </row>
    <row r="106" spans="26:36" x14ac:dyDescent="0.25">
      <c r="Z106" s="41">
        <f t="shared" si="49"/>
        <v>39142</v>
      </c>
      <c r="AA106" s="43">
        <f t="shared" si="51"/>
        <v>0</v>
      </c>
      <c r="AB106" s="43">
        <f t="shared" si="51"/>
        <v>0</v>
      </c>
      <c r="AC106" s="43">
        <f t="shared" si="51"/>
        <v>0</v>
      </c>
      <c r="AD106" s="43">
        <f t="shared" si="51"/>
        <v>0</v>
      </c>
      <c r="AE106" s="43">
        <f t="shared" si="51"/>
        <v>0</v>
      </c>
      <c r="AF106" s="43">
        <f t="shared" si="51"/>
        <v>0</v>
      </c>
      <c r="AG106" s="44">
        <f t="shared" si="51"/>
        <v>0</v>
      </c>
      <c r="AI106" s="41">
        <f t="shared" si="50"/>
        <v>39142</v>
      </c>
      <c r="AJ106" s="44">
        <f t="shared" si="46"/>
        <v>0</v>
      </c>
    </row>
    <row r="107" spans="26:36" x14ac:dyDescent="0.25">
      <c r="Z107" s="41">
        <f t="shared" si="49"/>
        <v>39173</v>
      </c>
      <c r="AA107" s="43">
        <f t="shared" ref="AA107:AG116" si="52">SUMIF($X:$X,CONCATENATE($Z107,AA$6),$U:$U)</f>
        <v>0</v>
      </c>
      <c r="AB107" s="43">
        <f t="shared" si="52"/>
        <v>0</v>
      </c>
      <c r="AC107" s="43">
        <f t="shared" si="52"/>
        <v>0</v>
      </c>
      <c r="AD107" s="43">
        <f t="shared" si="52"/>
        <v>0</v>
      </c>
      <c r="AE107" s="43">
        <f t="shared" si="52"/>
        <v>0</v>
      </c>
      <c r="AF107" s="43">
        <f t="shared" si="52"/>
        <v>0</v>
      </c>
      <c r="AG107" s="44">
        <f t="shared" si="52"/>
        <v>0</v>
      </c>
      <c r="AI107" s="41">
        <f t="shared" si="50"/>
        <v>39173</v>
      </c>
      <c r="AJ107" s="44">
        <f t="shared" si="46"/>
        <v>0</v>
      </c>
    </row>
    <row r="108" spans="26:36" x14ac:dyDescent="0.25">
      <c r="Z108" s="41">
        <f t="shared" si="49"/>
        <v>39203</v>
      </c>
      <c r="AA108" s="43">
        <f t="shared" si="52"/>
        <v>0</v>
      </c>
      <c r="AB108" s="43">
        <f t="shared" si="52"/>
        <v>0</v>
      </c>
      <c r="AC108" s="43">
        <f t="shared" si="52"/>
        <v>0</v>
      </c>
      <c r="AD108" s="43">
        <f t="shared" si="52"/>
        <v>0</v>
      </c>
      <c r="AE108" s="43">
        <f t="shared" si="52"/>
        <v>0</v>
      </c>
      <c r="AF108" s="43">
        <f t="shared" si="52"/>
        <v>0</v>
      </c>
      <c r="AG108" s="44">
        <f t="shared" si="52"/>
        <v>0</v>
      </c>
      <c r="AI108" s="41">
        <f t="shared" si="50"/>
        <v>39203</v>
      </c>
      <c r="AJ108" s="44">
        <f t="shared" si="46"/>
        <v>0</v>
      </c>
    </row>
    <row r="109" spans="26:36" x14ac:dyDescent="0.25">
      <c r="Z109" s="41">
        <f t="shared" si="49"/>
        <v>39234</v>
      </c>
      <c r="AA109" s="43">
        <f t="shared" si="52"/>
        <v>0</v>
      </c>
      <c r="AB109" s="43">
        <f t="shared" si="52"/>
        <v>0</v>
      </c>
      <c r="AC109" s="43">
        <f t="shared" si="52"/>
        <v>0</v>
      </c>
      <c r="AD109" s="43">
        <f t="shared" si="52"/>
        <v>0</v>
      </c>
      <c r="AE109" s="43">
        <f t="shared" si="52"/>
        <v>0</v>
      </c>
      <c r="AF109" s="43">
        <f t="shared" si="52"/>
        <v>0</v>
      </c>
      <c r="AG109" s="44">
        <f t="shared" si="52"/>
        <v>0</v>
      </c>
      <c r="AI109" s="41">
        <f t="shared" si="50"/>
        <v>39234</v>
      </c>
      <c r="AJ109" s="44">
        <f t="shared" si="46"/>
        <v>0</v>
      </c>
    </row>
    <row r="110" spans="26:36" x14ac:dyDescent="0.25">
      <c r="Z110" s="41">
        <f t="shared" si="49"/>
        <v>39264</v>
      </c>
      <c r="AA110" s="43">
        <f t="shared" si="52"/>
        <v>0</v>
      </c>
      <c r="AB110" s="43">
        <f t="shared" si="52"/>
        <v>0</v>
      </c>
      <c r="AC110" s="43">
        <f t="shared" si="52"/>
        <v>0</v>
      </c>
      <c r="AD110" s="43">
        <f t="shared" si="52"/>
        <v>0</v>
      </c>
      <c r="AE110" s="43">
        <f t="shared" si="52"/>
        <v>0</v>
      </c>
      <c r="AF110" s="43">
        <f t="shared" si="52"/>
        <v>0</v>
      </c>
      <c r="AG110" s="44">
        <f t="shared" si="52"/>
        <v>0</v>
      </c>
      <c r="AI110" s="41">
        <f t="shared" si="50"/>
        <v>39264</v>
      </c>
      <c r="AJ110" s="44">
        <f t="shared" si="46"/>
        <v>0</v>
      </c>
    </row>
    <row r="111" spans="26:36" x14ac:dyDescent="0.25">
      <c r="Z111" s="41">
        <f t="shared" si="49"/>
        <v>39295</v>
      </c>
      <c r="AA111" s="43">
        <f t="shared" si="52"/>
        <v>0</v>
      </c>
      <c r="AB111" s="43">
        <f t="shared" si="52"/>
        <v>0</v>
      </c>
      <c r="AC111" s="43">
        <f t="shared" si="52"/>
        <v>0</v>
      </c>
      <c r="AD111" s="43">
        <f t="shared" si="52"/>
        <v>0</v>
      </c>
      <c r="AE111" s="43">
        <f t="shared" si="52"/>
        <v>0</v>
      </c>
      <c r="AF111" s="43">
        <f t="shared" si="52"/>
        <v>0</v>
      </c>
      <c r="AG111" s="44">
        <f t="shared" si="52"/>
        <v>0</v>
      </c>
      <c r="AI111" s="41">
        <f t="shared" si="50"/>
        <v>39295</v>
      </c>
      <c r="AJ111" s="44">
        <f t="shared" si="46"/>
        <v>0</v>
      </c>
    </row>
    <row r="112" spans="26:36" x14ac:dyDescent="0.25">
      <c r="Z112" s="41">
        <f t="shared" si="49"/>
        <v>39326</v>
      </c>
      <c r="AA112" s="43">
        <f t="shared" si="52"/>
        <v>0</v>
      </c>
      <c r="AB112" s="43">
        <f t="shared" si="52"/>
        <v>0</v>
      </c>
      <c r="AC112" s="43">
        <f t="shared" si="52"/>
        <v>0</v>
      </c>
      <c r="AD112" s="43">
        <f t="shared" si="52"/>
        <v>0</v>
      </c>
      <c r="AE112" s="43">
        <f t="shared" si="52"/>
        <v>0</v>
      </c>
      <c r="AF112" s="43">
        <f t="shared" si="52"/>
        <v>0</v>
      </c>
      <c r="AG112" s="44">
        <f t="shared" si="52"/>
        <v>0</v>
      </c>
      <c r="AI112" s="41">
        <f t="shared" si="50"/>
        <v>39326</v>
      </c>
      <c r="AJ112" s="44">
        <f t="shared" si="46"/>
        <v>0</v>
      </c>
    </row>
    <row r="113" spans="26:36" x14ac:dyDescent="0.25">
      <c r="Z113" s="41">
        <f t="shared" si="49"/>
        <v>39356</v>
      </c>
      <c r="AA113" s="43">
        <f t="shared" si="52"/>
        <v>0</v>
      </c>
      <c r="AB113" s="43">
        <f t="shared" si="52"/>
        <v>0</v>
      </c>
      <c r="AC113" s="43">
        <f t="shared" si="52"/>
        <v>0</v>
      </c>
      <c r="AD113" s="43">
        <f t="shared" si="52"/>
        <v>0</v>
      </c>
      <c r="AE113" s="43">
        <f t="shared" si="52"/>
        <v>0</v>
      </c>
      <c r="AF113" s="43">
        <f t="shared" si="52"/>
        <v>0</v>
      </c>
      <c r="AG113" s="44">
        <f t="shared" si="52"/>
        <v>0</v>
      </c>
      <c r="AI113" s="41">
        <f t="shared" si="50"/>
        <v>39356</v>
      </c>
      <c r="AJ113" s="44">
        <f t="shared" si="46"/>
        <v>0</v>
      </c>
    </row>
    <row r="114" spans="26:36" x14ac:dyDescent="0.25">
      <c r="Z114" s="41">
        <f t="shared" si="49"/>
        <v>39387</v>
      </c>
      <c r="AA114" s="43">
        <f t="shared" si="52"/>
        <v>0</v>
      </c>
      <c r="AB114" s="43">
        <f t="shared" si="52"/>
        <v>0</v>
      </c>
      <c r="AC114" s="43">
        <f t="shared" si="52"/>
        <v>0</v>
      </c>
      <c r="AD114" s="43">
        <f t="shared" si="52"/>
        <v>0</v>
      </c>
      <c r="AE114" s="43">
        <f t="shared" si="52"/>
        <v>0</v>
      </c>
      <c r="AF114" s="43">
        <f t="shared" si="52"/>
        <v>0</v>
      </c>
      <c r="AG114" s="44">
        <f t="shared" si="52"/>
        <v>0</v>
      </c>
      <c r="AI114" s="41">
        <f t="shared" si="50"/>
        <v>39387</v>
      </c>
      <c r="AJ114" s="44">
        <f t="shared" si="46"/>
        <v>0</v>
      </c>
    </row>
    <row r="115" spans="26:36" x14ac:dyDescent="0.25">
      <c r="Z115" s="41">
        <f t="shared" si="49"/>
        <v>39417</v>
      </c>
      <c r="AA115" s="43">
        <f t="shared" si="52"/>
        <v>0</v>
      </c>
      <c r="AB115" s="43">
        <f t="shared" si="52"/>
        <v>0</v>
      </c>
      <c r="AC115" s="43">
        <f t="shared" si="52"/>
        <v>0</v>
      </c>
      <c r="AD115" s="43">
        <f t="shared" si="52"/>
        <v>0</v>
      </c>
      <c r="AE115" s="43">
        <f t="shared" si="52"/>
        <v>0</v>
      </c>
      <c r="AF115" s="43">
        <f t="shared" si="52"/>
        <v>0</v>
      </c>
      <c r="AG115" s="44">
        <f t="shared" si="52"/>
        <v>0</v>
      </c>
      <c r="AI115" s="41">
        <f t="shared" si="50"/>
        <v>39417</v>
      </c>
      <c r="AJ115" s="44">
        <f t="shared" si="46"/>
        <v>0</v>
      </c>
    </row>
    <row r="116" spans="26:36" x14ac:dyDescent="0.25">
      <c r="Z116" s="41">
        <f t="shared" si="49"/>
        <v>39448</v>
      </c>
      <c r="AA116" s="43">
        <f t="shared" si="52"/>
        <v>0</v>
      </c>
      <c r="AB116" s="43">
        <f t="shared" si="52"/>
        <v>0</v>
      </c>
      <c r="AC116" s="43">
        <f t="shared" si="52"/>
        <v>0</v>
      </c>
      <c r="AD116" s="43">
        <f t="shared" si="52"/>
        <v>0</v>
      </c>
      <c r="AE116" s="43">
        <f t="shared" si="52"/>
        <v>0</v>
      </c>
      <c r="AF116" s="43">
        <f t="shared" si="52"/>
        <v>0</v>
      </c>
      <c r="AG116" s="44">
        <f t="shared" si="52"/>
        <v>0</v>
      </c>
      <c r="AI116" s="41">
        <f t="shared" si="50"/>
        <v>39448</v>
      </c>
      <c r="AJ116" s="44">
        <f t="shared" si="46"/>
        <v>0</v>
      </c>
    </row>
    <row r="117" spans="26:36" x14ac:dyDescent="0.25">
      <c r="Z117" s="41">
        <f t="shared" si="49"/>
        <v>39479</v>
      </c>
      <c r="AA117" s="43">
        <f t="shared" ref="AA117:AG126" si="53">SUMIF($X:$X,CONCATENATE($Z117,AA$6),$U:$U)</f>
        <v>0</v>
      </c>
      <c r="AB117" s="43">
        <f t="shared" si="53"/>
        <v>0</v>
      </c>
      <c r="AC117" s="43">
        <f t="shared" si="53"/>
        <v>0</v>
      </c>
      <c r="AD117" s="43">
        <f t="shared" si="53"/>
        <v>0</v>
      </c>
      <c r="AE117" s="43">
        <f t="shared" si="53"/>
        <v>0</v>
      </c>
      <c r="AF117" s="43">
        <f t="shared" si="53"/>
        <v>0</v>
      </c>
      <c r="AG117" s="44">
        <f t="shared" si="53"/>
        <v>0</v>
      </c>
      <c r="AI117" s="41">
        <f t="shared" si="50"/>
        <v>39479</v>
      </c>
      <c r="AJ117" s="44">
        <f t="shared" si="46"/>
        <v>0</v>
      </c>
    </row>
    <row r="118" spans="26:36" x14ac:dyDescent="0.25">
      <c r="Z118" s="41">
        <f t="shared" si="49"/>
        <v>39508</v>
      </c>
      <c r="AA118" s="43">
        <f t="shared" si="53"/>
        <v>0</v>
      </c>
      <c r="AB118" s="43">
        <f t="shared" si="53"/>
        <v>0</v>
      </c>
      <c r="AC118" s="43">
        <f t="shared" si="53"/>
        <v>0</v>
      </c>
      <c r="AD118" s="43">
        <f t="shared" si="53"/>
        <v>0</v>
      </c>
      <c r="AE118" s="43">
        <f t="shared" si="53"/>
        <v>0</v>
      </c>
      <c r="AF118" s="43">
        <f t="shared" si="53"/>
        <v>0</v>
      </c>
      <c r="AG118" s="44">
        <f t="shared" si="53"/>
        <v>0</v>
      </c>
      <c r="AI118" s="41">
        <f t="shared" si="50"/>
        <v>39508</v>
      </c>
      <c r="AJ118" s="44">
        <f t="shared" si="46"/>
        <v>0</v>
      </c>
    </row>
    <row r="119" spans="26:36" x14ac:dyDescent="0.25">
      <c r="Z119" s="41">
        <f t="shared" si="49"/>
        <v>39539</v>
      </c>
      <c r="AA119" s="43">
        <f t="shared" si="53"/>
        <v>0</v>
      </c>
      <c r="AB119" s="43">
        <f t="shared" si="53"/>
        <v>0</v>
      </c>
      <c r="AC119" s="43">
        <f t="shared" si="53"/>
        <v>0</v>
      </c>
      <c r="AD119" s="43">
        <f t="shared" si="53"/>
        <v>0</v>
      </c>
      <c r="AE119" s="43">
        <f t="shared" si="53"/>
        <v>0</v>
      </c>
      <c r="AF119" s="43">
        <f t="shared" si="53"/>
        <v>0</v>
      </c>
      <c r="AG119" s="44">
        <f t="shared" si="53"/>
        <v>0</v>
      </c>
      <c r="AI119" s="41">
        <f t="shared" si="50"/>
        <v>39539</v>
      </c>
      <c r="AJ119" s="44">
        <f t="shared" si="46"/>
        <v>0</v>
      </c>
    </row>
    <row r="120" spans="26:36" x14ac:dyDescent="0.25">
      <c r="Z120" s="41">
        <f t="shared" si="49"/>
        <v>39569</v>
      </c>
      <c r="AA120" s="43">
        <f t="shared" si="53"/>
        <v>0</v>
      </c>
      <c r="AB120" s="43">
        <f t="shared" si="53"/>
        <v>0</v>
      </c>
      <c r="AC120" s="43">
        <f t="shared" si="53"/>
        <v>0</v>
      </c>
      <c r="AD120" s="43">
        <f t="shared" si="53"/>
        <v>0</v>
      </c>
      <c r="AE120" s="43">
        <f t="shared" si="53"/>
        <v>0</v>
      </c>
      <c r="AF120" s="43">
        <f t="shared" si="53"/>
        <v>0</v>
      </c>
      <c r="AG120" s="44">
        <f t="shared" si="53"/>
        <v>0</v>
      </c>
      <c r="AI120" s="41">
        <f t="shared" si="50"/>
        <v>39569</v>
      </c>
      <c r="AJ120" s="44">
        <f t="shared" si="46"/>
        <v>0</v>
      </c>
    </row>
    <row r="121" spans="26:36" x14ac:dyDescent="0.25">
      <c r="Z121" s="41">
        <f t="shared" si="49"/>
        <v>39600</v>
      </c>
      <c r="AA121" s="43">
        <f t="shared" si="53"/>
        <v>0</v>
      </c>
      <c r="AB121" s="43">
        <f t="shared" si="53"/>
        <v>0</v>
      </c>
      <c r="AC121" s="43">
        <f t="shared" si="53"/>
        <v>0</v>
      </c>
      <c r="AD121" s="43">
        <f t="shared" si="53"/>
        <v>0</v>
      </c>
      <c r="AE121" s="43">
        <f t="shared" si="53"/>
        <v>0</v>
      </c>
      <c r="AF121" s="43">
        <f t="shared" si="53"/>
        <v>0</v>
      </c>
      <c r="AG121" s="44">
        <f t="shared" si="53"/>
        <v>0</v>
      </c>
      <c r="AI121" s="41">
        <f t="shared" si="50"/>
        <v>39600</v>
      </c>
      <c r="AJ121" s="44">
        <f t="shared" si="46"/>
        <v>0</v>
      </c>
    </row>
    <row r="122" spans="26:36" x14ac:dyDescent="0.25">
      <c r="Z122" s="41">
        <f t="shared" si="49"/>
        <v>39630</v>
      </c>
      <c r="AA122" s="43">
        <f t="shared" si="53"/>
        <v>0</v>
      </c>
      <c r="AB122" s="43">
        <f t="shared" si="53"/>
        <v>0</v>
      </c>
      <c r="AC122" s="43">
        <f t="shared" si="53"/>
        <v>0</v>
      </c>
      <c r="AD122" s="43">
        <f t="shared" si="53"/>
        <v>0</v>
      </c>
      <c r="AE122" s="43">
        <f t="shared" si="53"/>
        <v>0</v>
      </c>
      <c r="AF122" s="43">
        <f t="shared" si="53"/>
        <v>0</v>
      </c>
      <c r="AG122" s="44">
        <f t="shared" si="53"/>
        <v>0</v>
      </c>
      <c r="AI122" s="41">
        <f t="shared" si="50"/>
        <v>39630</v>
      </c>
      <c r="AJ122" s="44">
        <f t="shared" si="46"/>
        <v>0</v>
      </c>
    </row>
    <row r="123" spans="26:36" x14ac:dyDescent="0.25">
      <c r="Z123" s="41">
        <f t="shared" ref="Z123:Z154" si="54">EOMONTH(Z122,0)+1</f>
        <v>39661</v>
      </c>
      <c r="AA123" s="43">
        <f t="shared" si="53"/>
        <v>0</v>
      </c>
      <c r="AB123" s="43">
        <f t="shared" si="53"/>
        <v>0</v>
      </c>
      <c r="AC123" s="43">
        <f t="shared" si="53"/>
        <v>0</v>
      </c>
      <c r="AD123" s="43">
        <f t="shared" si="53"/>
        <v>0</v>
      </c>
      <c r="AE123" s="43">
        <f t="shared" si="53"/>
        <v>0</v>
      </c>
      <c r="AF123" s="43">
        <f t="shared" si="53"/>
        <v>0</v>
      </c>
      <c r="AG123" s="44">
        <f t="shared" si="53"/>
        <v>0</v>
      </c>
      <c r="AI123" s="41">
        <f t="shared" ref="AI123:AI154" si="55">EOMONTH(AI122,0)+1</f>
        <v>39661</v>
      </c>
      <c r="AJ123" s="44">
        <f t="shared" si="46"/>
        <v>0</v>
      </c>
    </row>
    <row r="124" spans="26:36" x14ac:dyDescent="0.25">
      <c r="Z124" s="41">
        <f t="shared" si="54"/>
        <v>39692</v>
      </c>
      <c r="AA124" s="43">
        <f t="shared" si="53"/>
        <v>0</v>
      </c>
      <c r="AB124" s="43">
        <f t="shared" si="53"/>
        <v>0</v>
      </c>
      <c r="AC124" s="43">
        <f t="shared" si="53"/>
        <v>0</v>
      </c>
      <c r="AD124" s="43">
        <f t="shared" si="53"/>
        <v>0</v>
      </c>
      <c r="AE124" s="43">
        <f t="shared" si="53"/>
        <v>0</v>
      </c>
      <c r="AF124" s="43">
        <f t="shared" si="53"/>
        <v>0</v>
      </c>
      <c r="AG124" s="44">
        <f t="shared" si="53"/>
        <v>0</v>
      </c>
      <c r="AI124" s="41">
        <f t="shared" si="55"/>
        <v>39692</v>
      </c>
      <c r="AJ124" s="44">
        <f t="shared" si="46"/>
        <v>0</v>
      </c>
    </row>
    <row r="125" spans="26:36" x14ac:dyDescent="0.25">
      <c r="Z125" s="41">
        <f t="shared" si="54"/>
        <v>39722</v>
      </c>
      <c r="AA125" s="43">
        <f t="shared" si="53"/>
        <v>0</v>
      </c>
      <c r="AB125" s="43">
        <f t="shared" si="53"/>
        <v>0</v>
      </c>
      <c r="AC125" s="43">
        <f t="shared" si="53"/>
        <v>0</v>
      </c>
      <c r="AD125" s="43">
        <f t="shared" si="53"/>
        <v>0</v>
      </c>
      <c r="AE125" s="43">
        <f t="shared" si="53"/>
        <v>0</v>
      </c>
      <c r="AF125" s="43">
        <f t="shared" si="53"/>
        <v>0</v>
      </c>
      <c r="AG125" s="44">
        <f t="shared" si="53"/>
        <v>0</v>
      </c>
      <c r="AI125" s="41">
        <f t="shared" si="55"/>
        <v>39722</v>
      </c>
      <c r="AJ125" s="44">
        <f t="shared" si="46"/>
        <v>0</v>
      </c>
    </row>
    <row r="126" spans="26:36" x14ac:dyDescent="0.25">
      <c r="Z126" s="41">
        <f t="shared" si="54"/>
        <v>39753</v>
      </c>
      <c r="AA126" s="43">
        <f t="shared" si="53"/>
        <v>0</v>
      </c>
      <c r="AB126" s="43">
        <f t="shared" si="53"/>
        <v>0</v>
      </c>
      <c r="AC126" s="43">
        <f t="shared" si="53"/>
        <v>0</v>
      </c>
      <c r="AD126" s="43">
        <f t="shared" si="53"/>
        <v>0</v>
      </c>
      <c r="AE126" s="43">
        <f t="shared" si="53"/>
        <v>0</v>
      </c>
      <c r="AF126" s="43">
        <f t="shared" si="53"/>
        <v>0</v>
      </c>
      <c r="AG126" s="44">
        <f t="shared" si="53"/>
        <v>0</v>
      </c>
      <c r="AI126" s="41">
        <f t="shared" si="55"/>
        <v>39753</v>
      </c>
      <c r="AJ126" s="44">
        <f t="shared" si="46"/>
        <v>0</v>
      </c>
    </row>
    <row r="127" spans="26:36" x14ac:dyDescent="0.25">
      <c r="Z127" s="41">
        <f t="shared" si="54"/>
        <v>39783</v>
      </c>
      <c r="AA127" s="43">
        <f t="shared" ref="AA127:AG136" si="56">SUMIF($X:$X,CONCATENATE($Z127,AA$6),$U:$U)</f>
        <v>0</v>
      </c>
      <c r="AB127" s="43">
        <f t="shared" si="56"/>
        <v>0</v>
      </c>
      <c r="AC127" s="43">
        <f t="shared" si="56"/>
        <v>0</v>
      </c>
      <c r="AD127" s="43">
        <f t="shared" si="56"/>
        <v>0</v>
      </c>
      <c r="AE127" s="43">
        <f t="shared" si="56"/>
        <v>0</v>
      </c>
      <c r="AF127" s="43">
        <f t="shared" si="56"/>
        <v>0</v>
      </c>
      <c r="AG127" s="44">
        <f t="shared" si="56"/>
        <v>0</v>
      </c>
      <c r="AI127" s="41">
        <f t="shared" si="55"/>
        <v>39783</v>
      </c>
      <c r="AJ127" s="44">
        <f t="shared" si="46"/>
        <v>0</v>
      </c>
    </row>
    <row r="128" spans="26:36" x14ac:dyDescent="0.25">
      <c r="Z128" s="41">
        <f t="shared" si="54"/>
        <v>39814</v>
      </c>
      <c r="AA128" s="43">
        <f t="shared" si="56"/>
        <v>0</v>
      </c>
      <c r="AB128" s="43">
        <f t="shared" si="56"/>
        <v>0</v>
      </c>
      <c r="AC128" s="43">
        <f t="shared" si="56"/>
        <v>0</v>
      </c>
      <c r="AD128" s="43">
        <f t="shared" si="56"/>
        <v>0</v>
      </c>
      <c r="AE128" s="43">
        <f t="shared" si="56"/>
        <v>0</v>
      </c>
      <c r="AF128" s="43">
        <f t="shared" si="56"/>
        <v>0</v>
      </c>
      <c r="AG128" s="44">
        <f t="shared" si="56"/>
        <v>0</v>
      </c>
      <c r="AI128" s="41">
        <f t="shared" si="55"/>
        <v>39814</v>
      </c>
      <c r="AJ128" s="44">
        <f t="shared" si="46"/>
        <v>0</v>
      </c>
    </row>
    <row r="129" spans="26:36" x14ac:dyDescent="0.25">
      <c r="Z129" s="41">
        <f t="shared" si="54"/>
        <v>39845</v>
      </c>
      <c r="AA129" s="43">
        <f t="shared" si="56"/>
        <v>0</v>
      </c>
      <c r="AB129" s="43">
        <f t="shared" si="56"/>
        <v>0</v>
      </c>
      <c r="AC129" s="43">
        <f t="shared" si="56"/>
        <v>0</v>
      </c>
      <c r="AD129" s="43">
        <f t="shared" si="56"/>
        <v>0</v>
      </c>
      <c r="AE129" s="43">
        <f t="shared" si="56"/>
        <v>0</v>
      </c>
      <c r="AF129" s="43">
        <f t="shared" si="56"/>
        <v>0</v>
      </c>
      <c r="AG129" s="44">
        <f t="shared" si="56"/>
        <v>0</v>
      </c>
      <c r="AI129" s="41">
        <f t="shared" si="55"/>
        <v>39845</v>
      </c>
      <c r="AJ129" s="44">
        <f t="shared" si="46"/>
        <v>0</v>
      </c>
    </row>
    <row r="130" spans="26:36" x14ac:dyDescent="0.25">
      <c r="Z130" s="41">
        <f t="shared" si="54"/>
        <v>39873</v>
      </c>
      <c r="AA130" s="43">
        <f t="shared" si="56"/>
        <v>0</v>
      </c>
      <c r="AB130" s="43">
        <f t="shared" si="56"/>
        <v>0</v>
      </c>
      <c r="AC130" s="43">
        <f t="shared" si="56"/>
        <v>0</v>
      </c>
      <c r="AD130" s="43">
        <f t="shared" si="56"/>
        <v>0</v>
      </c>
      <c r="AE130" s="43">
        <f t="shared" si="56"/>
        <v>0</v>
      </c>
      <c r="AF130" s="43">
        <f t="shared" si="56"/>
        <v>0</v>
      </c>
      <c r="AG130" s="44">
        <f t="shared" si="56"/>
        <v>0</v>
      </c>
      <c r="AI130" s="41">
        <f t="shared" si="55"/>
        <v>39873</v>
      </c>
      <c r="AJ130" s="44">
        <f t="shared" si="46"/>
        <v>0</v>
      </c>
    </row>
    <row r="131" spans="26:36" x14ac:dyDescent="0.25">
      <c r="Z131" s="41">
        <f t="shared" si="54"/>
        <v>39904</v>
      </c>
      <c r="AA131" s="43">
        <f t="shared" si="56"/>
        <v>0</v>
      </c>
      <c r="AB131" s="43">
        <f t="shared" si="56"/>
        <v>0</v>
      </c>
      <c r="AC131" s="43">
        <f t="shared" si="56"/>
        <v>0</v>
      </c>
      <c r="AD131" s="43">
        <f t="shared" si="56"/>
        <v>0</v>
      </c>
      <c r="AE131" s="43">
        <f t="shared" si="56"/>
        <v>0</v>
      </c>
      <c r="AF131" s="43">
        <f t="shared" si="56"/>
        <v>0</v>
      </c>
      <c r="AG131" s="44">
        <f t="shared" si="56"/>
        <v>0</v>
      </c>
      <c r="AI131" s="41">
        <f t="shared" si="55"/>
        <v>39904</v>
      </c>
      <c r="AJ131" s="44">
        <f t="shared" si="46"/>
        <v>0</v>
      </c>
    </row>
    <row r="132" spans="26:36" x14ac:dyDescent="0.25">
      <c r="Z132" s="41">
        <f t="shared" si="54"/>
        <v>39934</v>
      </c>
      <c r="AA132" s="43">
        <f t="shared" si="56"/>
        <v>0</v>
      </c>
      <c r="AB132" s="43">
        <f t="shared" si="56"/>
        <v>0</v>
      </c>
      <c r="AC132" s="43">
        <f t="shared" si="56"/>
        <v>0</v>
      </c>
      <c r="AD132" s="43">
        <f t="shared" si="56"/>
        <v>0</v>
      </c>
      <c r="AE132" s="43">
        <f t="shared" si="56"/>
        <v>0</v>
      </c>
      <c r="AF132" s="43">
        <f t="shared" si="56"/>
        <v>0</v>
      </c>
      <c r="AG132" s="44">
        <f t="shared" si="56"/>
        <v>0</v>
      </c>
      <c r="AI132" s="41">
        <f t="shared" si="55"/>
        <v>39934</v>
      </c>
      <c r="AJ132" s="44">
        <f t="shared" si="46"/>
        <v>0</v>
      </c>
    </row>
    <row r="133" spans="26:36" x14ac:dyDescent="0.25">
      <c r="Z133" s="41">
        <f t="shared" si="54"/>
        <v>39965</v>
      </c>
      <c r="AA133" s="43">
        <f t="shared" si="56"/>
        <v>0</v>
      </c>
      <c r="AB133" s="43">
        <f t="shared" si="56"/>
        <v>0</v>
      </c>
      <c r="AC133" s="43">
        <f t="shared" si="56"/>
        <v>0</v>
      </c>
      <c r="AD133" s="43">
        <f t="shared" si="56"/>
        <v>0</v>
      </c>
      <c r="AE133" s="43">
        <f t="shared" si="56"/>
        <v>0</v>
      </c>
      <c r="AF133" s="43">
        <f t="shared" si="56"/>
        <v>0</v>
      </c>
      <c r="AG133" s="44">
        <f t="shared" si="56"/>
        <v>0</v>
      </c>
      <c r="AI133" s="41">
        <f t="shared" si="55"/>
        <v>39965</v>
      </c>
      <c r="AJ133" s="44">
        <f t="shared" si="46"/>
        <v>0</v>
      </c>
    </row>
    <row r="134" spans="26:36" x14ac:dyDescent="0.25">
      <c r="Z134" s="41">
        <f t="shared" si="54"/>
        <v>39995</v>
      </c>
      <c r="AA134" s="43">
        <f t="shared" si="56"/>
        <v>0</v>
      </c>
      <c r="AB134" s="43">
        <f t="shared" si="56"/>
        <v>0</v>
      </c>
      <c r="AC134" s="43">
        <f t="shared" si="56"/>
        <v>0</v>
      </c>
      <c r="AD134" s="43">
        <f t="shared" si="56"/>
        <v>0</v>
      </c>
      <c r="AE134" s="43">
        <f t="shared" si="56"/>
        <v>0</v>
      </c>
      <c r="AF134" s="43">
        <f t="shared" si="56"/>
        <v>0</v>
      </c>
      <c r="AG134" s="44">
        <f t="shared" si="56"/>
        <v>0</v>
      </c>
      <c r="AI134" s="41">
        <f t="shared" si="55"/>
        <v>39995</v>
      </c>
      <c r="AJ134" s="44">
        <f t="shared" si="46"/>
        <v>0</v>
      </c>
    </row>
    <row r="135" spans="26:36" x14ac:dyDescent="0.25">
      <c r="Z135" s="41">
        <f t="shared" si="54"/>
        <v>40026</v>
      </c>
      <c r="AA135" s="43">
        <f t="shared" si="56"/>
        <v>0</v>
      </c>
      <c r="AB135" s="43">
        <f t="shared" si="56"/>
        <v>0</v>
      </c>
      <c r="AC135" s="43">
        <f t="shared" si="56"/>
        <v>0</v>
      </c>
      <c r="AD135" s="43">
        <f t="shared" si="56"/>
        <v>0</v>
      </c>
      <c r="AE135" s="43">
        <f t="shared" si="56"/>
        <v>0</v>
      </c>
      <c r="AF135" s="43">
        <f t="shared" si="56"/>
        <v>0</v>
      </c>
      <c r="AG135" s="44">
        <f t="shared" si="56"/>
        <v>0</v>
      </c>
      <c r="AI135" s="41">
        <f t="shared" si="55"/>
        <v>40026</v>
      </c>
      <c r="AJ135" s="44">
        <f t="shared" si="46"/>
        <v>0</v>
      </c>
    </row>
    <row r="136" spans="26:36" x14ac:dyDescent="0.25">
      <c r="Z136" s="41">
        <f t="shared" si="54"/>
        <v>40057</v>
      </c>
      <c r="AA136" s="43">
        <f t="shared" si="56"/>
        <v>0</v>
      </c>
      <c r="AB136" s="43">
        <f t="shared" si="56"/>
        <v>0</v>
      </c>
      <c r="AC136" s="43">
        <f t="shared" si="56"/>
        <v>0</v>
      </c>
      <c r="AD136" s="43">
        <f t="shared" si="56"/>
        <v>0</v>
      </c>
      <c r="AE136" s="43">
        <f t="shared" si="56"/>
        <v>0</v>
      </c>
      <c r="AF136" s="43">
        <f t="shared" si="56"/>
        <v>0</v>
      </c>
      <c r="AG136" s="44">
        <f t="shared" si="56"/>
        <v>0</v>
      </c>
      <c r="AI136" s="41">
        <f t="shared" si="55"/>
        <v>40057</v>
      </c>
      <c r="AJ136" s="44">
        <f t="shared" si="46"/>
        <v>0</v>
      </c>
    </row>
    <row r="137" spans="26:36" x14ac:dyDescent="0.25">
      <c r="Z137" s="41">
        <f t="shared" si="54"/>
        <v>40087</v>
      </c>
      <c r="AA137" s="43">
        <f t="shared" ref="AA137:AG146" si="57">SUMIF($X:$X,CONCATENATE($Z137,AA$6),$U:$U)</f>
        <v>0</v>
      </c>
      <c r="AB137" s="43">
        <f t="shared" si="57"/>
        <v>0</v>
      </c>
      <c r="AC137" s="43">
        <f t="shared" si="57"/>
        <v>0</v>
      </c>
      <c r="AD137" s="43">
        <f t="shared" si="57"/>
        <v>0</v>
      </c>
      <c r="AE137" s="43">
        <f t="shared" si="57"/>
        <v>0</v>
      </c>
      <c r="AF137" s="43">
        <f t="shared" si="57"/>
        <v>0</v>
      </c>
      <c r="AG137" s="44">
        <f t="shared" si="57"/>
        <v>0</v>
      </c>
      <c r="AI137" s="41">
        <f t="shared" si="55"/>
        <v>40087</v>
      </c>
      <c r="AJ137" s="44">
        <f t="shared" si="46"/>
        <v>0</v>
      </c>
    </row>
    <row r="138" spans="26:36" x14ac:dyDescent="0.25">
      <c r="Z138" s="41">
        <f t="shared" si="54"/>
        <v>40118</v>
      </c>
      <c r="AA138" s="43">
        <f t="shared" si="57"/>
        <v>0</v>
      </c>
      <c r="AB138" s="43">
        <f t="shared" si="57"/>
        <v>0</v>
      </c>
      <c r="AC138" s="43">
        <f t="shared" si="57"/>
        <v>0</v>
      </c>
      <c r="AD138" s="43">
        <f t="shared" si="57"/>
        <v>0</v>
      </c>
      <c r="AE138" s="43">
        <f t="shared" si="57"/>
        <v>0</v>
      </c>
      <c r="AF138" s="43">
        <f t="shared" si="57"/>
        <v>0</v>
      </c>
      <c r="AG138" s="44">
        <f t="shared" si="57"/>
        <v>0</v>
      </c>
      <c r="AI138" s="41">
        <f t="shared" si="55"/>
        <v>40118</v>
      </c>
      <c r="AJ138" s="44">
        <f t="shared" ref="AJ138:AJ169" si="58">SUM(AA138:AG138)</f>
        <v>0</v>
      </c>
    </row>
    <row r="139" spans="26:36" x14ac:dyDescent="0.25">
      <c r="Z139" s="41">
        <f t="shared" si="54"/>
        <v>40148</v>
      </c>
      <c r="AA139" s="43">
        <f t="shared" si="57"/>
        <v>0</v>
      </c>
      <c r="AB139" s="43">
        <f t="shared" si="57"/>
        <v>0</v>
      </c>
      <c r="AC139" s="43">
        <f t="shared" si="57"/>
        <v>0</v>
      </c>
      <c r="AD139" s="43">
        <f t="shared" si="57"/>
        <v>0</v>
      </c>
      <c r="AE139" s="43">
        <f t="shared" si="57"/>
        <v>0</v>
      </c>
      <c r="AF139" s="43">
        <f t="shared" si="57"/>
        <v>0</v>
      </c>
      <c r="AG139" s="44">
        <f t="shared" si="57"/>
        <v>0</v>
      </c>
      <c r="AI139" s="41">
        <f t="shared" si="55"/>
        <v>40148</v>
      </c>
      <c r="AJ139" s="44">
        <f t="shared" si="58"/>
        <v>0</v>
      </c>
    </row>
    <row r="140" spans="26:36" x14ac:dyDescent="0.25">
      <c r="Z140" s="41">
        <f t="shared" si="54"/>
        <v>40179</v>
      </c>
      <c r="AA140" s="43">
        <f t="shared" si="57"/>
        <v>0</v>
      </c>
      <c r="AB140" s="43">
        <f t="shared" si="57"/>
        <v>0</v>
      </c>
      <c r="AC140" s="43">
        <f t="shared" si="57"/>
        <v>0</v>
      </c>
      <c r="AD140" s="43">
        <f t="shared" si="57"/>
        <v>0</v>
      </c>
      <c r="AE140" s="43">
        <f t="shared" si="57"/>
        <v>0</v>
      </c>
      <c r="AF140" s="43">
        <f t="shared" si="57"/>
        <v>0</v>
      </c>
      <c r="AG140" s="44">
        <f t="shared" si="57"/>
        <v>0</v>
      </c>
      <c r="AI140" s="41">
        <f t="shared" si="55"/>
        <v>40179</v>
      </c>
      <c r="AJ140" s="44">
        <f t="shared" si="58"/>
        <v>0</v>
      </c>
    </row>
    <row r="141" spans="26:36" x14ac:dyDescent="0.25">
      <c r="Z141" s="41">
        <f t="shared" si="54"/>
        <v>40210</v>
      </c>
      <c r="AA141" s="43">
        <f t="shared" si="57"/>
        <v>0</v>
      </c>
      <c r="AB141" s="43">
        <f t="shared" si="57"/>
        <v>0</v>
      </c>
      <c r="AC141" s="43">
        <f t="shared" si="57"/>
        <v>0</v>
      </c>
      <c r="AD141" s="43">
        <f t="shared" si="57"/>
        <v>0</v>
      </c>
      <c r="AE141" s="43">
        <f t="shared" si="57"/>
        <v>0</v>
      </c>
      <c r="AF141" s="43">
        <f t="shared" si="57"/>
        <v>0</v>
      </c>
      <c r="AG141" s="44">
        <f t="shared" si="57"/>
        <v>0</v>
      </c>
      <c r="AI141" s="41">
        <f t="shared" si="55"/>
        <v>40210</v>
      </c>
      <c r="AJ141" s="44">
        <f t="shared" si="58"/>
        <v>0</v>
      </c>
    </row>
    <row r="142" spans="26:36" x14ac:dyDescent="0.25">
      <c r="Z142" s="41">
        <f t="shared" si="54"/>
        <v>40238</v>
      </c>
      <c r="AA142" s="43">
        <f t="shared" si="57"/>
        <v>0</v>
      </c>
      <c r="AB142" s="43">
        <f t="shared" si="57"/>
        <v>0</v>
      </c>
      <c r="AC142" s="43">
        <f t="shared" si="57"/>
        <v>0</v>
      </c>
      <c r="AD142" s="43">
        <f t="shared" si="57"/>
        <v>0</v>
      </c>
      <c r="AE142" s="43">
        <f t="shared" si="57"/>
        <v>0</v>
      </c>
      <c r="AF142" s="43">
        <f t="shared" si="57"/>
        <v>0</v>
      </c>
      <c r="AG142" s="44">
        <f t="shared" si="57"/>
        <v>0</v>
      </c>
      <c r="AI142" s="41">
        <f t="shared" si="55"/>
        <v>40238</v>
      </c>
      <c r="AJ142" s="44">
        <f t="shared" si="58"/>
        <v>0</v>
      </c>
    </row>
    <row r="143" spans="26:36" x14ac:dyDescent="0.25">
      <c r="Z143" s="41">
        <f t="shared" si="54"/>
        <v>40269</v>
      </c>
      <c r="AA143" s="43">
        <f t="shared" si="57"/>
        <v>0</v>
      </c>
      <c r="AB143" s="43">
        <f t="shared" si="57"/>
        <v>0</v>
      </c>
      <c r="AC143" s="43">
        <f t="shared" si="57"/>
        <v>0</v>
      </c>
      <c r="AD143" s="43">
        <f t="shared" si="57"/>
        <v>0</v>
      </c>
      <c r="AE143" s="43">
        <f t="shared" si="57"/>
        <v>0</v>
      </c>
      <c r="AF143" s="43">
        <f t="shared" si="57"/>
        <v>0</v>
      </c>
      <c r="AG143" s="44">
        <f t="shared" si="57"/>
        <v>0</v>
      </c>
      <c r="AI143" s="41">
        <f t="shared" si="55"/>
        <v>40269</v>
      </c>
      <c r="AJ143" s="44">
        <f t="shared" si="58"/>
        <v>0</v>
      </c>
    </row>
    <row r="144" spans="26:36" x14ac:dyDescent="0.25">
      <c r="Z144" s="41">
        <f t="shared" si="54"/>
        <v>40299</v>
      </c>
      <c r="AA144" s="43">
        <f t="shared" si="57"/>
        <v>0</v>
      </c>
      <c r="AB144" s="43">
        <f t="shared" si="57"/>
        <v>0</v>
      </c>
      <c r="AC144" s="43">
        <f t="shared" si="57"/>
        <v>0</v>
      </c>
      <c r="AD144" s="43">
        <f t="shared" si="57"/>
        <v>0</v>
      </c>
      <c r="AE144" s="43">
        <f t="shared" si="57"/>
        <v>0</v>
      </c>
      <c r="AF144" s="43">
        <f t="shared" si="57"/>
        <v>0</v>
      </c>
      <c r="AG144" s="44">
        <f t="shared" si="57"/>
        <v>0</v>
      </c>
      <c r="AI144" s="41">
        <f t="shared" si="55"/>
        <v>40299</v>
      </c>
      <c r="AJ144" s="44">
        <f t="shared" si="58"/>
        <v>0</v>
      </c>
    </row>
    <row r="145" spans="26:36" x14ac:dyDescent="0.25">
      <c r="Z145" s="41">
        <f t="shared" si="54"/>
        <v>40330</v>
      </c>
      <c r="AA145" s="43">
        <f t="shared" si="57"/>
        <v>0</v>
      </c>
      <c r="AB145" s="43">
        <f t="shared" si="57"/>
        <v>0</v>
      </c>
      <c r="AC145" s="43">
        <f t="shared" si="57"/>
        <v>0</v>
      </c>
      <c r="AD145" s="43">
        <f t="shared" si="57"/>
        <v>0</v>
      </c>
      <c r="AE145" s="43">
        <f t="shared" si="57"/>
        <v>0</v>
      </c>
      <c r="AF145" s="43">
        <f t="shared" si="57"/>
        <v>0</v>
      </c>
      <c r="AG145" s="44">
        <f t="shared" si="57"/>
        <v>0</v>
      </c>
      <c r="AI145" s="41">
        <f t="shared" si="55"/>
        <v>40330</v>
      </c>
      <c r="AJ145" s="44">
        <f t="shared" si="58"/>
        <v>0</v>
      </c>
    </row>
    <row r="146" spans="26:36" x14ac:dyDescent="0.25">
      <c r="Z146" s="41">
        <f t="shared" si="54"/>
        <v>40360</v>
      </c>
      <c r="AA146" s="43">
        <f t="shared" si="57"/>
        <v>0</v>
      </c>
      <c r="AB146" s="43">
        <f t="shared" si="57"/>
        <v>0</v>
      </c>
      <c r="AC146" s="43">
        <f t="shared" si="57"/>
        <v>0</v>
      </c>
      <c r="AD146" s="43">
        <f t="shared" si="57"/>
        <v>0</v>
      </c>
      <c r="AE146" s="43">
        <f t="shared" si="57"/>
        <v>0</v>
      </c>
      <c r="AF146" s="43">
        <f t="shared" si="57"/>
        <v>0</v>
      </c>
      <c r="AG146" s="44">
        <f t="shared" si="57"/>
        <v>0</v>
      </c>
      <c r="AI146" s="41">
        <f t="shared" si="55"/>
        <v>40360</v>
      </c>
      <c r="AJ146" s="44">
        <f t="shared" si="58"/>
        <v>0</v>
      </c>
    </row>
    <row r="147" spans="26:36" x14ac:dyDescent="0.25">
      <c r="Z147" s="41">
        <f t="shared" si="54"/>
        <v>40391</v>
      </c>
      <c r="AA147" s="43">
        <f t="shared" ref="AA147:AG156" si="59">SUMIF($X:$X,CONCATENATE($Z147,AA$6),$U:$U)</f>
        <v>0</v>
      </c>
      <c r="AB147" s="43">
        <f t="shared" si="59"/>
        <v>0</v>
      </c>
      <c r="AC147" s="43">
        <f t="shared" si="59"/>
        <v>0</v>
      </c>
      <c r="AD147" s="43">
        <f t="shared" si="59"/>
        <v>0</v>
      </c>
      <c r="AE147" s="43">
        <f t="shared" si="59"/>
        <v>0</v>
      </c>
      <c r="AF147" s="43">
        <f t="shared" si="59"/>
        <v>0</v>
      </c>
      <c r="AG147" s="44">
        <f t="shared" si="59"/>
        <v>0</v>
      </c>
      <c r="AI147" s="41">
        <f t="shared" si="55"/>
        <v>40391</v>
      </c>
      <c r="AJ147" s="44">
        <f t="shared" si="58"/>
        <v>0</v>
      </c>
    </row>
    <row r="148" spans="26:36" x14ac:dyDescent="0.25">
      <c r="Z148" s="41">
        <f t="shared" si="54"/>
        <v>40422</v>
      </c>
      <c r="AA148" s="43">
        <f t="shared" si="59"/>
        <v>0</v>
      </c>
      <c r="AB148" s="43">
        <f t="shared" si="59"/>
        <v>0</v>
      </c>
      <c r="AC148" s="43">
        <f t="shared" si="59"/>
        <v>0</v>
      </c>
      <c r="AD148" s="43">
        <f t="shared" si="59"/>
        <v>0</v>
      </c>
      <c r="AE148" s="43">
        <f t="shared" si="59"/>
        <v>0</v>
      </c>
      <c r="AF148" s="43">
        <f t="shared" si="59"/>
        <v>0</v>
      </c>
      <c r="AG148" s="44">
        <f t="shared" si="59"/>
        <v>0</v>
      </c>
      <c r="AI148" s="41">
        <f t="shared" si="55"/>
        <v>40422</v>
      </c>
      <c r="AJ148" s="44">
        <f t="shared" si="58"/>
        <v>0</v>
      </c>
    </row>
    <row r="149" spans="26:36" x14ac:dyDescent="0.25">
      <c r="Z149" s="41">
        <f t="shared" si="54"/>
        <v>40452</v>
      </c>
      <c r="AA149" s="43">
        <f t="shared" si="59"/>
        <v>0</v>
      </c>
      <c r="AB149" s="43">
        <f t="shared" si="59"/>
        <v>0</v>
      </c>
      <c r="AC149" s="43">
        <f t="shared" si="59"/>
        <v>0</v>
      </c>
      <c r="AD149" s="43">
        <f t="shared" si="59"/>
        <v>0</v>
      </c>
      <c r="AE149" s="43">
        <f t="shared" si="59"/>
        <v>0</v>
      </c>
      <c r="AF149" s="43">
        <f t="shared" si="59"/>
        <v>0</v>
      </c>
      <c r="AG149" s="44">
        <f t="shared" si="59"/>
        <v>0</v>
      </c>
      <c r="AI149" s="41">
        <f t="shared" si="55"/>
        <v>40452</v>
      </c>
      <c r="AJ149" s="44">
        <f t="shared" si="58"/>
        <v>0</v>
      </c>
    </row>
    <row r="150" spans="26:36" x14ac:dyDescent="0.25">
      <c r="Z150" s="41">
        <f t="shared" si="54"/>
        <v>40483</v>
      </c>
      <c r="AA150" s="43">
        <f t="shared" si="59"/>
        <v>0</v>
      </c>
      <c r="AB150" s="43">
        <f t="shared" si="59"/>
        <v>0</v>
      </c>
      <c r="AC150" s="43">
        <f t="shared" si="59"/>
        <v>0</v>
      </c>
      <c r="AD150" s="43">
        <f t="shared" si="59"/>
        <v>0</v>
      </c>
      <c r="AE150" s="43">
        <f t="shared" si="59"/>
        <v>0</v>
      </c>
      <c r="AF150" s="43">
        <f t="shared" si="59"/>
        <v>0</v>
      </c>
      <c r="AG150" s="44">
        <f t="shared" si="59"/>
        <v>0</v>
      </c>
      <c r="AI150" s="41">
        <f t="shared" si="55"/>
        <v>40483</v>
      </c>
      <c r="AJ150" s="44">
        <f t="shared" si="58"/>
        <v>0</v>
      </c>
    </row>
    <row r="151" spans="26:36" x14ac:dyDescent="0.25">
      <c r="Z151" s="41">
        <f t="shared" si="54"/>
        <v>40513</v>
      </c>
      <c r="AA151" s="43">
        <f t="shared" si="59"/>
        <v>0</v>
      </c>
      <c r="AB151" s="43">
        <f t="shared" si="59"/>
        <v>0</v>
      </c>
      <c r="AC151" s="43">
        <f t="shared" si="59"/>
        <v>0</v>
      </c>
      <c r="AD151" s="43">
        <f t="shared" si="59"/>
        <v>0</v>
      </c>
      <c r="AE151" s="43">
        <f t="shared" si="59"/>
        <v>0</v>
      </c>
      <c r="AF151" s="43">
        <f t="shared" si="59"/>
        <v>0</v>
      </c>
      <c r="AG151" s="44">
        <f t="shared" si="59"/>
        <v>0</v>
      </c>
      <c r="AI151" s="41">
        <f t="shared" si="55"/>
        <v>40513</v>
      </c>
      <c r="AJ151" s="44">
        <f t="shared" si="58"/>
        <v>0</v>
      </c>
    </row>
    <row r="152" spans="26:36" x14ac:dyDescent="0.25">
      <c r="Z152" s="41">
        <f t="shared" si="54"/>
        <v>40544</v>
      </c>
      <c r="AA152" s="43">
        <f t="shared" si="59"/>
        <v>0</v>
      </c>
      <c r="AB152" s="43">
        <f t="shared" si="59"/>
        <v>0</v>
      </c>
      <c r="AC152" s="43">
        <f t="shared" si="59"/>
        <v>0</v>
      </c>
      <c r="AD152" s="43">
        <f t="shared" si="59"/>
        <v>0</v>
      </c>
      <c r="AE152" s="43">
        <f t="shared" si="59"/>
        <v>0</v>
      </c>
      <c r="AF152" s="43">
        <f t="shared" si="59"/>
        <v>0</v>
      </c>
      <c r="AG152" s="44">
        <f t="shared" si="59"/>
        <v>0</v>
      </c>
      <c r="AI152" s="41">
        <f t="shared" si="55"/>
        <v>40544</v>
      </c>
      <c r="AJ152" s="44">
        <f t="shared" si="58"/>
        <v>0</v>
      </c>
    </row>
    <row r="153" spans="26:36" x14ac:dyDescent="0.25">
      <c r="Z153" s="41">
        <f t="shared" si="54"/>
        <v>40575</v>
      </c>
      <c r="AA153" s="43">
        <f t="shared" si="59"/>
        <v>0</v>
      </c>
      <c r="AB153" s="43">
        <f t="shared" si="59"/>
        <v>0</v>
      </c>
      <c r="AC153" s="43">
        <f t="shared" si="59"/>
        <v>0</v>
      </c>
      <c r="AD153" s="43">
        <f t="shared" si="59"/>
        <v>0</v>
      </c>
      <c r="AE153" s="43">
        <f t="shared" si="59"/>
        <v>0</v>
      </c>
      <c r="AF153" s="43">
        <f t="shared" si="59"/>
        <v>0</v>
      </c>
      <c r="AG153" s="44">
        <f t="shared" si="59"/>
        <v>0</v>
      </c>
      <c r="AI153" s="41">
        <f t="shared" si="55"/>
        <v>40575</v>
      </c>
      <c r="AJ153" s="44">
        <f t="shared" si="58"/>
        <v>0</v>
      </c>
    </row>
    <row r="154" spans="26:36" x14ac:dyDescent="0.25">
      <c r="Z154" s="41">
        <f t="shared" si="54"/>
        <v>40603</v>
      </c>
      <c r="AA154" s="43">
        <f t="shared" si="59"/>
        <v>0</v>
      </c>
      <c r="AB154" s="43">
        <f t="shared" si="59"/>
        <v>0</v>
      </c>
      <c r="AC154" s="43">
        <f t="shared" si="59"/>
        <v>0</v>
      </c>
      <c r="AD154" s="43">
        <f t="shared" si="59"/>
        <v>0</v>
      </c>
      <c r="AE154" s="43">
        <f t="shared" si="59"/>
        <v>0</v>
      </c>
      <c r="AF154" s="43">
        <f t="shared" si="59"/>
        <v>0</v>
      </c>
      <c r="AG154" s="44">
        <f t="shared" si="59"/>
        <v>0</v>
      </c>
      <c r="AI154" s="41">
        <f t="shared" si="55"/>
        <v>40603</v>
      </c>
      <c r="AJ154" s="44">
        <f t="shared" si="58"/>
        <v>0</v>
      </c>
    </row>
    <row r="155" spans="26:36" x14ac:dyDescent="0.25">
      <c r="Z155" s="41">
        <f t="shared" ref="Z155:Z169" si="60">EOMONTH(Z154,0)+1</f>
        <v>40634</v>
      </c>
      <c r="AA155" s="43">
        <f t="shared" si="59"/>
        <v>0</v>
      </c>
      <c r="AB155" s="43">
        <f t="shared" si="59"/>
        <v>0</v>
      </c>
      <c r="AC155" s="43">
        <f t="shared" si="59"/>
        <v>0</v>
      </c>
      <c r="AD155" s="43">
        <f t="shared" si="59"/>
        <v>0</v>
      </c>
      <c r="AE155" s="43">
        <f t="shared" si="59"/>
        <v>0</v>
      </c>
      <c r="AF155" s="43">
        <f t="shared" si="59"/>
        <v>0</v>
      </c>
      <c r="AG155" s="44">
        <f t="shared" si="59"/>
        <v>0</v>
      </c>
      <c r="AI155" s="41">
        <f t="shared" ref="AI155:AI169" si="61">EOMONTH(AI154,0)+1</f>
        <v>40634</v>
      </c>
      <c r="AJ155" s="44">
        <f t="shared" si="58"/>
        <v>0</v>
      </c>
    </row>
    <row r="156" spans="26:36" x14ac:dyDescent="0.25">
      <c r="Z156" s="41">
        <f t="shared" si="60"/>
        <v>40664</v>
      </c>
      <c r="AA156" s="43">
        <f t="shared" si="59"/>
        <v>0</v>
      </c>
      <c r="AB156" s="43">
        <f t="shared" si="59"/>
        <v>0</v>
      </c>
      <c r="AC156" s="43">
        <f t="shared" si="59"/>
        <v>0</v>
      </c>
      <c r="AD156" s="43">
        <f t="shared" si="59"/>
        <v>0</v>
      </c>
      <c r="AE156" s="43">
        <f t="shared" si="59"/>
        <v>0</v>
      </c>
      <c r="AF156" s="43">
        <f t="shared" si="59"/>
        <v>0</v>
      </c>
      <c r="AG156" s="44">
        <f t="shared" si="59"/>
        <v>0</v>
      </c>
      <c r="AI156" s="41">
        <f t="shared" si="61"/>
        <v>40664</v>
      </c>
      <c r="AJ156" s="44">
        <f t="shared" si="58"/>
        <v>0</v>
      </c>
    </row>
    <row r="157" spans="26:36" x14ac:dyDescent="0.25">
      <c r="Z157" s="41">
        <f t="shared" si="60"/>
        <v>40695</v>
      </c>
      <c r="AA157" s="43">
        <f t="shared" ref="AA157:AG169" si="62">SUMIF($X:$X,CONCATENATE($Z157,AA$6),$U:$U)</f>
        <v>0</v>
      </c>
      <c r="AB157" s="43">
        <f t="shared" si="62"/>
        <v>0</v>
      </c>
      <c r="AC157" s="43">
        <f t="shared" si="62"/>
        <v>0</v>
      </c>
      <c r="AD157" s="43">
        <f t="shared" si="62"/>
        <v>0</v>
      </c>
      <c r="AE157" s="43">
        <f t="shared" si="62"/>
        <v>0</v>
      </c>
      <c r="AF157" s="43">
        <f t="shared" si="62"/>
        <v>0</v>
      </c>
      <c r="AG157" s="44">
        <f t="shared" si="62"/>
        <v>0</v>
      </c>
      <c r="AI157" s="41">
        <f t="shared" si="61"/>
        <v>40695</v>
      </c>
      <c r="AJ157" s="44">
        <f t="shared" si="58"/>
        <v>0</v>
      </c>
    </row>
    <row r="158" spans="26:36" x14ac:dyDescent="0.25">
      <c r="Z158" s="41">
        <f t="shared" si="60"/>
        <v>40725</v>
      </c>
      <c r="AA158" s="43">
        <f t="shared" si="62"/>
        <v>0</v>
      </c>
      <c r="AB158" s="43">
        <f t="shared" si="62"/>
        <v>0</v>
      </c>
      <c r="AC158" s="43">
        <f t="shared" si="62"/>
        <v>0</v>
      </c>
      <c r="AD158" s="43">
        <f t="shared" si="62"/>
        <v>0</v>
      </c>
      <c r="AE158" s="43">
        <f t="shared" si="62"/>
        <v>0</v>
      </c>
      <c r="AF158" s="43">
        <f t="shared" si="62"/>
        <v>0</v>
      </c>
      <c r="AG158" s="44">
        <f t="shared" si="62"/>
        <v>0</v>
      </c>
      <c r="AI158" s="41">
        <f t="shared" si="61"/>
        <v>40725</v>
      </c>
      <c r="AJ158" s="44">
        <f t="shared" si="58"/>
        <v>0</v>
      </c>
    </row>
    <row r="159" spans="26:36" x14ac:dyDescent="0.25">
      <c r="Z159" s="41">
        <f t="shared" si="60"/>
        <v>40756</v>
      </c>
      <c r="AA159" s="43">
        <f t="shared" si="62"/>
        <v>0</v>
      </c>
      <c r="AB159" s="43">
        <f t="shared" si="62"/>
        <v>0</v>
      </c>
      <c r="AC159" s="43">
        <f t="shared" si="62"/>
        <v>0</v>
      </c>
      <c r="AD159" s="43">
        <f t="shared" si="62"/>
        <v>0</v>
      </c>
      <c r="AE159" s="43">
        <f t="shared" si="62"/>
        <v>0</v>
      </c>
      <c r="AF159" s="43">
        <f t="shared" si="62"/>
        <v>0</v>
      </c>
      <c r="AG159" s="44">
        <f t="shared" si="62"/>
        <v>0</v>
      </c>
      <c r="AI159" s="41">
        <f t="shared" si="61"/>
        <v>40756</v>
      </c>
      <c r="AJ159" s="44">
        <f t="shared" si="58"/>
        <v>0</v>
      </c>
    </row>
    <row r="160" spans="26:36" x14ac:dyDescent="0.25">
      <c r="Z160" s="41">
        <f t="shared" si="60"/>
        <v>40787</v>
      </c>
      <c r="AA160" s="43">
        <f t="shared" si="62"/>
        <v>0</v>
      </c>
      <c r="AB160" s="43">
        <f t="shared" si="62"/>
        <v>0</v>
      </c>
      <c r="AC160" s="43">
        <f t="shared" si="62"/>
        <v>0</v>
      </c>
      <c r="AD160" s="43">
        <f t="shared" si="62"/>
        <v>0</v>
      </c>
      <c r="AE160" s="43">
        <f t="shared" si="62"/>
        <v>0</v>
      </c>
      <c r="AF160" s="43">
        <f t="shared" si="62"/>
        <v>0</v>
      </c>
      <c r="AG160" s="44">
        <f t="shared" si="62"/>
        <v>0</v>
      </c>
      <c r="AI160" s="41">
        <f t="shared" si="61"/>
        <v>40787</v>
      </c>
      <c r="AJ160" s="44">
        <f t="shared" si="58"/>
        <v>0</v>
      </c>
    </row>
    <row r="161" spans="26:36" x14ac:dyDescent="0.25">
      <c r="Z161" s="41">
        <f t="shared" si="60"/>
        <v>40817</v>
      </c>
      <c r="AA161" s="43">
        <f t="shared" si="62"/>
        <v>0</v>
      </c>
      <c r="AB161" s="43">
        <f t="shared" si="62"/>
        <v>0</v>
      </c>
      <c r="AC161" s="43">
        <f t="shared" si="62"/>
        <v>0</v>
      </c>
      <c r="AD161" s="43">
        <f t="shared" si="62"/>
        <v>0</v>
      </c>
      <c r="AE161" s="43">
        <f t="shared" si="62"/>
        <v>0</v>
      </c>
      <c r="AF161" s="43">
        <f t="shared" si="62"/>
        <v>0</v>
      </c>
      <c r="AG161" s="44">
        <f t="shared" si="62"/>
        <v>0</v>
      </c>
      <c r="AI161" s="41">
        <f t="shared" si="61"/>
        <v>40817</v>
      </c>
      <c r="AJ161" s="44">
        <f t="shared" si="58"/>
        <v>0</v>
      </c>
    </row>
    <row r="162" spans="26:36" x14ac:dyDescent="0.25">
      <c r="Z162" s="41">
        <f t="shared" si="60"/>
        <v>40848</v>
      </c>
      <c r="AA162" s="43">
        <f t="shared" si="62"/>
        <v>0</v>
      </c>
      <c r="AB162" s="43">
        <f t="shared" si="62"/>
        <v>0</v>
      </c>
      <c r="AC162" s="43">
        <f t="shared" si="62"/>
        <v>0</v>
      </c>
      <c r="AD162" s="43">
        <f t="shared" si="62"/>
        <v>0</v>
      </c>
      <c r="AE162" s="43">
        <f t="shared" si="62"/>
        <v>0</v>
      </c>
      <c r="AF162" s="43">
        <f t="shared" si="62"/>
        <v>0</v>
      </c>
      <c r="AG162" s="44">
        <f t="shared" si="62"/>
        <v>0</v>
      </c>
      <c r="AI162" s="41">
        <f t="shared" si="61"/>
        <v>40848</v>
      </c>
      <c r="AJ162" s="44">
        <f t="shared" si="58"/>
        <v>0</v>
      </c>
    </row>
    <row r="163" spans="26:36" x14ac:dyDescent="0.25">
      <c r="Z163" s="41">
        <f t="shared" si="60"/>
        <v>40878</v>
      </c>
      <c r="AA163" s="43">
        <f t="shared" si="62"/>
        <v>0</v>
      </c>
      <c r="AB163" s="43">
        <f t="shared" si="62"/>
        <v>0</v>
      </c>
      <c r="AC163" s="43">
        <f t="shared" si="62"/>
        <v>0</v>
      </c>
      <c r="AD163" s="43">
        <f t="shared" si="62"/>
        <v>0</v>
      </c>
      <c r="AE163" s="43">
        <f t="shared" si="62"/>
        <v>0</v>
      </c>
      <c r="AF163" s="43">
        <f t="shared" si="62"/>
        <v>0</v>
      </c>
      <c r="AG163" s="44">
        <f t="shared" si="62"/>
        <v>0</v>
      </c>
      <c r="AI163" s="41">
        <f t="shared" si="61"/>
        <v>40878</v>
      </c>
      <c r="AJ163" s="44">
        <f t="shared" si="58"/>
        <v>0</v>
      </c>
    </row>
    <row r="164" spans="26:36" x14ac:dyDescent="0.25">
      <c r="Z164" s="41">
        <f t="shared" si="60"/>
        <v>40909</v>
      </c>
      <c r="AA164" s="43">
        <f t="shared" si="62"/>
        <v>0</v>
      </c>
      <c r="AB164" s="43">
        <f t="shared" si="62"/>
        <v>0</v>
      </c>
      <c r="AC164" s="43">
        <f t="shared" si="62"/>
        <v>0</v>
      </c>
      <c r="AD164" s="43">
        <f t="shared" si="62"/>
        <v>0</v>
      </c>
      <c r="AE164" s="43">
        <f t="shared" si="62"/>
        <v>0</v>
      </c>
      <c r="AF164" s="43">
        <f t="shared" si="62"/>
        <v>0</v>
      </c>
      <c r="AG164" s="44">
        <f t="shared" si="62"/>
        <v>0</v>
      </c>
      <c r="AI164" s="41">
        <f t="shared" si="61"/>
        <v>40909</v>
      </c>
      <c r="AJ164" s="44">
        <f t="shared" si="58"/>
        <v>0</v>
      </c>
    </row>
    <row r="165" spans="26:36" x14ac:dyDescent="0.25">
      <c r="Z165" s="41">
        <f t="shared" si="60"/>
        <v>40940</v>
      </c>
      <c r="AA165" s="43">
        <f t="shared" si="62"/>
        <v>0</v>
      </c>
      <c r="AB165" s="43">
        <f t="shared" si="62"/>
        <v>0</v>
      </c>
      <c r="AC165" s="43">
        <f t="shared" si="62"/>
        <v>0</v>
      </c>
      <c r="AD165" s="43">
        <f t="shared" si="62"/>
        <v>0</v>
      </c>
      <c r="AE165" s="43">
        <f t="shared" si="62"/>
        <v>0</v>
      </c>
      <c r="AF165" s="43">
        <f t="shared" si="62"/>
        <v>0</v>
      </c>
      <c r="AG165" s="44">
        <f t="shared" si="62"/>
        <v>0</v>
      </c>
      <c r="AI165" s="41">
        <f t="shared" si="61"/>
        <v>40940</v>
      </c>
      <c r="AJ165" s="44">
        <f t="shared" si="58"/>
        <v>0</v>
      </c>
    </row>
    <row r="166" spans="26:36" x14ac:dyDescent="0.25">
      <c r="Z166" s="41">
        <f t="shared" si="60"/>
        <v>40969</v>
      </c>
      <c r="AA166" s="43">
        <f t="shared" si="62"/>
        <v>0</v>
      </c>
      <c r="AB166" s="43">
        <f t="shared" si="62"/>
        <v>0</v>
      </c>
      <c r="AC166" s="43">
        <f t="shared" si="62"/>
        <v>0</v>
      </c>
      <c r="AD166" s="43">
        <f t="shared" si="62"/>
        <v>0</v>
      </c>
      <c r="AE166" s="43">
        <f t="shared" si="62"/>
        <v>0</v>
      </c>
      <c r="AF166" s="43">
        <f t="shared" si="62"/>
        <v>0</v>
      </c>
      <c r="AG166" s="44">
        <f t="shared" si="62"/>
        <v>0</v>
      </c>
      <c r="AI166" s="41">
        <f t="shared" si="61"/>
        <v>40969</v>
      </c>
      <c r="AJ166" s="44">
        <f t="shared" si="58"/>
        <v>0</v>
      </c>
    </row>
    <row r="167" spans="26:36" x14ac:dyDescent="0.25">
      <c r="Z167" s="41">
        <f t="shared" si="60"/>
        <v>41000</v>
      </c>
      <c r="AA167" s="43">
        <f t="shared" si="62"/>
        <v>0</v>
      </c>
      <c r="AB167" s="43">
        <f t="shared" si="62"/>
        <v>0</v>
      </c>
      <c r="AC167" s="43">
        <f t="shared" si="62"/>
        <v>0</v>
      </c>
      <c r="AD167" s="43">
        <f t="shared" si="62"/>
        <v>0</v>
      </c>
      <c r="AE167" s="43">
        <f t="shared" si="62"/>
        <v>0</v>
      </c>
      <c r="AF167" s="43">
        <f t="shared" si="62"/>
        <v>0</v>
      </c>
      <c r="AG167" s="44">
        <f t="shared" si="62"/>
        <v>0</v>
      </c>
      <c r="AI167" s="41">
        <f t="shared" si="61"/>
        <v>41000</v>
      </c>
      <c r="AJ167" s="44">
        <f t="shared" si="58"/>
        <v>0</v>
      </c>
    </row>
    <row r="168" spans="26:36" x14ac:dyDescent="0.25">
      <c r="Z168" s="41">
        <f t="shared" si="60"/>
        <v>41030</v>
      </c>
      <c r="AA168" s="43">
        <f t="shared" si="62"/>
        <v>0</v>
      </c>
      <c r="AB168" s="43">
        <f t="shared" si="62"/>
        <v>0</v>
      </c>
      <c r="AC168" s="43">
        <f t="shared" si="62"/>
        <v>0</v>
      </c>
      <c r="AD168" s="43">
        <f t="shared" si="62"/>
        <v>0</v>
      </c>
      <c r="AE168" s="43">
        <f t="shared" si="62"/>
        <v>0</v>
      </c>
      <c r="AF168" s="43">
        <f t="shared" si="62"/>
        <v>0</v>
      </c>
      <c r="AG168" s="44">
        <f t="shared" si="62"/>
        <v>0</v>
      </c>
      <c r="AI168" s="41">
        <f t="shared" si="61"/>
        <v>41030</v>
      </c>
      <c r="AJ168" s="44">
        <f t="shared" si="58"/>
        <v>0</v>
      </c>
    </row>
    <row r="169" spans="26:36" ht="13.8" thickBot="1" x14ac:dyDescent="0.3">
      <c r="Z169" s="42">
        <f t="shared" si="60"/>
        <v>41061</v>
      </c>
      <c r="AA169" s="45">
        <f t="shared" si="62"/>
        <v>0</v>
      </c>
      <c r="AB169" s="45">
        <f t="shared" si="62"/>
        <v>0</v>
      </c>
      <c r="AC169" s="45">
        <f t="shared" si="62"/>
        <v>0</v>
      </c>
      <c r="AD169" s="45">
        <f t="shared" si="62"/>
        <v>0</v>
      </c>
      <c r="AE169" s="45">
        <f t="shared" si="62"/>
        <v>0</v>
      </c>
      <c r="AF169" s="45">
        <f t="shared" si="62"/>
        <v>0</v>
      </c>
      <c r="AG169" s="46">
        <f t="shared" si="62"/>
        <v>0</v>
      </c>
      <c r="AI169" s="42">
        <f t="shared" si="61"/>
        <v>41061</v>
      </c>
      <c r="AJ169" s="46">
        <f t="shared" si="58"/>
        <v>0</v>
      </c>
    </row>
    <row r="65441" spans="22:22" x14ac:dyDescent="0.25">
      <c r="V65441" s="10"/>
    </row>
    <row r="65535" spans="15:15" x14ac:dyDescent="0.25">
      <c r="O65535" s="51"/>
    </row>
  </sheetData>
  <sheetCalcPr fullCalcOnLoad="1"/>
  <pageMargins left="0.75" right="0.75" top="1" bottom="1" header="0.5" footer="0.5"/>
  <pageSetup paperSize="5" scale="22" fitToHeight="3" orientation="landscape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166"/>
  <sheetViews>
    <sheetView showGridLines="0" workbookViewId="0">
      <selection activeCell="A18" sqref="A18"/>
    </sheetView>
  </sheetViews>
  <sheetFormatPr defaultRowHeight="13.2" x14ac:dyDescent="0.25"/>
  <cols>
    <col min="1" max="1" width="13.5546875" customWidth="1"/>
    <col min="2" max="2" width="13.6640625" bestFit="1" customWidth="1"/>
    <col min="3" max="3" width="16.109375" bestFit="1" customWidth="1"/>
    <col min="4" max="4" width="5.6640625" bestFit="1" customWidth="1"/>
    <col min="5" max="5" width="6" bestFit="1" customWidth="1"/>
    <col min="6" max="6" width="7.33203125" bestFit="1" customWidth="1"/>
    <col min="7" max="7" width="10.6640625" bestFit="1" customWidth="1"/>
    <col min="8" max="8" width="6.44140625" bestFit="1" customWidth="1"/>
    <col min="9" max="9" width="9" bestFit="1" customWidth="1"/>
    <col min="10" max="10" width="12" bestFit="1" customWidth="1"/>
    <col min="11" max="11" width="7.33203125" bestFit="1" customWidth="1"/>
    <col min="12" max="12" width="9.6640625" bestFit="1" customWidth="1"/>
    <col min="13" max="13" width="5.88671875" bestFit="1" customWidth="1"/>
    <col min="14" max="14" width="12" bestFit="1" customWidth="1"/>
    <col min="15" max="15" width="12.5546875" bestFit="1" customWidth="1"/>
    <col min="16" max="16" width="12" bestFit="1" customWidth="1"/>
    <col min="19" max="19" width="13.5546875" bestFit="1" customWidth="1"/>
    <col min="20" max="20" width="13.109375" bestFit="1" customWidth="1"/>
  </cols>
  <sheetData>
    <row r="1" spans="1:20" ht="17.399999999999999" x14ac:dyDescent="0.3">
      <c r="A1" s="146" t="s">
        <v>105</v>
      </c>
    </row>
    <row r="2" spans="1:20" ht="14.4" thickBot="1" x14ac:dyDescent="0.3">
      <c r="N2" s="54" t="s">
        <v>43</v>
      </c>
      <c r="O2" s="59" t="s">
        <v>104</v>
      </c>
      <c r="P2" s="58" t="s">
        <v>41</v>
      </c>
    </row>
    <row r="3" spans="1:20" ht="17.399999999999999" x14ac:dyDescent="0.3">
      <c r="A3" s="144" t="s">
        <v>35</v>
      </c>
      <c r="B3" s="145">
        <f>Summary!P1</f>
        <v>36633</v>
      </c>
      <c r="N3" s="56"/>
      <c r="O3" s="147">
        <f>SUM(O7:O420)</f>
        <v>-3.1199975488002081</v>
      </c>
      <c r="P3" s="148">
        <f>SUM(P7:P420)</f>
        <v>27.728685567408842</v>
      </c>
      <c r="S3" s="35" t="s">
        <v>73</v>
      </c>
      <c r="T3" s="37"/>
    </row>
    <row r="4" spans="1:20" ht="13.8" x14ac:dyDescent="0.25">
      <c r="A4" s="13" t="s">
        <v>36</v>
      </c>
      <c r="B4" s="14"/>
      <c r="C4" s="113"/>
      <c r="D4" s="113"/>
      <c r="E4" s="113"/>
      <c r="F4" s="113"/>
      <c r="G4" s="113"/>
      <c r="H4" s="114"/>
      <c r="I4" s="47" t="s">
        <v>37</v>
      </c>
      <c r="J4" s="115"/>
      <c r="K4" s="115"/>
      <c r="L4" s="115"/>
      <c r="M4" s="115"/>
      <c r="N4" s="115"/>
      <c r="O4" s="115"/>
      <c r="P4" s="115"/>
      <c r="S4" s="38" t="s">
        <v>3</v>
      </c>
      <c r="T4" s="121"/>
    </row>
    <row r="5" spans="1:20" ht="13.8" x14ac:dyDescent="0.25">
      <c r="A5" s="1"/>
      <c r="B5" s="1"/>
      <c r="C5" s="1"/>
      <c r="D5" s="1" t="s">
        <v>11</v>
      </c>
      <c r="E5" s="1" t="s">
        <v>12</v>
      </c>
      <c r="F5" s="1"/>
      <c r="G5" s="1" t="s">
        <v>13</v>
      </c>
      <c r="H5" s="2" t="s">
        <v>14</v>
      </c>
      <c r="I5" s="48" t="s">
        <v>101</v>
      </c>
      <c r="J5" s="8" t="s">
        <v>28</v>
      </c>
      <c r="K5" s="8" t="s">
        <v>25</v>
      </c>
      <c r="L5" s="1"/>
      <c r="M5" s="8" t="s">
        <v>33</v>
      </c>
      <c r="N5" s="8" t="s">
        <v>102</v>
      </c>
      <c r="O5" s="8"/>
      <c r="P5" s="8" t="s">
        <v>102</v>
      </c>
      <c r="S5" s="39"/>
      <c r="T5" s="151" t="s">
        <v>107</v>
      </c>
    </row>
    <row r="6" spans="1:20" x14ac:dyDescent="0.25">
      <c r="A6" s="3" t="s">
        <v>15</v>
      </c>
      <c r="B6" s="3" t="s">
        <v>16</v>
      </c>
      <c r="C6" s="3" t="s">
        <v>106</v>
      </c>
      <c r="D6" s="3" t="s">
        <v>17</v>
      </c>
      <c r="E6" s="3" t="s">
        <v>18</v>
      </c>
      <c r="F6" s="3" t="s">
        <v>3</v>
      </c>
      <c r="G6" s="3" t="s">
        <v>19</v>
      </c>
      <c r="H6" s="3" t="s">
        <v>5</v>
      </c>
      <c r="I6" s="3" t="s">
        <v>5</v>
      </c>
      <c r="J6" s="3" t="s">
        <v>29</v>
      </c>
      <c r="K6" s="3" t="s">
        <v>30</v>
      </c>
      <c r="L6" s="3" t="s">
        <v>32</v>
      </c>
      <c r="M6" s="3" t="s">
        <v>34</v>
      </c>
      <c r="N6" s="3" t="s">
        <v>103</v>
      </c>
      <c r="O6" s="3" t="s">
        <v>104</v>
      </c>
      <c r="P6" s="3" t="s">
        <v>87</v>
      </c>
      <c r="S6" s="40">
        <v>36192</v>
      </c>
      <c r="T6" s="44">
        <f>+SUMIF(F:F,S6,P:P)</f>
        <v>0</v>
      </c>
    </row>
    <row r="7" spans="1:20" x14ac:dyDescent="0.25">
      <c r="A7" s="51" t="s">
        <v>283</v>
      </c>
      <c r="B7" s="51" t="s">
        <v>96</v>
      </c>
      <c r="C7" s="51" t="s">
        <v>97</v>
      </c>
      <c r="D7" t="s">
        <v>20</v>
      </c>
      <c r="E7" t="s">
        <v>1</v>
      </c>
      <c r="F7" s="143">
        <v>36342</v>
      </c>
      <c r="G7">
        <v>-62000</v>
      </c>
      <c r="H7">
        <v>2</v>
      </c>
      <c r="I7" s="10" t="e">
        <f>+(HLOOKUP($C$7,Prices,VLOOKUP(F7,move_down,2,FALSE),FALSE)+HLOOKUP($C$8,Prices,VLOOKUP(F7,move_down,2,FALSE),FALSE)+HLOOKUP($C$9,Prices,VLOOKUP(F7,move_down,2,FALSE),FALSE)+HLOOKUP($C$10,Prices,VLOOKUP(F7,move_down,2,FALSE),FALSE)+4*VLOOKUP(F7,NGPrices,2,FALSE))/4</f>
        <v>#N/A</v>
      </c>
      <c r="J7" s="150" t="e">
        <f>+VLOOKUP(F7,NGPrices,4)</f>
        <v>#N/A</v>
      </c>
      <c r="K7" t="e">
        <f>+VLOOKUP(F7,NGPrices,3)</f>
        <v>#N/A</v>
      </c>
      <c r="L7" s="142">
        <f>+F7</f>
        <v>36342</v>
      </c>
      <c r="M7">
        <f>IF(E7="P",0,1)</f>
        <v>0</v>
      </c>
      <c r="N7" s="10">
        <v>0</v>
      </c>
      <c r="O7" s="10">
        <f>+N7*G7</f>
        <v>0</v>
      </c>
      <c r="P7" s="149">
        <v>0</v>
      </c>
      <c r="S7" s="41">
        <f t="shared" ref="S7:S38" si="0">EOMONTH(S6,0)+1</f>
        <v>36220</v>
      </c>
      <c r="T7" s="44">
        <f t="shared" ref="T7:T70" si="1">+SUMIF(F:F,S7,P:P)</f>
        <v>0</v>
      </c>
    </row>
    <row r="8" spans="1:20" x14ac:dyDescent="0.25">
      <c r="A8" s="51" t="s">
        <v>283</v>
      </c>
      <c r="B8" s="51" t="s">
        <v>96</v>
      </c>
      <c r="C8" s="51" t="s">
        <v>98</v>
      </c>
      <c r="D8" t="s">
        <v>20</v>
      </c>
      <c r="E8" t="s">
        <v>1</v>
      </c>
      <c r="F8" s="143">
        <v>36373</v>
      </c>
      <c r="G8">
        <v>-62000</v>
      </c>
      <c r="H8">
        <v>2</v>
      </c>
      <c r="I8" s="10" t="e">
        <f t="shared" ref="I8:I18" si="2">+(HLOOKUP($C$7,Prices,VLOOKUP(F8,move_down,2,FALSE),FALSE)+HLOOKUP($C$8,Prices,VLOOKUP(F8,move_down,2,FALSE),FALSE)+HLOOKUP($C$9,Prices,VLOOKUP(F8,move_down,2,FALSE),FALSE)+HLOOKUP($C$10,Prices,VLOOKUP(F8,move_down,2,FALSE),FALSE)+4*VLOOKUP(F8,NGPrices,2,FALSE))/4</f>
        <v>#N/A</v>
      </c>
      <c r="J8" s="150" t="e">
        <f t="shared" ref="J8:J18" si="3">+VLOOKUP(F8,NGPrices,4)</f>
        <v>#N/A</v>
      </c>
      <c r="K8" t="e">
        <f t="shared" ref="K8:K18" si="4">+VLOOKUP(F8,NGPrices,3)</f>
        <v>#N/A</v>
      </c>
      <c r="L8" s="142">
        <f t="shared" ref="L8:L18" si="5">+F8</f>
        <v>36373</v>
      </c>
      <c r="M8">
        <f t="shared" ref="M8:M18" si="6">IF(E8="P",0,1)</f>
        <v>0</v>
      </c>
      <c r="N8" s="10">
        <v>0</v>
      </c>
      <c r="O8" s="10">
        <f t="shared" ref="O8:O18" si="7">+N8*G8</f>
        <v>0</v>
      </c>
      <c r="P8" s="149">
        <v>0</v>
      </c>
      <c r="S8" s="41">
        <f t="shared" si="0"/>
        <v>36251</v>
      </c>
      <c r="T8" s="44">
        <f t="shared" si="1"/>
        <v>0</v>
      </c>
    </row>
    <row r="9" spans="1:20" x14ac:dyDescent="0.25">
      <c r="A9" s="51" t="s">
        <v>283</v>
      </c>
      <c r="B9" s="51" t="s">
        <v>96</v>
      </c>
      <c r="C9" s="51" t="s">
        <v>99</v>
      </c>
      <c r="D9" t="s">
        <v>20</v>
      </c>
      <c r="E9" t="s">
        <v>1</v>
      </c>
      <c r="F9" s="143">
        <v>36404</v>
      </c>
      <c r="G9">
        <v>-62000</v>
      </c>
      <c r="H9">
        <v>2</v>
      </c>
      <c r="I9" s="10" t="e">
        <f t="shared" si="2"/>
        <v>#N/A</v>
      </c>
      <c r="J9" s="150" t="e">
        <f t="shared" si="3"/>
        <v>#N/A</v>
      </c>
      <c r="K9" t="e">
        <f t="shared" si="4"/>
        <v>#N/A</v>
      </c>
      <c r="L9" s="142">
        <f t="shared" si="5"/>
        <v>36404</v>
      </c>
      <c r="M9">
        <f t="shared" si="6"/>
        <v>0</v>
      </c>
      <c r="N9" s="10">
        <v>0</v>
      </c>
      <c r="O9" s="10">
        <f t="shared" si="7"/>
        <v>0</v>
      </c>
      <c r="P9" s="149">
        <v>0</v>
      </c>
      <c r="S9" s="41">
        <f t="shared" si="0"/>
        <v>36281</v>
      </c>
      <c r="T9" s="44">
        <f t="shared" si="1"/>
        <v>0</v>
      </c>
    </row>
    <row r="10" spans="1:20" x14ac:dyDescent="0.25">
      <c r="A10" s="51" t="s">
        <v>283</v>
      </c>
      <c r="B10" s="51" t="s">
        <v>96</v>
      </c>
      <c r="C10" s="51" t="s">
        <v>100</v>
      </c>
      <c r="D10" t="s">
        <v>20</v>
      </c>
      <c r="E10" t="s">
        <v>1</v>
      </c>
      <c r="F10" s="143">
        <v>36434</v>
      </c>
      <c r="G10">
        <v>-62000</v>
      </c>
      <c r="H10">
        <v>2</v>
      </c>
      <c r="I10" s="10" t="e">
        <f t="shared" si="2"/>
        <v>#N/A</v>
      </c>
      <c r="J10" s="150" t="e">
        <f t="shared" si="3"/>
        <v>#N/A</v>
      </c>
      <c r="K10" t="e">
        <f t="shared" si="4"/>
        <v>#N/A</v>
      </c>
      <c r="L10" s="142">
        <f t="shared" si="5"/>
        <v>36434</v>
      </c>
      <c r="M10">
        <f t="shared" si="6"/>
        <v>0</v>
      </c>
      <c r="N10" s="10">
        <v>0</v>
      </c>
      <c r="O10" s="10">
        <f t="shared" si="7"/>
        <v>0</v>
      </c>
      <c r="P10" s="149">
        <v>0</v>
      </c>
      <c r="S10" s="41">
        <f t="shared" si="0"/>
        <v>36312</v>
      </c>
      <c r="T10" s="44">
        <f t="shared" si="1"/>
        <v>0</v>
      </c>
    </row>
    <row r="11" spans="1:20" x14ac:dyDescent="0.25">
      <c r="A11" s="51" t="s">
        <v>283</v>
      </c>
      <c r="B11" s="51" t="s">
        <v>96</v>
      </c>
      <c r="D11" t="s">
        <v>20</v>
      </c>
      <c r="E11" t="s">
        <v>1</v>
      </c>
      <c r="F11" s="143">
        <v>36465</v>
      </c>
      <c r="G11">
        <v>-62000</v>
      </c>
      <c r="H11">
        <v>2</v>
      </c>
      <c r="I11" s="10" t="e">
        <f t="shared" si="2"/>
        <v>#N/A</v>
      </c>
      <c r="J11" s="150" t="e">
        <f t="shared" si="3"/>
        <v>#N/A</v>
      </c>
      <c r="K11" t="e">
        <f t="shared" si="4"/>
        <v>#N/A</v>
      </c>
      <c r="L11" s="142">
        <f t="shared" si="5"/>
        <v>36465</v>
      </c>
      <c r="M11">
        <f t="shared" si="6"/>
        <v>0</v>
      </c>
      <c r="N11" s="10">
        <v>0</v>
      </c>
      <c r="O11" s="10">
        <v>0</v>
      </c>
      <c r="P11" s="149">
        <v>0</v>
      </c>
      <c r="S11" s="41">
        <f t="shared" si="0"/>
        <v>36342</v>
      </c>
      <c r="T11" s="44">
        <f t="shared" si="1"/>
        <v>0</v>
      </c>
    </row>
    <row r="12" spans="1:20" x14ac:dyDescent="0.25">
      <c r="A12" s="51" t="s">
        <v>283</v>
      </c>
      <c r="B12" s="51" t="s">
        <v>96</v>
      </c>
      <c r="D12" t="s">
        <v>20</v>
      </c>
      <c r="E12" t="s">
        <v>1</v>
      </c>
      <c r="F12" s="143">
        <v>36495</v>
      </c>
      <c r="G12">
        <v>-62000</v>
      </c>
      <c r="H12">
        <v>2</v>
      </c>
      <c r="I12" s="10" t="e">
        <f t="shared" si="2"/>
        <v>#N/A</v>
      </c>
      <c r="J12" s="150" t="e">
        <f t="shared" si="3"/>
        <v>#N/A</v>
      </c>
      <c r="K12" t="e">
        <f t="shared" si="4"/>
        <v>#N/A</v>
      </c>
      <c r="L12" s="142">
        <f t="shared" si="5"/>
        <v>36495</v>
      </c>
      <c r="M12">
        <f t="shared" si="6"/>
        <v>0</v>
      </c>
      <c r="N12" s="10">
        <v>0</v>
      </c>
      <c r="O12" s="10">
        <v>0</v>
      </c>
      <c r="P12" s="149">
        <v>0</v>
      </c>
      <c r="S12" s="41">
        <f t="shared" si="0"/>
        <v>36373</v>
      </c>
      <c r="T12" s="44">
        <f t="shared" si="1"/>
        <v>0</v>
      </c>
    </row>
    <row r="13" spans="1:20" x14ac:dyDescent="0.25">
      <c r="A13" s="51" t="s">
        <v>283</v>
      </c>
      <c r="B13" s="51" t="s">
        <v>96</v>
      </c>
      <c r="D13" t="s">
        <v>20</v>
      </c>
      <c r="E13" t="s">
        <v>1</v>
      </c>
      <c r="F13" s="143">
        <v>36526</v>
      </c>
      <c r="G13">
        <v>-62000</v>
      </c>
      <c r="H13">
        <v>2</v>
      </c>
      <c r="I13" s="10" t="e">
        <f t="shared" si="2"/>
        <v>#N/A</v>
      </c>
      <c r="J13" s="150" t="e">
        <f t="shared" si="3"/>
        <v>#N/A</v>
      </c>
      <c r="K13" t="e">
        <f t="shared" si="4"/>
        <v>#N/A</v>
      </c>
      <c r="L13" s="142">
        <f t="shared" si="5"/>
        <v>36526</v>
      </c>
      <c r="M13">
        <f t="shared" si="6"/>
        <v>0</v>
      </c>
      <c r="N13" s="10">
        <v>0</v>
      </c>
      <c r="O13" s="10">
        <f t="shared" si="7"/>
        <v>0</v>
      </c>
      <c r="P13" s="149">
        <v>0</v>
      </c>
      <c r="S13" s="41">
        <f t="shared" si="0"/>
        <v>36404</v>
      </c>
      <c r="T13" s="44">
        <f t="shared" si="1"/>
        <v>0</v>
      </c>
    </row>
    <row r="14" spans="1:20" x14ac:dyDescent="0.25">
      <c r="A14" s="51" t="s">
        <v>283</v>
      </c>
      <c r="B14" s="51" t="s">
        <v>96</v>
      </c>
      <c r="D14" t="s">
        <v>20</v>
      </c>
      <c r="E14" t="s">
        <v>1</v>
      </c>
      <c r="F14" s="143">
        <v>36557</v>
      </c>
      <c r="G14">
        <v>-62000</v>
      </c>
      <c r="H14">
        <v>2</v>
      </c>
      <c r="I14" s="10" t="e">
        <f t="shared" si="2"/>
        <v>#N/A</v>
      </c>
      <c r="J14" s="150" t="e">
        <f t="shared" si="3"/>
        <v>#N/A</v>
      </c>
      <c r="K14" t="e">
        <f t="shared" si="4"/>
        <v>#N/A</v>
      </c>
      <c r="L14" s="142">
        <f t="shared" si="5"/>
        <v>36557</v>
      </c>
      <c r="M14">
        <f t="shared" si="6"/>
        <v>0</v>
      </c>
      <c r="N14" s="10">
        <v>0</v>
      </c>
      <c r="O14" s="10">
        <v>0</v>
      </c>
      <c r="P14" s="149">
        <v>0</v>
      </c>
      <c r="S14" s="41">
        <f t="shared" si="0"/>
        <v>36434</v>
      </c>
      <c r="T14" s="44">
        <f t="shared" si="1"/>
        <v>0</v>
      </c>
    </row>
    <row r="15" spans="1:20" x14ac:dyDescent="0.25">
      <c r="A15" s="51" t="s">
        <v>283</v>
      </c>
      <c r="B15" s="51" t="s">
        <v>96</v>
      </c>
      <c r="D15" t="s">
        <v>20</v>
      </c>
      <c r="E15" t="s">
        <v>1</v>
      </c>
      <c r="F15" s="143">
        <v>36586</v>
      </c>
      <c r="G15">
        <v>-62000</v>
      </c>
      <c r="H15">
        <v>2</v>
      </c>
      <c r="I15" s="10" t="e">
        <f t="shared" si="2"/>
        <v>#N/A</v>
      </c>
      <c r="J15" s="150" t="e">
        <f t="shared" si="3"/>
        <v>#N/A</v>
      </c>
      <c r="K15" t="e">
        <f t="shared" si="4"/>
        <v>#N/A</v>
      </c>
      <c r="L15" s="142">
        <f t="shared" si="5"/>
        <v>36586</v>
      </c>
      <c r="M15">
        <f t="shared" si="6"/>
        <v>0</v>
      </c>
      <c r="N15" s="10">
        <v>0</v>
      </c>
      <c r="O15" s="10">
        <v>0</v>
      </c>
      <c r="P15" s="149">
        <v>0</v>
      </c>
      <c r="S15" s="41">
        <f t="shared" si="0"/>
        <v>36465</v>
      </c>
      <c r="T15" s="44">
        <f t="shared" si="1"/>
        <v>0</v>
      </c>
    </row>
    <row r="16" spans="1:20" x14ac:dyDescent="0.25">
      <c r="A16" s="51" t="s">
        <v>283</v>
      </c>
      <c r="B16" s="51" t="s">
        <v>96</v>
      </c>
      <c r="D16" t="s">
        <v>20</v>
      </c>
      <c r="E16" t="s">
        <v>1</v>
      </c>
      <c r="F16" s="143">
        <v>36617</v>
      </c>
      <c r="G16">
        <v>-62000</v>
      </c>
      <c r="H16">
        <v>2</v>
      </c>
      <c r="I16" s="10" t="e">
        <f t="shared" si="2"/>
        <v>#N/A</v>
      </c>
      <c r="J16" s="150" t="e">
        <f t="shared" si="3"/>
        <v>#N/A</v>
      </c>
      <c r="K16" t="e">
        <f t="shared" si="4"/>
        <v>#N/A</v>
      </c>
      <c r="L16" s="142">
        <f t="shared" si="5"/>
        <v>36617</v>
      </c>
      <c r="M16">
        <f t="shared" si="6"/>
        <v>0</v>
      </c>
      <c r="N16" s="10" t="e">
        <f>_xll.xEURO(I16,H16,J16,J16,K16,L16-B$3,M16,0)</f>
        <v>#N/A</v>
      </c>
      <c r="O16" s="10">
        <v>0</v>
      </c>
      <c r="P16" s="149">
        <v>0</v>
      </c>
      <c r="S16" s="41">
        <f t="shared" si="0"/>
        <v>36495</v>
      </c>
      <c r="T16" s="44">
        <f t="shared" si="1"/>
        <v>0</v>
      </c>
    </row>
    <row r="17" spans="1:20" x14ac:dyDescent="0.25">
      <c r="A17" s="51" t="s">
        <v>283</v>
      </c>
      <c r="B17" s="51" t="s">
        <v>96</v>
      </c>
      <c r="D17" t="s">
        <v>20</v>
      </c>
      <c r="E17" t="s">
        <v>1</v>
      </c>
      <c r="F17" s="143">
        <v>36647</v>
      </c>
      <c r="G17">
        <v>-62000</v>
      </c>
      <c r="H17">
        <v>2</v>
      </c>
      <c r="I17" s="10">
        <f t="shared" si="2"/>
        <v>3.0717499999999998</v>
      </c>
      <c r="J17" s="150">
        <f t="shared" si="3"/>
        <v>6.2683518517613002E-2</v>
      </c>
      <c r="K17">
        <f t="shared" si="4"/>
        <v>0.41</v>
      </c>
      <c r="L17" s="142">
        <f t="shared" si="5"/>
        <v>36647</v>
      </c>
      <c r="M17">
        <f t="shared" si="6"/>
        <v>0</v>
      </c>
      <c r="N17" s="10">
        <f>_xll.xEURO(I17,H17,J17,J17,K17,L17-B$3,M17,0)</f>
        <v>1.556971324933703E-9</v>
      </c>
      <c r="O17" s="10">
        <f t="shared" si="7"/>
        <v>-9.6532222145889591E-5</v>
      </c>
      <c r="P17" s="149">
        <f>_xll.xEURO(I17,H17,J17,J17,K17,L17-B$3,M17,1)*G17</f>
        <v>2.2348048355472125E-3</v>
      </c>
      <c r="S17" s="41">
        <f t="shared" si="0"/>
        <v>36526</v>
      </c>
      <c r="T17" s="44">
        <f t="shared" si="1"/>
        <v>0</v>
      </c>
    </row>
    <row r="18" spans="1:20" x14ac:dyDescent="0.25">
      <c r="A18" s="51" t="s">
        <v>283</v>
      </c>
      <c r="B18" s="51" t="s">
        <v>96</v>
      </c>
      <c r="D18" t="s">
        <v>20</v>
      </c>
      <c r="E18" t="s">
        <v>1</v>
      </c>
      <c r="F18" s="143">
        <v>36678</v>
      </c>
      <c r="G18">
        <v>-62000</v>
      </c>
      <c r="H18">
        <v>2</v>
      </c>
      <c r="I18" s="10">
        <f t="shared" si="2"/>
        <v>3.0951250000000003</v>
      </c>
      <c r="J18" s="150">
        <f t="shared" si="3"/>
        <v>6.3039999833066004E-2</v>
      </c>
      <c r="K18">
        <f t="shared" si="4"/>
        <v>0.38250000000000001</v>
      </c>
      <c r="L18" s="142">
        <f t="shared" si="5"/>
        <v>36678</v>
      </c>
      <c r="M18">
        <f t="shared" si="6"/>
        <v>0</v>
      </c>
      <c r="N18" s="10">
        <f>_xll.xEURO(I18,H18,J18,J18,K18,L18-B$3,M18,0)</f>
        <v>5.0320984138355843E-5</v>
      </c>
      <c r="O18" s="10">
        <f t="shared" si="7"/>
        <v>-3.1199010165780621</v>
      </c>
      <c r="P18" s="149">
        <f>_xll.xEURO(I18,H18,J18,J18,K18,L18-B$3,M18,1)*G18</f>
        <v>27.726450762573293</v>
      </c>
      <c r="S18" s="41">
        <f t="shared" si="0"/>
        <v>36557</v>
      </c>
      <c r="T18" s="44">
        <f t="shared" si="1"/>
        <v>0</v>
      </c>
    </row>
    <row r="19" spans="1:20" x14ac:dyDescent="0.25">
      <c r="S19" s="41">
        <f t="shared" si="0"/>
        <v>36586</v>
      </c>
      <c r="T19" s="44">
        <f t="shared" si="1"/>
        <v>0</v>
      </c>
    </row>
    <row r="20" spans="1:20" x14ac:dyDescent="0.25">
      <c r="S20" s="41">
        <f t="shared" si="0"/>
        <v>36617</v>
      </c>
      <c r="T20" s="44">
        <f t="shared" si="1"/>
        <v>0</v>
      </c>
    </row>
    <row r="21" spans="1:20" x14ac:dyDescent="0.25">
      <c r="S21" s="41">
        <f t="shared" si="0"/>
        <v>36647</v>
      </c>
      <c r="T21" s="44">
        <f t="shared" si="1"/>
        <v>2.2348048355472125E-3</v>
      </c>
    </row>
    <row r="22" spans="1:20" x14ac:dyDescent="0.25">
      <c r="S22" s="41">
        <f t="shared" si="0"/>
        <v>36678</v>
      </c>
      <c r="T22" s="44">
        <f t="shared" si="1"/>
        <v>27.726450762573293</v>
      </c>
    </row>
    <row r="23" spans="1:20" x14ac:dyDescent="0.25">
      <c r="S23" s="41">
        <f t="shared" si="0"/>
        <v>36708</v>
      </c>
      <c r="T23" s="44">
        <f t="shared" si="1"/>
        <v>0</v>
      </c>
    </row>
    <row r="24" spans="1:20" x14ac:dyDescent="0.25">
      <c r="S24" s="41">
        <f t="shared" si="0"/>
        <v>36739</v>
      </c>
      <c r="T24" s="44">
        <f t="shared" si="1"/>
        <v>0</v>
      </c>
    </row>
    <row r="25" spans="1:20" x14ac:dyDescent="0.25">
      <c r="S25" s="41">
        <f t="shared" si="0"/>
        <v>36770</v>
      </c>
      <c r="T25" s="44">
        <f t="shared" si="1"/>
        <v>0</v>
      </c>
    </row>
    <row r="26" spans="1:20" x14ac:dyDescent="0.25">
      <c r="S26" s="41">
        <f t="shared" si="0"/>
        <v>36800</v>
      </c>
      <c r="T26" s="44">
        <f t="shared" si="1"/>
        <v>0</v>
      </c>
    </row>
    <row r="27" spans="1:20" x14ac:dyDescent="0.25">
      <c r="S27" s="41">
        <f t="shared" si="0"/>
        <v>36831</v>
      </c>
      <c r="T27" s="44">
        <f t="shared" si="1"/>
        <v>0</v>
      </c>
    </row>
    <row r="28" spans="1:20" x14ac:dyDescent="0.25">
      <c r="S28" s="41">
        <f t="shared" si="0"/>
        <v>36861</v>
      </c>
      <c r="T28" s="44">
        <f t="shared" si="1"/>
        <v>0</v>
      </c>
    </row>
    <row r="29" spans="1:20" x14ac:dyDescent="0.25">
      <c r="S29" s="41">
        <f t="shared" si="0"/>
        <v>36892</v>
      </c>
      <c r="T29" s="44">
        <f t="shared" si="1"/>
        <v>0</v>
      </c>
    </row>
    <row r="30" spans="1:20" x14ac:dyDescent="0.25">
      <c r="S30" s="41">
        <f t="shared" si="0"/>
        <v>36923</v>
      </c>
      <c r="T30" s="44">
        <f t="shared" si="1"/>
        <v>0</v>
      </c>
    </row>
    <row r="31" spans="1:20" x14ac:dyDescent="0.25">
      <c r="S31" s="41">
        <f t="shared" si="0"/>
        <v>36951</v>
      </c>
      <c r="T31" s="44">
        <f t="shared" si="1"/>
        <v>0</v>
      </c>
    </row>
    <row r="32" spans="1:20" x14ac:dyDescent="0.25">
      <c r="S32" s="41">
        <f t="shared" si="0"/>
        <v>36982</v>
      </c>
      <c r="T32" s="44">
        <f t="shared" si="1"/>
        <v>0</v>
      </c>
    </row>
    <row r="33" spans="19:20" x14ac:dyDescent="0.25">
      <c r="S33" s="41">
        <f t="shared" si="0"/>
        <v>37012</v>
      </c>
      <c r="T33" s="44">
        <f t="shared" si="1"/>
        <v>0</v>
      </c>
    </row>
    <row r="34" spans="19:20" x14ac:dyDescent="0.25">
      <c r="S34" s="41">
        <f t="shared" si="0"/>
        <v>37043</v>
      </c>
      <c r="T34" s="44">
        <f t="shared" si="1"/>
        <v>0</v>
      </c>
    </row>
    <row r="35" spans="19:20" x14ac:dyDescent="0.25">
      <c r="S35" s="41">
        <f t="shared" si="0"/>
        <v>37073</v>
      </c>
      <c r="T35" s="44">
        <f t="shared" si="1"/>
        <v>0</v>
      </c>
    </row>
    <row r="36" spans="19:20" x14ac:dyDescent="0.25">
      <c r="S36" s="41">
        <f t="shared" si="0"/>
        <v>37104</v>
      </c>
      <c r="T36" s="44">
        <f t="shared" si="1"/>
        <v>0</v>
      </c>
    </row>
    <row r="37" spans="19:20" x14ac:dyDescent="0.25">
      <c r="S37" s="41">
        <f t="shared" si="0"/>
        <v>37135</v>
      </c>
      <c r="T37" s="44">
        <f t="shared" si="1"/>
        <v>0</v>
      </c>
    </row>
    <row r="38" spans="19:20" x14ac:dyDescent="0.25">
      <c r="S38" s="41">
        <f t="shared" si="0"/>
        <v>37165</v>
      </c>
      <c r="T38" s="44">
        <f t="shared" si="1"/>
        <v>0</v>
      </c>
    </row>
    <row r="39" spans="19:20" x14ac:dyDescent="0.25">
      <c r="S39" s="41">
        <f t="shared" ref="S39:S70" si="8">EOMONTH(S38,0)+1</f>
        <v>37196</v>
      </c>
      <c r="T39" s="44">
        <f t="shared" si="1"/>
        <v>0</v>
      </c>
    </row>
    <row r="40" spans="19:20" x14ac:dyDescent="0.25">
      <c r="S40" s="41">
        <f t="shared" si="8"/>
        <v>37226</v>
      </c>
      <c r="T40" s="44">
        <f t="shared" si="1"/>
        <v>0</v>
      </c>
    </row>
    <row r="41" spans="19:20" x14ac:dyDescent="0.25">
      <c r="S41" s="41">
        <f t="shared" si="8"/>
        <v>37257</v>
      </c>
      <c r="T41" s="44">
        <f t="shared" si="1"/>
        <v>0</v>
      </c>
    </row>
    <row r="42" spans="19:20" x14ac:dyDescent="0.25">
      <c r="S42" s="41">
        <f t="shared" si="8"/>
        <v>37288</v>
      </c>
      <c r="T42" s="44">
        <f t="shared" si="1"/>
        <v>0</v>
      </c>
    </row>
    <row r="43" spans="19:20" x14ac:dyDescent="0.25">
      <c r="S43" s="41">
        <f t="shared" si="8"/>
        <v>37316</v>
      </c>
      <c r="T43" s="44">
        <f t="shared" si="1"/>
        <v>0</v>
      </c>
    </row>
    <row r="44" spans="19:20" x14ac:dyDescent="0.25">
      <c r="S44" s="41">
        <f t="shared" si="8"/>
        <v>37347</v>
      </c>
      <c r="T44" s="44">
        <f t="shared" si="1"/>
        <v>0</v>
      </c>
    </row>
    <row r="45" spans="19:20" x14ac:dyDescent="0.25">
      <c r="S45" s="41">
        <f t="shared" si="8"/>
        <v>37377</v>
      </c>
      <c r="T45" s="44">
        <f t="shared" si="1"/>
        <v>0</v>
      </c>
    </row>
    <row r="46" spans="19:20" x14ac:dyDescent="0.25">
      <c r="S46" s="41">
        <f t="shared" si="8"/>
        <v>37408</v>
      </c>
      <c r="T46" s="44">
        <f t="shared" si="1"/>
        <v>0</v>
      </c>
    </row>
    <row r="47" spans="19:20" x14ac:dyDescent="0.25">
      <c r="S47" s="41">
        <f t="shared" si="8"/>
        <v>37438</v>
      </c>
      <c r="T47" s="44">
        <f t="shared" si="1"/>
        <v>0</v>
      </c>
    </row>
    <row r="48" spans="19:20" x14ac:dyDescent="0.25">
      <c r="S48" s="41">
        <f t="shared" si="8"/>
        <v>37469</v>
      </c>
      <c r="T48" s="44">
        <f t="shared" si="1"/>
        <v>0</v>
      </c>
    </row>
    <row r="49" spans="19:20" x14ac:dyDescent="0.25">
      <c r="S49" s="41">
        <f t="shared" si="8"/>
        <v>37500</v>
      </c>
      <c r="T49" s="44">
        <f t="shared" si="1"/>
        <v>0</v>
      </c>
    </row>
    <row r="50" spans="19:20" x14ac:dyDescent="0.25">
      <c r="S50" s="41">
        <f t="shared" si="8"/>
        <v>37530</v>
      </c>
      <c r="T50" s="44">
        <f t="shared" si="1"/>
        <v>0</v>
      </c>
    </row>
    <row r="51" spans="19:20" x14ac:dyDescent="0.25">
      <c r="S51" s="41">
        <f t="shared" si="8"/>
        <v>37561</v>
      </c>
      <c r="T51" s="44">
        <f t="shared" si="1"/>
        <v>0</v>
      </c>
    </row>
    <row r="52" spans="19:20" x14ac:dyDescent="0.25">
      <c r="S52" s="41">
        <f t="shared" si="8"/>
        <v>37591</v>
      </c>
      <c r="T52" s="44">
        <f t="shared" si="1"/>
        <v>0</v>
      </c>
    </row>
    <row r="53" spans="19:20" x14ac:dyDescent="0.25">
      <c r="S53" s="41">
        <f t="shared" si="8"/>
        <v>37622</v>
      </c>
      <c r="T53" s="44">
        <f t="shared" si="1"/>
        <v>0</v>
      </c>
    </row>
    <row r="54" spans="19:20" x14ac:dyDescent="0.25">
      <c r="S54" s="41">
        <f t="shared" si="8"/>
        <v>37653</v>
      </c>
      <c r="T54" s="44">
        <f t="shared" si="1"/>
        <v>0</v>
      </c>
    </row>
    <row r="55" spans="19:20" x14ac:dyDescent="0.25">
      <c r="S55" s="41">
        <f t="shared" si="8"/>
        <v>37681</v>
      </c>
      <c r="T55" s="44">
        <f t="shared" si="1"/>
        <v>0</v>
      </c>
    </row>
    <row r="56" spans="19:20" x14ac:dyDescent="0.25">
      <c r="S56" s="41">
        <f t="shared" si="8"/>
        <v>37712</v>
      </c>
      <c r="T56" s="44">
        <f t="shared" si="1"/>
        <v>0</v>
      </c>
    </row>
    <row r="57" spans="19:20" x14ac:dyDescent="0.25">
      <c r="S57" s="41">
        <f t="shared" si="8"/>
        <v>37742</v>
      </c>
      <c r="T57" s="44">
        <f t="shared" si="1"/>
        <v>0</v>
      </c>
    </row>
    <row r="58" spans="19:20" x14ac:dyDescent="0.25">
      <c r="S58" s="41">
        <f t="shared" si="8"/>
        <v>37773</v>
      </c>
      <c r="T58" s="44">
        <f t="shared" si="1"/>
        <v>0</v>
      </c>
    </row>
    <row r="59" spans="19:20" x14ac:dyDescent="0.25">
      <c r="S59" s="41">
        <f t="shared" si="8"/>
        <v>37803</v>
      </c>
      <c r="T59" s="44">
        <f t="shared" si="1"/>
        <v>0</v>
      </c>
    </row>
    <row r="60" spans="19:20" x14ac:dyDescent="0.25">
      <c r="S60" s="41">
        <f t="shared" si="8"/>
        <v>37834</v>
      </c>
      <c r="T60" s="44">
        <f t="shared" si="1"/>
        <v>0</v>
      </c>
    </row>
    <row r="61" spans="19:20" x14ac:dyDescent="0.25">
      <c r="S61" s="41">
        <f t="shared" si="8"/>
        <v>37865</v>
      </c>
      <c r="T61" s="44">
        <f t="shared" si="1"/>
        <v>0</v>
      </c>
    </row>
    <row r="62" spans="19:20" x14ac:dyDescent="0.25">
      <c r="S62" s="41">
        <f t="shared" si="8"/>
        <v>37895</v>
      </c>
      <c r="T62" s="44">
        <f t="shared" si="1"/>
        <v>0</v>
      </c>
    </row>
    <row r="63" spans="19:20" x14ac:dyDescent="0.25">
      <c r="S63" s="41">
        <f t="shared" si="8"/>
        <v>37926</v>
      </c>
      <c r="T63" s="44">
        <f t="shared" si="1"/>
        <v>0</v>
      </c>
    </row>
    <row r="64" spans="19:20" x14ac:dyDescent="0.25">
      <c r="S64" s="41">
        <f t="shared" si="8"/>
        <v>37956</v>
      </c>
      <c r="T64" s="44">
        <f t="shared" si="1"/>
        <v>0</v>
      </c>
    </row>
    <row r="65" spans="19:20" x14ac:dyDescent="0.25">
      <c r="S65" s="41">
        <f t="shared" si="8"/>
        <v>37987</v>
      </c>
      <c r="T65" s="44">
        <f t="shared" si="1"/>
        <v>0</v>
      </c>
    </row>
    <row r="66" spans="19:20" x14ac:dyDescent="0.25">
      <c r="S66" s="41">
        <f t="shared" si="8"/>
        <v>38018</v>
      </c>
      <c r="T66" s="44">
        <f t="shared" si="1"/>
        <v>0</v>
      </c>
    </row>
    <row r="67" spans="19:20" x14ac:dyDescent="0.25">
      <c r="S67" s="41">
        <f t="shared" si="8"/>
        <v>38047</v>
      </c>
      <c r="T67" s="44">
        <f t="shared" si="1"/>
        <v>0</v>
      </c>
    </row>
    <row r="68" spans="19:20" x14ac:dyDescent="0.25">
      <c r="S68" s="41">
        <f t="shared" si="8"/>
        <v>38078</v>
      </c>
      <c r="T68" s="44">
        <f t="shared" si="1"/>
        <v>0</v>
      </c>
    </row>
    <row r="69" spans="19:20" x14ac:dyDescent="0.25">
      <c r="S69" s="41">
        <f t="shared" si="8"/>
        <v>38108</v>
      </c>
      <c r="T69" s="44">
        <f t="shared" si="1"/>
        <v>0</v>
      </c>
    </row>
    <row r="70" spans="19:20" x14ac:dyDescent="0.25">
      <c r="S70" s="41">
        <f t="shared" si="8"/>
        <v>38139</v>
      </c>
      <c r="T70" s="44">
        <f t="shared" si="1"/>
        <v>0</v>
      </c>
    </row>
    <row r="71" spans="19:20" x14ac:dyDescent="0.25">
      <c r="S71" s="41">
        <f t="shared" ref="S71:S102" si="9">EOMONTH(S70,0)+1</f>
        <v>38169</v>
      </c>
      <c r="T71" s="44">
        <f t="shared" ref="T71:T134" si="10">+SUMIF(F:F,S71,P:P)</f>
        <v>0</v>
      </c>
    </row>
    <row r="72" spans="19:20" x14ac:dyDescent="0.25">
      <c r="S72" s="41">
        <f t="shared" si="9"/>
        <v>38200</v>
      </c>
      <c r="T72" s="44">
        <f t="shared" si="10"/>
        <v>0</v>
      </c>
    </row>
    <row r="73" spans="19:20" x14ac:dyDescent="0.25">
      <c r="S73" s="41">
        <f t="shared" si="9"/>
        <v>38231</v>
      </c>
      <c r="T73" s="44">
        <f t="shared" si="10"/>
        <v>0</v>
      </c>
    </row>
    <row r="74" spans="19:20" x14ac:dyDescent="0.25">
      <c r="S74" s="41">
        <f t="shared" si="9"/>
        <v>38261</v>
      </c>
      <c r="T74" s="44">
        <f t="shared" si="10"/>
        <v>0</v>
      </c>
    </row>
    <row r="75" spans="19:20" x14ac:dyDescent="0.25">
      <c r="S75" s="41">
        <f t="shared" si="9"/>
        <v>38292</v>
      </c>
      <c r="T75" s="44">
        <f t="shared" si="10"/>
        <v>0</v>
      </c>
    </row>
    <row r="76" spans="19:20" x14ac:dyDescent="0.25">
      <c r="S76" s="41">
        <f t="shared" si="9"/>
        <v>38322</v>
      </c>
      <c r="T76" s="44">
        <f t="shared" si="10"/>
        <v>0</v>
      </c>
    </row>
    <row r="77" spans="19:20" x14ac:dyDescent="0.25">
      <c r="S77" s="41">
        <f t="shared" si="9"/>
        <v>38353</v>
      </c>
      <c r="T77" s="44">
        <f t="shared" si="10"/>
        <v>0</v>
      </c>
    </row>
    <row r="78" spans="19:20" x14ac:dyDescent="0.25">
      <c r="S78" s="41">
        <f t="shared" si="9"/>
        <v>38384</v>
      </c>
      <c r="T78" s="44">
        <f t="shared" si="10"/>
        <v>0</v>
      </c>
    </row>
    <row r="79" spans="19:20" x14ac:dyDescent="0.25">
      <c r="S79" s="41">
        <f t="shared" si="9"/>
        <v>38412</v>
      </c>
      <c r="T79" s="44">
        <f t="shared" si="10"/>
        <v>0</v>
      </c>
    </row>
    <row r="80" spans="19:20" x14ac:dyDescent="0.25">
      <c r="S80" s="41">
        <f t="shared" si="9"/>
        <v>38443</v>
      </c>
      <c r="T80" s="44">
        <f t="shared" si="10"/>
        <v>0</v>
      </c>
    </row>
    <row r="81" spans="19:20" x14ac:dyDescent="0.25">
      <c r="S81" s="41">
        <f t="shared" si="9"/>
        <v>38473</v>
      </c>
      <c r="T81" s="44">
        <f t="shared" si="10"/>
        <v>0</v>
      </c>
    </row>
    <row r="82" spans="19:20" x14ac:dyDescent="0.25">
      <c r="S82" s="41">
        <f t="shared" si="9"/>
        <v>38504</v>
      </c>
      <c r="T82" s="44">
        <f t="shared" si="10"/>
        <v>0</v>
      </c>
    </row>
    <row r="83" spans="19:20" x14ac:dyDescent="0.25">
      <c r="S83" s="41">
        <f t="shared" si="9"/>
        <v>38534</v>
      </c>
      <c r="T83" s="44">
        <f t="shared" si="10"/>
        <v>0</v>
      </c>
    </row>
    <row r="84" spans="19:20" x14ac:dyDescent="0.25">
      <c r="S84" s="41">
        <f t="shared" si="9"/>
        <v>38565</v>
      </c>
      <c r="T84" s="44">
        <f t="shared" si="10"/>
        <v>0</v>
      </c>
    </row>
    <row r="85" spans="19:20" x14ac:dyDescent="0.25">
      <c r="S85" s="41">
        <f t="shared" si="9"/>
        <v>38596</v>
      </c>
      <c r="T85" s="44">
        <f t="shared" si="10"/>
        <v>0</v>
      </c>
    </row>
    <row r="86" spans="19:20" x14ac:dyDescent="0.25">
      <c r="S86" s="41">
        <f t="shared" si="9"/>
        <v>38626</v>
      </c>
      <c r="T86" s="44">
        <f t="shared" si="10"/>
        <v>0</v>
      </c>
    </row>
    <row r="87" spans="19:20" x14ac:dyDescent="0.25">
      <c r="S87" s="41">
        <f t="shared" si="9"/>
        <v>38657</v>
      </c>
      <c r="T87" s="44">
        <f t="shared" si="10"/>
        <v>0</v>
      </c>
    </row>
    <row r="88" spans="19:20" x14ac:dyDescent="0.25">
      <c r="S88" s="41">
        <f t="shared" si="9"/>
        <v>38687</v>
      </c>
      <c r="T88" s="44">
        <f t="shared" si="10"/>
        <v>0</v>
      </c>
    </row>
    <row r="89" spans="19:20" x14ac:dyDescent="0.25">
      <c r="S89" s="41">
        <f t="shared" si="9"/>
        <v>38718</v>
      </c>
      <c r="T89" s="44">
        <f t="shared" si="10"/>
        <v>0</v>
      </c>
    </row>
    <row r="90" spans="19:20" x14ac:dyDescent="0.25">
      <c r="S90" s="41">
        <f t="shared" si="9"/>
        <v>38749</v>
      </c>
      <c r="T90" s="44">
        <f t="shared" si="10"/>
        <v>0</v>
      </c>
    </row>
    <row r="91" spans="19:20" x14ac:dyDescent="0.25">
      <c r="S91" s="41">
        <f t="shared" si="9"/>
        <v>38777</v>
      </c>
      <c r="T91" s="44">
        <f t="shared" si="10"/>
        <v>0</v>
      </c>
    </row>
    <row r="92" spans="19:20" x14ac:dyDescent="0.25">
      <c r="S92" s="41">
        <f t="shared" si="9"/>
        <v>38808</v>
      </c>
      <c r="T92" s="44">
        <f t="shared" si="10"/>
        <v>0</v>
      </c>
    </row>
    <row r="93" spans="19:20" x14ac:dyDescent="0.25">
      <c r="S93" s="41">
        <f t="shared" si="9"/>
        <v>38838</v>
      </c>
      <c r="T93" s="44">
        <f t="shared" si="10"/>
        <v>0</v>
      </c>
    </row>
    <row r="94" spans="19:20" x14ac:dyDescent="0.25">
      <c r="S94" s="41">
        <f t="shared" si="9"/>
        <v>38869</v>
      </c>
      <c r="T94" s="44">
        <f t="shared" si="10"/>
        <v>0</v>
      </c>
    </row>
    <row r="95" spans="19:20" x14ac:dyDescent="0.25">
      <c r="S95" s="41">
        <f t="shared" si="9"/>
        <v>38899</v>
      </c>
      <c r="T95" s="44">
        <f t="shared" si="10"/>
        <v>0</v>
      </c>
    </row>
    <row r="96" spans="19:20" x14ac:dyDescent="0.25">
      <c r="S96" s="41">
        <f t="shared" si="9"/>
        <v>38930</v>
      </c>
      <c r="T96" s="44">
        <f t="shared" si="10"/>
        <v>0</v>
      </c>
    </row>
    <row r="97" spans="19:20" x14ac:dyDescent="0.25">
      <c r="S97" s="41">
        <f t="shared" si="9"/>
        <v>38961</v>
      </c>
      <c r="T97" s="44">
        <f t="shared" si="10"/>
        <v>0</v>
      </c>
    </row>
    <row r="98" spans="19:20" x14ac:dyDescent="0.25">
      <c r="S98" s="41">
        <f t="shared" si="9"/>
        <v>38991</v>
      </c>
      <c r="T98" s="44">
        <f t="shared" si="10"/>
        <v>0</v>
      </c>
    </row>
    <row r="99" spans="19:20" x14ac:dyDescent="0.25">
      <c r="S99" s="41">
        <f t="shared" si="9"/>
        <v>39022</v>
      </c>
      <c r="T99" s="44">
        <f t="shared" si="10"/>
        <v>0</v>
      </c>
    </row>
    <row r="100" spans="19:20" x14ac:dyDescent="0.25">
      <c r="S100" s="41">
        <f t="shared" si="9"/>
        <v>39052</v>
      </c>
      <c r="T100" s="44">
        <f t="shared" si="10"/>
        <v>0</v>
      </c>
    </row>
    <row r="101" spans="19:20" x14ac:dyDescent="0.25">
      <c r="S101" s="41">
        <f t="shared" si="9"/>
        <v>39083</v>
      </c>
      <c r="T101" s="44">
        <f t="shared" si="10"/>
        <v>0</v>
      </c>
    </row>
    <row r="102" spans="19:20" x14ac:dyDescent="0.25">
      <c r="S102" s="41">
        <f t="shared" si="9"/>
        <v>39114</v>
      </c>
      <c r="T102" s="44">
        <f t="shared" si="10"/>
        <v>0</v>
      </c>
    </row>
    <row r="103" spans="19:20" x14ac:dyDescent="0.25">
      <c r="S103" s="41">
        <f t="shared" ref="S103:S134" si="11">EOMONTH(S102,0)+1</f>
        <v>39142</v>
      </c>
      <c r="T103" s="44">
        <f t="shared" si="10"/>
        <v>0</v>
      </c>
    </row>
    <row r="104" spans="19:20" x14ac:dyDescent="0.25">
      <c r="S104" s="41">
        <f t="shared" si="11"/>
        <v>39173</v>
      </c>
      <c r="T104" s="44">
        <f t="shared" si="10"/>
        <v>0</v>
      </c>
    </row>
    <row r="105" spans="19:20" x14ac:dyDescent="0.25">
      <c r="S105" s="41">
        <f t="shared" si="11"/>
        <v>39203</v>
      </c>
      <c r="T105" s="44">
        <f t="shared" si="10"/>
        <v>0</v>
      </c>
    </row>
    <row r="106" spans="19:20" x14ac:dyDescent="0.25">
      <c r="S106" s="41">
        <f t="shared" si="11"/>
        <v>39234</v>
      </c>
      <c r="T106" s="44">
        <f t="shared" si="10"/>
        <v>0</v>
      </c>
    </row>
    <row r="107" spans="19:20" x14ac:dyDescent="0.25">
      <c r="S107" s="41">
        <f t="shared" si="11"/>
        <v>39264</v>
      </c>
      <c r="T107" s="44">
        <f t="shared" si="10"/>
        <v>0</v>
      </c>
    </row>
    <row r="108" spans="19:20" x14ac:dyDescent="0.25">
      <c r="S108" s="41">
        <f t="shared" si="11"/>
        <v>39295</v>
      </c>
      <c r="T108" s="44">
        <f t="shared" si="10"/>
        <v>0</v>
      </c>
    </row>
    <row r="109" spans="19:20" x14ac:dyDescent="0.25">
      <c r="S109" s="41">
        <f t="shared" si="11"/>
        <v>39326</v>
      </c>
      <c r="T109" s="44">
        <f t="shared" si="10"/>
        <v>0</v>
      </c>
    </row>
    <row r="110" spans="19:20" x14ac:dyDescent="0.25">
      <c r="S110" s="41">
        <f t="shared" si="11"/>
        <v>39356</v>
      </c>
      <c r="T110" s="44">
        <f t="shared" si="10"/>
        <v>0</v>
      </c>
    </row>
    <row r="111" spans="19:20" x14ac:dyDescent="0.25">
      <c r="S111" s="41">
        <f t="shared" si="11"/>
        <v>39387</v>
      </c>
      <c r="T111" s="44">
        <f t="shared" si="10"/>
        <v>0</v>
      </c>
    </row>
    <row r="112" spans="19:20" x14ac:dyDescent="0.25">
      <c r="S112" s="41">
        <f t="shared" si="11"/>
        <v>39417</v>
      </c>
      <c r="T112" s="44">
        <f t="shared" si="10"/>
        <v>0</v>
      </c>
    </row>
    <row r="113" spans="19:20" x14ac:dyDescent="0.25">
      <c r="S113" s="41">
        <f t="shared" si="11"/>
        <v>39448</v>
      </c>
      <c r="T113" s="44">
        <f t="shared" si="10"/>
        <v>0</v>
      </c>
    </row>
    <row r="114" spans="19:20" x14ac:dyDescent="0.25">
      <c r="S114" s="41">
        <f t="shared" si="11"/>
        <v>39479</v>
      </c>
      <c r="T114" s="44">
        <f t="shared" si="10"/>
        <v>0</v>
      </c>
    </row>
    <row r="115" spans="19:20" x14ac:dyDescent="0.25">
      <c r="S115" s="41">
        <f t="shared" si="11"/>
        <v>39508</v>
      </c>
      <c r="T115" s="44">
        <f t="shared" si="10"/>
        <v>0</v>
      </c>
    </row>
    <row r="116" spans="19:20" x14ac:dyDescent="0.25">
      <c r="S116" s="41">
        <f t="shared" si="11"/>
        <v>39539</v>
      </c>
      <c r="T116" s="44">
        <f t="shared" si="10"/>
        <v>0</v>
      </c>
    </row>
    <row r="117" spans="19:20" x14ac:dyDescent="0.25">
      <c r="S117" s="41">
        <f t="shared" si="11"/>
        <v>39569</v>
      </c>
      <c r="T117" s="44">
        <f t="shared" si="10"/>
        <v>0</v>
      </c>
    </row>
    <row r="118" spans="19:20" x14ac:dyDescent="0.25">
      <c r="S118" s="41">
        <f t="shared" si="11"/>
        <v>39600</v>
      </c>
      <c r="T118" s="44">
        <f t="shared" si="10"/>
        <v>0</v>
      </c>
    </row>
    <row r="119" spans="19:20" x14ac:dyDescent="0.25">
      <c r="S119" s="41">
        <f t="shared" si="11"/>
        <v>39630</v>
      </c>
      <c r="T119" s="44">
        <f t="shared" si="10"/>
        <v>0</v>
      </c>
    </row>
    <row r="120" spans="19:20" x14ac:dyDescent="0.25">
      <c r="S120" s="41">
        <f t="shared" si="11"/>
        <v>39661</v>
      </c>
      <c r="T120" s="44">
        <f t="shared" si="10"/>
        <v>0</v>
      </c>
    </row>
    <row r="121" spans="19:20" x14ac:dyDescent="0.25">
      <c r="S121" s="41">
        <f t="shared" si="11"/>
        <v>39692</v>
      </c>
      <c r="T121" s="44">
        <f t="shared" si="10"/>
        <v>0</v>
      </c>
    </row>
    <row r="122" spans="19:20" x14ac:dyDescent="0.25">
      <c r="S122" s="41">
        <f t="shared" si="11"/>
        <v>39722</v>
      </c>
      <c r="T122" s="44">
        <f t="shared" si="10"/>
        <v>0</v>
      </c>
    </row>
    <row r="123" spans="19:20" x14ac:dyDescent="0.25">
      <c r="S123" s="41">
        <f t="shared" si="11"/>
        <v>39753</v>
      </c>
      <c r="T123" s="44">
        <f t="shared" si="10"/>
        <v>0</v>
      </c>
    </row>
    <row r="124" spans="19:20" x14ac:dyDescent="0.25">
      <c r="S124" s="41">
        <f t="shared" si="11"/>
        <v>39783</v>
      </c>
      <c r="T124" s="44">
        <f t="shared" si="10"/>
        <v>0</v>
      </c>
    </row>
    <row r="125" spans="19:20" x14ac:dyDescent="0.25">
      <c r="S125" s="41">
        <f t="shared" si="11"/>
        <v>39814</v>
      </c>
      <c r="T125" s="44">
        <f t="shared" si="10"/>
        <v>0</v>
      </c>
    </row>
    <row r="126" spans="19:20" x14ac:dyDescent="0.25">
      <c r="S126" s="41">
        <f t="shared" si="11"/>
        <v>39845</v>
      </c>
      <c r="T126" s="44">
        <f t="shared" si="10"/>
        <v>0</v>
      </c>
    </row>
    <row r="127" spans="19:20" x14ac:dyDescent="0.25">
      <c r="S127" s="41">
        <f t="shared" si="11"/>
        <v>39873</v>
      </c>
      <c r="T127" s="44">
        <f t="shared" si="10"/>
        <v>0</v>
      </c>
    </row>
    <row r="128" spans="19:20" x14ac:dyDescent="0.25">
      <c r="S128" s="41">
        <f t="shared" si="11"/>
        <v>39904</v>
      </c>
      <c r="T128" s="44">
        <f t="shared" si="10"/>
        <v>0</v>
      </c>
    </row>
    <row r="129" spans="19:20" x14ac:dyDescent="0.25">
      <c r="S129" s="41">
        <f t="shared" si="11"/>
        <v>39934</v>
      </c>
      <c r="T129" s="44">
        <f t="shared" si="10"/>
        <v>0</v>
      </c>
    </row>
    <row r="130" spans="19:20" x14ac:dyDescent="0.25">
      <c r="S130" s="41">
        <f t="shared" si="11"/>
        <v>39965</v>
      </c>
      <c r="T130" s="44">
        <f t="shared" si="10"/>
        <v>0</v>
      </c>
    </row>
    <row r="131" spans="19:20" x14ac:dyDescent="0.25">
      <c r="S131" s="41">
        <f t="shared" si="11"/>
        <v>39995</v>
      </c>
      <c r="T131" s="44">
        <f t="shared" si="10"/>
        <v>0</v>
      </c>
    </row>
    <row r="132" spans="19:20" x14ac:dyDescent="0.25">
      <c r="S132" s="41">
        <f t="shared" si="11"/>
        <v>40026</v>
      </c>
      <c r="T132" s="44">
        <f t="shared" si="10"/>
        <v>0</v>
      </c>
    </row>
    <row r="133" spans="19:20" x14ac:dyDescent="0.25">
      <c r="S133" s="41">
        <f t="shared" si="11"/>
        <v>40057</v>
      </c>
      <c r="T133" s="44">
        <f t="shared" si="10"/>
        <v>0</v>
      </c>
    </row>
    <row r="134" spans="19:20" x14ac:dyDescent="0.25">
      <c r="S134" s="41">
        <f t="shared" si="11"/>
        <v>40087</v>
      </c>
      <c r="T134" s="44">
        <f t="shared" si="10"/>
        <v>0</v>
      </c>
    </row>
    <row r="135" spans="19:20" x14ac:dyDescent="0.25">
      <c r="S135" s="41">
        <f t="shared" ref="S135:S166" si="12">EOMONTH(S134,0)+1</f>
        <v>40118</v>
      </c>
      <c r="T135" s="44">
        <f t="shared" ref="T135:T166" si="13">+SUMIF(F:F,S135,P:P)</f>
        <v>0</v>
      </c>
    </row>
    <row r="136" spans="19:20" x14ac:dyDescent="0.25">
      <c r="S136" s="41">
        <f t="shared" si="12"/>
        <v>40148</v>
      </c>
      <c r="T136" s="44">
        <f t="shared" si="13"/>
        <v>0</v>
      </c>
    </row>
    <row r="137" spans="19:20" x14ac:dyDescent="0.25">
      <c r="S137" s="41">
        <f t="shared" si="12"/>
        <v>40179</v>
      </c>
      <c r="T137" s="44">
        <f t="shared" si="13"/>
        <v>0</v>
      </c>
    </row>
    <row r="138" spans="19:20" x14ac:dyDescent="0.25">
      <c r="S138" s="41">
        <f t="shared" si="12"/>
        <v>40210</v>
      </c>
      <c r="T138" s="44">
        <f t="shared" si="13"/>
        <v>0</v>
      </c>
    </row>
    <row r="139" spans="19:20" x14ac:dyDescent="0.25">
      <c r="S139" s="41">
        <f t="shared" si="12"/>
        <v>40238</v>
      </c>
      <c r="T139" s="44">
        <f t="shared" si="13"/>
        <v>0</v>
      </c>
    </row>
    <row r="140" spans="19:20" x14ac:dyDescent="0.25">
      <c r="S140" s="41">
        <f t="shared" si="12"/>
        <v>40269</v>
      </c>
      <c r="T140" s="44">
        <f t="shared" si="13"/>
        <v>0</v>
      </c>
    </row>
    <row r="141" spans="19:20" x14ac:dyDescent="0.25">
      <c r="S141" s="41">
        <f t="shared" si="12"/>
        <v>40299</v>
      </c>
      <c r="T141" s="44">
        <f t="shared" si="13"/>
        <v>0</v>
      </c>
    </row>
    <row r="142" spans="19:20" x14ac:dyDescent="0.25">
      <c r="S142" s="41">
        <f t="shared" si="12"/>
        <v>40330</v>
      </c>
      <c r="T142" s="44">
        <f t="shared" si="13"/>
        <v>0</v>
      </c>
    </row>
    <row r="143" spans="19:20" x14ac:dyDescent="0.25">
      <c r="S143" s="41">
        <f t="shared" si="12"/>
        <v>40360</v>
      </c>
      <c r="T143" s="44">
        <f t="shared" si="13"/>
        <v>0</v>
      </c>
    </row>
    <row r="144" spans="19:20" x14ac:dyDescent="0.25">
      <c r="S144" s="41">
        <f t="shared" si="12"/>
        <v>40391</v>
      </c>
      <c r="T144" s="44">
        <f t="shared" si="13"/>
        <v>0</v>
      </c>
    </row>
    <row r="145" spans="19:20" x14ac:dyDescent="0.25">
      <c r="S145" s="41">
        <f t="shared" si="12"/>
        <v>40422</v>
      </c>
      <c r="T145" s="44">
        <f t="shared" si="13"/>
        <v>0</v>
      </c>
    </row>
    <row r="146" spans="19:20" x14ac:dyDescent="0.25">
      <c r="S146" s="41">
        <f t="shared" si="12"/>
        <v>40452</v>
      </c>
      <c r="T146" s="44">
        <f t="shared" si="13"/>
        <v>0</v>
      </c>
    </row>
    <row r="147" spans="19:20" x14ac:dyDescent="0.25">
      <c r="S147" s="41">
        <f t="shared" si="12"/>
        <v>40483</v>
      </c>
      <c r="T147" s="44">
        <f t="shared" si="13"/>
        <v>0</v>
      </c>
    </row>
    <row r="148" spans="19:20" x14ac:dyDescent="0.25">
      <c r="S148" s="41">
        <f t="shared" si="12"/>
        <v>40513</v>
      </c>
      <c r="T148" s="44">
        <f t="shared" si="13"/>
        <v>0</v>
      </c>
    </row>
    <row r="149" spans="19:20" x14ac:dyDescent="0.25">
      <c r="S149" s="41">
        <f t="shared" si="12"/>
        <v>40544</v>
      </c>
      <c r="T149" s="44">
        <f t="shared" si="13"/>
        <v>0</v>
      </c>
    </row>
    <row r="150" spans="19:20" x14ac:dyDescent="0.25">
      <c r="S150" s="41">
        <f t="shared" si="12"/>
        <v>40575</v>
      </c>
      <c r="T150" s="44">
        <f t="shared" si="13"/>
        <v>0</v>
      </c>
    </row>
    <row r="151" spans="19:20" x14ac:dyDescent="0.25">
      <c r="S151" s="41">
        <f t="shared" si="12"/>
        <v>40603</v>
      </c>
      <c r="T151" s="44">
        <f t="shared" si="13"/>
        <v>0</v>
      </c>
    </row>
    <row r="152" spans="19:20" x14ac:dyDescent="0.25">
      <c r="S152" s="41">
        <f t="shared" si="12"/>
        <v>40634</v>
      </c>
      <c r="T152" s="44">
        <f t="shared" si="13"/>
        <v>0</v>
      </c>
    </row>
    <row r="153" spans="19:20" x14ac:dyDescent="0.25">
      <c r="S153" s="41">
        <f t="shared" si="12"/>
        <v>40664</v>
      </c>
      <c r="T153" s="44">
        <f t="shared" si="13"/>
        <v>0</v>
      </c>
    </row>
    <row r="154" spans="19:20" x14ac:dyDescent="0.25">
      <c r="S154" s="41">
        <f t="shared" si="12"/>
        <v>40695</v>
      </c>
      <c r="T154" s="44">
        <f t="shared" si="13"/>
        <v>0</v>
      </c>
    </row>
    <row r="155" spans="19:20" x14ac:dyDescent="0.25">
      <c r="S155" s="41">
        <f t="shared" si="12"/>
        <v>40725</v>
      </c>
      <c r="T155" s="44">
        <f t="shared" si="13"/>
        <v>0</v>
      </c>
    </row>
    <row r="156" spans="19:20" x14ac:dyDescent="0.25">
      <c r="S156" s="41">
        <f t="shared" si="12"/>
        <v>40756</v>
      </c>
      <c r="T156" s="44">
        <f t="shared" si="13"/>
        <v>0</v>
      </c>
    </row>
    <row r="157" spans="19:20" x14ac:dyDescent="0.25">
      <c r="S157" s="41">
        <f t="shared" si="12"/>
        <v>40787</v>
      </c>
      <c r="T157" s="44">
        <f t="shared" si="13"/>
        <v>0</v>
      </c>
    </row>
    <row r="158" spans="19:20" x14ac:dyDescent="0.25">
      <c r="S158" s="41">
        <f t="shared" si="12"/>
        <v>40817</v>
      </c>
      <c r="T158" s="44">
        <f t="shared" si="13"/>
        <v>0</v>
      </c>
    </row>
    <row r="159" spans="19:20" x14ac:dyDescent="0.25">
      <c r="S159" s="41">
        <f t="shared" si="12"/>
        <v>40848</v>
      </c>
      <c r="T159" s="44">
        <f t="shared" si="13"/>
        <v>0</v>
      </c>
    </row>
    <row r="160" spans="19:20" x14ac:dyDescent="0.25">
      <c r="S160" s="41">
        <f t="shared" si="12"/>
        <v>40878</v>
      </c>
      <c r="T160" s="44">
        <f t="shared" si="13"/>
        <v>0</v>
      </c>
    </row>
    <row r="161" spans="19:20" x14ac:dyDescent="0.25">
      <c r="S161" s="41">
        <f t="shared" si="12"/>
        <v>40909</v>
      </c>
      <c r="T161" s="44">
        <f t="shared" si="13"/>
        <v>0</v>
      </c>
    </row>
    <row r="162" spans="19:20" x14ac:dyDescent="0.25">
      <c r="S162" s="41">
        <f t="shared" si="12"/>
        <v>40940</v>
      </c>
      <c r="T162" s="44">
        <f t="shared" si="13"/>
        <v>0</v>
      </c>
    </row>
    <row r="163" spans="19:20" x14ac:dyDescent="0.25">
      <c r="S163" s="41">
        <f t="shared" si="12"/>
        <v>40969</v>
      </c>
      <c r="T163" s="44">
        <f t="shared" si="13"/>
        <v>0</v>
      </c>
    </row>
    <row r="164" spans="19:20" x14ac:dyDescent="0.25">
      <c r="S164" s="41">
        <f t="shared" si="12"/>
        <v>41000</v>
      </c>
      <c r="T164" s="44">
        <f t="shared" si="13"/>
        <v>0</v>
      </c>
    </row>
    <row r="165" spans="19:20" x14ac:dyDescent="0.25">
      <c r="S165" s="41">
        <f t="shared" si="12"/>
        <v>41030</v>
      </c>
      <c r="T165" s="44">
        <f t="shared" si="13"/>
        <v>0</v>
      </c>
    </row>
    <row r="166" spans="19:20" ht="13.8" thickBot="1" x14ac:dyDescent="0.3">
      <c r="S166" s="42">
        <f t="shared" si="12"/>
        <v>41061</v>
      </c>
      <c r="T166" s="46">
        <f t="shared" si="13"/>
        <v>0</v>
      </c>
    </row>
  </sheetData>
  <sheetCalcPr fullCalcOnLoad="1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Z21"/>
  <sheetViews>
    <sheetView tabSelected="1" workbookViewId="0">
      <selection activeCell="E10" sqref="E10"/>
      <pivotSelection pane="bottomRight" activeRow="9" activeCol="4" click="1" r:id="rId1">
        <pivotArea outline="0" fieldPosition="0">
          <references count="2">
            <reference field="8" count="1" selected="0">
              <x v="4"/>
            </reference>
            <reference field="6" count="1" selected="0">
              <x v="3"/>
            </reference>
          </references>
        </pivotArea>
      </pivotSelection>
    </sheetView>
  </sheetViews>
  <sheetFormatPr defaultRowHeight="13.2" x14ac:dyDescent="0.25"/>
  <cols>
    <col min="1" max="1" width="15.44140625" bestFit="1" customWidth="1"/>
    <col min="26" max="26" width="10.5546875" bestFit="1" customWidth="1"/>
  </cols>
  <sheetData>
    <row r="1" spans="1:26" x14ac:dyDescent="0.25">
      <c r="A1" s="292" t="s">
        <v>18</v>
      </c>
      <c r="B1" s="434" t="s">
        <v>298</v>
      </c>
    </row>
    <row r="2" spans="1:26" x14ac:dyDescent="0.25">
      <c r="A2" s="292" t="s">
        <v>2</v>
      </c>
      <c r="B2" s="434" t="s">
        <v>298</v>
      </c>
    </row>
    <row r="4" spans="1:26" x14ac:dyDescent="0.25">
      <c r="A4" s="447" t="s">
        <v>297</v>
      </c>
      <c r="B4" s="292" t="s">
        <v>3</v>
      </c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3"/>
      <c r="S4" s="273"/>
      <c r="T4" s="273"/>
      <c r="U4" s="273"/>
      <c r="V4" s="273"/>
      <c r="W4" s="273"/>
      <c r="X4" s="273"/>
      <c r="Y4" s="273"/>
      <c r="Z4" s="274"/>
    </row>
    <row r="5" spans="1:26" x14ac:dyDescent="0.25">
      <c r="A5" s="292" t="s">
        <v>5</v>
      </c>
      <c r="B5" s="432">
        <v>36647</v>
      </c>
      <c r="C5" s="433">
        <v>36678</v>
      </c>
      <c r="D5" s="433">
        <v>36708</v>
      </c>
      <c r="E5" s="433">
        <v>36739</v>
      </c>
      <c r="F5" s="433">
        <v>36770</v>
      </c>
      <c r="G5" s="433">
        <v>36800</v>
      </c>
      <c r="H5" s="433">
        <v>36831</v>
      </c>
      <c r="I5" s="433">
        <v>36861</v>
      </c>
      <c r="J5" s="433">
        <v>36892</v>
      </c>
      <c r="K5" s="433">
        <v>36923</v>
      </c>
      <c r="L5" s="433">
        <v>36951</v>
      </c>
      <c r="M5" s="433">
        <v>36982</v>
      </c>
      <c r="N5" s="433">
        <v>37012</v>
      </c>
      <c r="O5" s="433">
        <v>37043</v>
      </c>
      <c r="P5" s="433">
        <v>37073</v>
      </c>
      <c r="Q5" s="433">
        <v>37104</v>
      </c>
      <c r="R5" s="433">
        <v>37135</v>
      </c>
      <c r="S5" s="433">
        <v>37165</v>
      </c>
      <c r="T5" s="433">
        <v>37196</v>
      </c>
      <c r="U5" s="433">
        <v>37226</v>
      </c>
      <c r="V5" s="433">
        <v>37257</v>
      </c>
      <c r="W5" s="433">
        <v>37288</v>
      </c>
      <c r="X5" s="433">
        <v>37316</v>
      </c>
      <c r="Y5" s="273" t="s">
        <v>181</v>
      </c>
      <c r="Z5" s="277" t="s">
        <v>169</v>
      </c>
    </row>
    <row r="6" spans="1:26" x14ac:dyDescent="0.25">
      <c r="A6" s="272">
        <v>-0.4</v>
      </c>
      <c r="B6" s="435">
        <v>162</v>
      </c>
      <c r="C6" s="436">
        <v>160</v>
      </c>
      <c r="D6" s="436">
        <v>162</v>
      </c>
      <c r="E6" s="436">
        <v>162</v>
      </c>
      <c r="F6" s="436">
        <v>160</v>
      </c>
      <c r="G6" s="436">
        <v>162</v>
      </c>
      <c r="H6" s="436"/>
      <c r="I6" s="436"/>
      <c r="J6" s="436"/>
      <c r="K6" s="436"/>
      <c r="L6" s="436"/>
      <c r="M6" s="436"/>
      <c r="N6" s="436"/>
      <c r="O6" s="436"/>
      <c r="P6" s="436"/>
      <c r="Q6" s="436"/>
      <c r="R6" s="436"/>
      <c r="S6" s="436"/>
      <c r="T6" s="436"/>
      <c r="U6" s="436"/>
      <c r="V6" s="436"/>
      <c r="W6" s="436"/>
      <c r="X6" s="436"/>
      <c r="Y6" s="436"/>
      <c r="Z6" s="437">
        <v>968</v>
      </c>
    </row>
    <row r="7" spans="1:26" x14ac:dyDescent="0.25">
      <c r="A7" s="379">
        <v>-0.32</v>
      </c>
      <c r="B7" s="438">
        <v>-38</v>
      </c>
      <c r="C7" s="439">
        <v>-40</v>
      </c>
      <c r="D7" s="439">
        <v>-38</v>
      </c>
      <c r="E7" s="439">
        <v>-38</v>
      </c>
      <c r="F7" s="439">
        <v>-40</v>
      </c>
      <c r="G7" s="439">
        <v>-38</v>
      </c>
      <c r="H7" s="439"/>
      <c r="I7" s="439"/>
      <c r="J7" s="439"/>
      <c r="K7" s="439"/>
      <c r="L7" s="439"/>
      <c r="M7" s="439"/>
      <c r="N7" s="439"/>
      <c r="O7" s="439"/>
      <c r="P7" s="439"/>
      <c r="Q7" s="439"/>
      <c r="R7" s="439"/>
      <c r="S7" s="439"/>
      <c r="T7" s="439"/>
      <c r="U7" s="439"/>
      <c r="V7" s="439"/>
      <c r="W7" s="439"/>
      <c r="X7" s="439"/>
      <c r="Y7" s="439"/>
      <c r="Z7" s="440">
        <v>-232</v>
      </c>
    </row>
    <row r="8" spans="1:26" x14ac:dyDescent="0.25">
      <c r="A8" s="379">
        <v>-0.3</v>
      </c>
      <c r="B8" s="438">
        <v>62</v>
      </c>
      <c r="C8" s="439">
        <v>60</v>
      </c>
      <c r="D8" s="439">
        <v>62</v>
      </c>
      <c r="E8" s="439">
        <v>62</v>
      </c>
      <c r="F8" s="439">
        <v>60</v>
      </c>
      <c r="G8" s="439">
        <v>62</v>
      </c>
      <c r="H8" s="439"/>
      <c r="I8" s="439"/>
      <c r="J8" s="439"/>
      <c r="K8" s="439"/>
      <c r="L8" s="439"/>
      <c r="M8" s="439"/>
      <c r="N8" s="439"/>
      <c r="O8" s="439"/>
      <c r="P8" s="439"/>
      <c r="Q8" s="439"/>
      <c r="R8" s="439"/>
      <c r="S8" s="439"/>
      <c r="T8" s="439"/>
      <c r="U8" s="439"/>
      <c r="V8" s="439"/>
      <c r="W8" s="439"/>
      <c r="X8" s="439"/>
      <c r="Y8" s="439"/>
      <c r="Z8" s="440">
        <v>368</v>
      </c>
    </row>
    <row r="9" spans="1:26" x14ac:dyDescent="0.25">
      <c r="A9" s="379">
        <v>-0.25</v>
      </c>
      <c r="B9" s="438">
        <v>-69</v>
      </c>
      <c r="C9" s="439">
        <v>-70</v>
      </c>
      <c r="D9" s="439">
        <v>-69</v>
      </c>
      <c r="E9" s="439">
        <v>-69</v>
      </c>
      <c r="F9" s="439">
        <v>-70</v>
      </c>
      <c r="G9" s="439">
        <v>-69</v>
      </c>
      <c r="H9" s="439"/>
      <c r="I9" s="439"/>
      <c r="J9" s="439"/>
      <c r="K9" s="439"/>
      <c r="L9" s="439"/>
      <c r="M9" s="439"/>
      <c r="N9" s="439"/>
      <c r="O9" s="439"/>
      <c r="P9" s="439"/>
      <c r="Q9" s="439"/>
      <c r="R9" s="439"/>
      <c r="S9" s="439"/>
      <c r="T9" s="439"/>
      <c r="U9" s="439"/>
      <c r="V9" s="439"/>
      <c r="W9" s="439"/>
      <c r="X9" s="439"/>
      <c r="Y9" s="439"/>
      <c r="Z9" s="440">
        <v>-416</v>
      </c>
    </row>
    <row r="10" spans="1:26" x14ac:dyDescent="0.25">
      <c r="A10" s="379">
        <v>0.16</v>
      </c>
      <c r="B10" s="438">
        <v>91</v>
      </c>
      <c r="C10" s="439">
        <v>90</v>
      </c>
      <c r="D10" s="439">
        <v>91</v>
      </c>
      <c r="E10" s="439">
        <v>91</v>
      </c>
      <c r="F10" s="439">
        <v>90</v>
      </c>
      <c r="G10" s="439">
        <v>91</v>
      </c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40">
        <v>544</v>
      </c>
    </row>
    <row r="11" spans="1:26" x14ac:dyDescent="0.25">
      <c r="A11" s="379">
        <v>0.25</v>
      </c>
      <c r="B11" s="438">
        <v>30</v>
      </c>
      <c r="C11" s="439">
        <v>30</v>
      </c>
      <c r="D11" s="439">
        <v>30</v>
      </c>
      <c r="E11" s="439">
        <v>30</v>
      </c>
      <c r="F11" s="439">
        <v>30</v>
      </c>
      <c r="G11" s="439">
        <v>30</v>
      </c>
      <c r="H11" s="439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40">
        <v>180</v>
      </c>
    </row>
    <row r="12" spans="1:26" x14ac:dyDescent="0.25">
      <c r="A12" s="379">
        <v>0.3</v>
      </c>
      <c r="B12" s="438">
        <v>-150</v>
      </c>
      <c r="C12" s="439">
        <v>-150</v>
      </c>
      <c r="D12" s="439">
        <v>-150</v>
      </c>
      <c r="E12" s="439">
        <v>-150</v>
      </c>
      <c r="F12" s="439">
        <v>-150</v>
      </c>
      <c r="G12" s="439">
        <v>-150</v>
      </c>
      <c r="H12" s="439"/>
      <c r="I12" s="439"/>
      <c r="J12" s="439"/>
      <c r="K12" s="439"/>
      <c r="L12" s="439"/>
      <c r="M12" s="439">
        <v>50</v>
      </c>
      <c r="N12" s="439">
        <v>50</v>
      </c>
      <c r="O12" s="439">
        <v>50</v>
      </c>
      <c r="P12" s="439">
        <v>50</v>
      </c>
      <c r="Q12" s="439">
        <v>50</v>
      </c>
      <c r="R12" s="439">
        <v>50</v>
      </c>
      <c r="S12" s="439">
        <v>50</v>
      </c>
      <c r="T12" s="439"/>
      <c r="U12" s="439"/>
      <c r="V12" s="439"/>
      <c r="W12" s="439"/>
      <c r="X12" s="439"/>
      <c r="Y12" s="439"/>
      <c r="Z12" s="440">
        <v>-550</v>
      </c>
    </row>
    <row r="13" spans="1:26" x14ac:dyDescent="0.25">
      <c r="A13" s="379">
        <v>0.33</v>
      </c>
      <c r="B13" s="438"/>
      <c r="C13" s="439"/>
      <c r="D13" s="439"/>
      <c r="E13" s="439"/>
      <c r="F13" s="439"/>
      <c r="G13" s="439"/>
      <c r="H13" s="439">
        <v>30</v>
      </c>
      <c r="I13" s="439">
        <v>31</v>
      </c>
      <c r="J13" s="439">
        <v>31</v>
      </c>
      <c r="K13" s="439">
        <v>28</v>
      </c>
      <c r="L13" s="439">
        <v>31</v>
      </c>
      <c r="M13" s="439"/>
      <c r="N13" s="439"/>
      <c r="O13" s="439"/>
      <c r="P13" s="439"/>
      <c r="Q13" s="439"/>
      <c r="R13" s="439"/>
      <c r="S13" s="439"/>
      <c r="T13" s="439"/>
      <c r="U13" s="439"/>
      <c r="V13" s="439"/>
      <c r="W13" s="439"/>
      <c r="X13" s="439"/>
      <c r="Y13" s="439"/>
      <c r="Z13" s="440">
        <v>151</v>
      </c>
    </row>
    <row r="14" spans="1:26" x14ac:dyDescent="0.25">
      <c r="A14" s="379">
        <v>0.45</v>
      </c>
      <c r="B14" s="438"/>
      <c r="C14" s="439"/>
      <c r="D14" s="439"/>
      <c r="E14" s="439"/>
      <c r="F14" s="439"/>
      <c r="G14" s="439"/>
      <c r="H14" s="439">
        <v>270</v>
      </c>
      <c r="I14" s="439"/>
      <c r="J14" s="439"/>
      <c r="K14" s="439"/>
      <c r="L14" s="439"/>
      <c r="M14" s="439"/>
      <c r="N14" s="439"/>
      <c r="O14" s="439"/>
      <c r="P14" s="439"/>
      <c r="Q14" s="439"/>
      <c r="R14" s="439"/>
      <c r="S14" s="439"/>
      <c r="T14" s="439"/>
      <c r="U14" s="439"/>
      <c r="V14" s="439"/>
      <c r="W14" s="439"/>
      <c r="X14" s="439"/>
      <c r="Y14" s="439"/>
      <c r="Z14" s="440">
        <v>270</v>
      </c>
    </row>
    <row r="15" spans="1:26" x14ac:dyDescent="0.25">
      <c r="A15" s="379">
        <v>0.75</v>
      </c>
      <c r="B15" s="438"/>
      <c r="C15" s="439"/>
      <c r="D15" s="439"/>
      <c r="E15" s="439"/>
      <c r="F15" s="439"/>
      <c r="G15" s="439"/>
      <c r="H15" s="439">
        <v>50</v>
      </c>
      <c r="I15" s="439">
        <v>50</v>
      </c>
      <c r="J15" s="439">
        <v>50</v>
      </c>
      <c r="K15" s="439">
        <v>50</v>
      </c>
      <c r="L15" s="439">
        <v>50</v>
      </c>
      <c r="M15" s="439"/>
      <c r="N15" s="439"/>
      <c r="O15" s="439"/>
      <c r="P15" s="439"/>
      <c r="Q15" s="439"/>
      <c r="R15" s="439"/>
      <c r="S15" s="439"/>
      <c r="T15" s="439"/>
      <c r="U15" s="439"/>
      <c r="V15" s="439"/>
      <c r="W15" s="439"/>
      <c r="X15" s="439"/>
      <c r="Y15" s="439"/>
      <c r="Z15" s="440">
        <v>250</v>
      </c>
    </row>
    <row r="16" spans="1:26" x14ac:dyDescent="0.25">
      <c r="A16" s="379">
        <v>0.95</v>
      </c>
      <c r="B16" s="438"/>
      <c r="C16" s="439"/>
      <c r="D16" s="439"/>
      <c r="E16" s="439"/>
      <c r="F16" s="439"/>
      <c r="G16" s="439"/>
      <c r="H16" s="439"/>
      <c r="I16" s="439"/>
      <c r="J16" s="439"/>
      <c r="K16" s="439"/>
      <c r="L16" s="439"/>
      <c r="M16" s="439"/>
      <c r="N16" s="439"/>
      <c r="O16" s="439"/>
      <c r="P16" s="439"/>
      <c r="Q16" s="439"/>
      <c r="R16" s="439"/>
      <c r="S16" s="439"/>
      <c r="T16" s="439">
        <v>-100</v>
      </c>
      <c r="U16" s="439">
        <v>-100</v>
      </c>
      <c r="V16" s="439">
        <v>-100</v>
      </c>
      <c r="W16" s="439">
        <v>-100</v>
      </c>
      <c r="X16" s="439">
        <v>-100</v>
      </c>
      <c r="Y16" s="439"/>
      <c r="Z16" s="440">
        <v>-500</v>
      </c>
    </row>
    <row r="17" spans="1:26" x14ac:dyDescent="0.25">
      <c r="A17" s="379">
        <v>1</v>
      </c>
      <c r="B17" s="438"/>
      <c r="C17" s="439"/>
      <c r="D17" s="439"/>
      <c r="E17" s="439"/>
      <c r="F17" s="439"/>
      <c r="G17" s="439"/>
      <c r="H17" s="439">
        <v>90</v>
      </c>
      <c r="I17" s="439">
        <v>50</v>
      </c>
      <c r="J17" s="439">
        <v>50</v>
      </c>
      <c r="K17" s="439">
        <v>50</v>
      </c>
      <c r="L17" s="439"/>
      <c r="M17" s="439"/>
      <c r="N17" s="439"/>
      <c r="O17" s="439"/>
      <c r="P17" s="439"/>
      <c r="Q17" s="439"/>
      <c r="R17" s="439"/>
      <c r="S17" s="439"/>
      <c r="T17" s="439"/>
      <c r="U17" s="439"/>
      <c r="V17" s="439"/>
      <c r="W17" s="439"/>
      <c r="X17" s="439"/>
      <c r="Y17" s="439"/>
      <c r="Z17" s="440">
        <v>240</v>
      </c>
    </row>
    <row r="18" spans="1:26" x14ac:dyDescent="0.25">
      <c r="A18" s="379">
        <v>1.1499999999999999</v>
      </c>
      <c r="B18" s="438"/>
      <c r="C18" s="439"/>
      <c r="D18" s="439"/>
      <c r="E18" s="439"/>
      <c r="F18" s="439"/>
      <c r="G18" s="439"/>
      <c r="H18" s="439">
        <v>-100</v>
      </c>
      <c r="I18" s="439">
        <v>-100</v>
      </c>
      <c r="J18" s="439">
        <v>-100</v>
      </c>
      <c r="K18" s="439">
        <v>-100</v>
      </c>
      <c r="L18" s="439">
        <v>-100</v>
      </c>
      <c r="M18" s="439"/>
      <c r="N18" s="439"/>
      <c r="O18" s="439"/>
      <c r="P18" s="439"/>
      <c r="Q18" s="439"/>
      <c r="R18" s="439"/>
      <c r="S18" s="439"/>
      <c r="T18" s="439"/>
      <c r="U18" s="439"/>
      <c r="V18" s="439"/>
      <c r="W18" s="439"/>
      <c r="X18" s="439"/>
      <c r="Y18" s="439"/>
      <c r="Z18" s="440">
        <v>-500</v>
      </c>
    </row>
    <row r="19" spans="1:26" x14ac:dyDescent="0.25">
      <c r="A19" s="379">
        <v>1.25</v>
      </c>
      <c r="B19" s="438"/>
      <c r="C19" s="439"/>
      <c r="D19" s="439"/>
      <c r="E19" s="439"/>
      <c r="F19" s="439"/>
      <c r="G19" s="439"/>
      <c r="H19" s="439"/>
      <c r="I19" s="439"/>
      <c r="J19" s="439"/>
      <c r="K19" s="439"/>
      <c r="L19" s="439">
        <v>93</v>
      </c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40">
        <v>93</v>
      </c>
    </row>
    <row r="20" spans="1:26" x14ac:dyDescent="0.25">
      <c r="A20" s="379" t="s">
        <v>181</v>
      </c>
      <c r="B20" s="438"/>
      <c r="C20" s="439"/>
      <c r="D20" s="439"/>
      <c r="E20" s="439"/>
      <c r="F20" s="439"/>
      <c r="G20" s="439"/>
      <c r="H20" s="439"/>
      <c r="I20" s="439"/>
      <c r="J20" s="439"/>
      <c r="K20" s="439"/>
      <c r="L20" s="439"/>
      <c r="M20" s="439"/>
      <c r="N20" s="439"/>
      <c r="O20" s="439"/>
      <c r="P20" s="439"/>
      <c r="Q20" s="439"/>
      <c r="R20" s="439"/>
      <c r="S20" s="439"/>
      <c r="T20" s="439"/>
      <c r="U20" s="439"/>
      <c r="V20" s="439"/>
      <c r="W20" s="439"/>
      <c r="X20" s="439"/>
      <c r="Y20" s="439"/>
      <c r="Z20" s="440"/>
    </row>
    <row r="21" spans="1:26" x14ac:dyDescent="0.25">
      <c r="A21" s="286" t="s">
        <v>169</v>
      </c>
      <c r="B21" s="441">
        <v>88</v>
      </c>
      <c r="C21" s="442">
        <v>80</v>
      </c>
      <c r="D21" s="442">
        <v>88</v>
      </c>
      <c r="E21" s="442">
        <v>88</v>
      </c>
      <c r="F21" s="442">
        <v>80</v>
      </c>
      <c r="G21" s="442">
        <v>88</v>
      </c>
      <c r="H21" s="442">
        <v>340</v>
      </c>
      <c r="I21" s="442">
        <v>31</v>
      </c>
      <c r="J21" s="442">
        <v>31</v>
      </c>
      <c r="K21" s="442">
        <v>28</v>
      </c>
      <c r="L21" s="442">
        <v>74</v>
      </c>
      <c r="M21" s="442">
        <v>50</v>
      </c>
      <c r="N21" s="442">
        <v>50</v>
      </c>
      <c r="O21" s="442">
        <v>50</v>
      </c>
      <c r="P21" s="442">
        <v>50</v>
      </c>
      <c r="Q21" s="442">
        <v>50</v>
      </c>
      <c r="R21" s="442">
        <v>50</v>
      </c>
      <c r="S21" s="442">
        <v>50</v>
      </c>
      <c r="T21" s="442">
        <v>-100</v>
      </c>
      <c r="U21" s="442">
        <v>-100</v>
      </c>
      <c r="V21" s="442">
        <v>-100</v>
      </c>
      <c r="W21" s="442">
        <v>-100</v>
      </c>
      <c r="X21" s="442">
        <v>-100</v>
      </c>
      <c r="Y21" s="442"/>
      <c r="Z21" s="443">
        <v>866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W417"/>
  <sheetViews>
    <sheetView showGridLines="0" topLeftCell="A6" workbookViewId="0">
      <selection activeCell="BQ1" sqref="BQ1:BW48"/>
    </sheetView>
  </sheetViews>
  <sheetFormatPr defaultRowHeight="13.2" x14ac:dyDescent="0.25"/>
  <cols>
    <col min="1" max="1" width="15.5546875" bestFit="1" customWidth="1"/>
    <col min="2" max="2" width="8.109375" customWidth="1"/>
    <col min="3" max="3" width="12" customWidth="1"/>
    <col min="4" max="4" width="18" bestFit="1" customWidth="1"/>
    <col min="5" max="5" width="6.33203125" customWidth="1"/>
    <col min="6" max="6" width="6" bestFit="1" customWidth="1"/>
    <col min="7" max="7" width="12.6640625" customWidth="1"/>
    <col min="8" max="8" width="13.44140625" bestFit="1" customWidth="1"/>
    <col min="9" max="9" width="10.6640625" bestFit="1" customWidth="1"/>
    <col min="11" max="11" width="11.33203125" customWidth="1"/>
    <col min="13" max="16" width="10.44140625" customWidth="1"/>
    <col min="17" max="17" width="11.109375" customWidth="1"/>
    <col min="18" max="18" width="8.88671875" customWidth="1"/>
    <col min="19" max="19" width="12.109375" customWidth="1"/>
    <col min="20" max="20" width="13" customWidth="1"/>
    <col min="21" max="21" width="13.33203125" customWidth="1"/>
    <col min="22" max="22" width="15.33203125" customWidth="1"/>
    <col min="23" max="23" width="13.33203125" customWidth="1"/>
    <col min="24" max="24" width="3.88671875" customWidth="1"/>
    <col min="27" max="27" width="13.5546875" customWidth="1"/>
    <col min="28" max="28" width="16.5546875" customWidth="1"/>
    <col min="29" max="29" width="17.88671875" customWidth="1"/>
    <col min="30" max="30" width="19.44140625" customWidth="1"/>
    <col min="31" max="31" width="16.44140625" customWidth="1"/>
    <col min="32" max="32" width="17.44140625" customWidth="1"/>
    <col min="34" max="34" width="13.5546875" customWidth="1"/>
    <col min="35" max="35" width="10.5546875" customWidth="1"/>
    <col min="37" max="37" width="13.5546875" customWidth="1"/>
    <col min="38" max="38" width="14.6640625" customWidth="1"/>
    <col min="39" max="39" width="16" customWidth="1"/>
    <col min="40" max="40" width="18.5546875" customWidth="1"/>
    <col min="41" max="41" width="13.44140625" customWidth="1"/>
    <col min="42" max="42" width="16" customWidth="1"/>
    <col min="44" max="44" width="13.5546875" customWidth="1"/>
    <col min="45" max="45" width="10" customWidth="1"/>
    <col min="55" max="55" width="14.109375" customWidth="1"/>
    <col min="56" max="56" width="10.5546875" customWidth="1"/>
    <col min="57" max="57" width="10.33203125" customWidth="1"/>
    <col min="58" max="59" width="12" customWidth="1"/>
    <col min="60" max="60" width="13.33203125" customWidth="1"/>
    <col min="61" max="61" width="13.6640625" customWidth="1"/>
    <col min="63" max="63" width="17.33203125" customWidth="1"/>
    <col min="64" max="64" width="12.109375" customWidth="1"/>
    <col min="69" max="69" width="12.44140625" customWidth="1"/>
    <col min="70" max="70" width="16.44140625" customWidth="1"/>
    <col min="71" max="71" width="11.33203125" customWidth="1"/>
    <col min="73" max="73" width="12.109375" customWidth="1"/>
    <col min="74" max="74" width="14.109375" customWidth="1"/>
    <col min="75" max="75" width="13.88671875" customWidth="1"/>
  </cols>
  <sheetData>
    <row r="1" spans="1:75" ht="20.399999999999999" x14ac:dyDescent="0.35">
      <c r="A1" s="90" t="s">
        <v>65</v>
      </c>
      <c r="B1" s="90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144" t="s">
        <v>137</v>
      </c>
      <c r="BC1" s="144" t="s">
        <v>138</v>
      </c>
      <c r="BD1" s="144" t="s">
        <v>139</v>
      </c>
      <c r="BE1" s="144" t="s">
        <v>149</v>
      </c>
      <c r="BF1" s="144" t="s">
        <v>140</v>
      </c>
      <c r="BG1" s="144" t="s">
        <v>141</v>
      </c>
      <c r="BH1" s="144" t="s">
        <v>142</v>
      </c>
      <c r="BR1" s="214" t="s">
        <v>143</v>
      </c>
      <c r="BS1" s="215"/>
      <c r="BT1" s="216"/>
      <c r="BU1" s="216"/>
      <c r="BV1" s="248">
        <f>U3</f>
        <v>-1696942.5068361142</v>
      </c>
    </row>
    <row r="2" spans="1:75" ht="13.8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4" t="s">
        <v>43</v>
      </c>
      <c r="T2" s="59" t="s">
        <v>41</v>
      </c>
      <c r="U2" s="58" t="s">
        <v>24</v>
      </c>
      <c r="V2" s="58"/>
      <c r="W2" s="58" t="s">
        <v>42</v>
      </c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C2" s="217">
        <f t="shared" ref="BC2:BI2" si="0">SUM(BC7:BC654)</f>
        <v>-44340.284081512102</v>
      </c>
      <c r="BD2" s="217">
        <f t="shared" si="0"/>
        <v>-1830.5300134891947</v>
      </c>
      <c r="BE2" s="217">
        <f t="shared" si="0"/>
        <v>148.00014690852504</v>
      </c>
      <c r="BF2" s="217">
        <f t="shared" si="0"/>
        <v>35264.963959809967</v>
      </c>
      <c r="BG2" s="217">
        <f t="shared" si="0"/>
        <v>-18858.485128616721</v>
      </c>
      <c r="BH2" s="217">
        <f t="shared" si="0"/>
        <v>-29616.335116899543</v>
      </c>
      <c r="BI2" s="218">
        <f t="shared" si="0"/>
        <v>-553077.97750364104</v>
      </c>
      <c r="BK2" s="219">
        <f>U3-BI2</f>
        <v>-1143864.5293324732</v>
      </c>
      <c r="BR2" s="220" t="s">
        <v>144</v>
      </c>
      <c r="BS2" s="221"/>
      <c r="BT2" s="222"/>
      <c r="BU2" s="222"/>
      <c r="BV2" s="223">
        <f>BI2</f>
        <v>-553077.97750364104</v>
      </c>
    </row>
    <row r="3" spans="1:75" ht="14.4" thickBot="1" x14ac:dyDescent="0.3">
      <c r="A3" s="11" t="s">
        <v>35</v>
      </c>
      <c r="B3" s="11"/>
      <c r="C3" s="12">
        <f>Summary!P1</f>
        <v>36633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6"/>
      <c r="T3" s="60">
        <f>SUM(T7:T500)</f>
        <v>-2483047.4612487657</v>
      </c>
      <c r="U3" s="57">
        <f>SUM(U7:U500)</f>
        <v>-1696942.5068361142</v>
      </c>
      <c r="V3" s="57"/>
      <c r="W3" s="60">
        <f>SUM(W7:W63)</f>
        <v>213160.353922582</v>
      </c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C3" s="224">
        <f>WORKDAY(C3,-1)</f>
        <v>36630</v>
      </c>
      <c r="BR3" s="225" t="s">
        <v>145</v>
      </c>
      <c r="BS3" s="226"/>
      <c r="BT3" s="227"/>
      <c r="BU3" s="227"/>
      <c r="BV3" s="228">
        <f>BV1-BV2</f>
        <v>-1143864.5293324732</v>
      </c>
    </row>
    <row r="4" spans="1:75" ht="16.2" thickBot="1" x14ac:dyDescent="0.35">
      <c r="A4" s="13" t="s">
        <v>36</v>
      </c>
      <c r="B4" s="363"/>
      <c r="C4" s="14"/>
      <c r="D4" s="113"/>
      <c r="E4" s="113"/>
      <c r="F4" s="113"/>
      <c r="G4" s="113"/>
      <c r="H4" s="113"/>
      <c r="I4" s="114"/>
      <c r="J4" s="47" t="s">
        <v>37</v>
      </c>
      <c r="K4" s="47"/>
      <c r="L4" s="47"/>
      <c r="M4" s="115"/>
      <c r="N4" s="115"/>
      <c r="O4" s="115"/>
      <c r="P4" s="115"/>
      <c r="Q4" s="115"/>
      <c r="R4" s="115"/>
      <c r="S4" s="116"/>
      <c r="T4" s="116"/>
      <c r="U4" s="117"/>
      <c r="V4" s="51"/>
      <c r="W4" s="51"/>
      <c r="X4" s="51"/>
      <c r="Y4" s="51"/>
      <c r="Z4" s="51"/>
      <c r="AA4" s="35" t="s">
        <v>73</v>
      </c>
      <c r="AB4" s="36"/>
      <c r="AC4" s="36"/>
      <c r="AD4" s="36"/>
      <c r="AE4" s="36"/>
      <c r="AF4" s="37"/>
      <c r="AG4" s="37"/>
      <c r="AH4" s="35" t="s">
        <v>49</v>
      </c>
      <c r="AI4" s="37"/>
      <c r="AJ4" s="51"/>
      <c r="AK4" s="35" t="s">
        <v>88</v>
      </c>
      <c r="AL4" s="36"/>
      <c r="AM4" s="36"/>
      <c r="AN4" s="36"/>
      <c r="AO4" s="36"/>
      <c r="AP4" s="37"/>
      <c r="AQ4" s="37"/>
      <c r="AR4" s="35" t="s">
        <v>49</v>
      </c>
      <c r="AS4" s="37"/>
      <c r="AT4" s="51"/>
      <c r="AU4" s="51"/>
      <c r="AV4" s="51"/>
      <c r="AW4" s="51"/>
      <c r="AX4" s="51"/>
      <c r="AY4" s="51"/>
      <c r="AZ4" s="51"/>
      <c r="BA4" s="51"/>
      <c r="BR4" s="229"/>
      <c r="BS4" s="230" t="s">
        <v>146</v>
      </c>
      <c r="BT4" s="229"/>
      <c r="BU4" s="229"/>
      <c r="BV4" s="229"/>
    </row>
    <row r="5" spans="1:75" ht="15.75" customHeight="1" x14ac:dyDescent="0.25">
      <c r="A5" s="1"/>
      <c r="B5" s="1" t="s">
        <v>254</v>
      </c>
      <c r="C5" s="1"/>
      <c r="D5" s="1"/>
      <c r="E5" s="1" t="s">
        <v>11</v>
      </c>
      <c r="F5" s="1" t="s">
        <v>12</v>
      </c>
      <c r="G5" s="1"/>
      <c r="H5" s="1" t="s">
        <v>13</v>
      </c>
      <c r="I5" s="2" t="s">
        <v>14</v>
      </c>
      <c r="J5" s="48" t="s">
        <v>25</v>
      </c>
      <c r="K5" s="48"/>
      <c r="L5" s="8" t="s">
        <v>27</v>
      </c>
      <c r="M5" s="8" t="s">
        <v>28</v>
      </c>
      <c r="N5" s="8" t="s">
        <v>25</v>
      </c>
      <c r="O5" s="8" t="s">
        <v>31</v>
      </c>
      <c r="P5" s="2"/>
      <c r="Q5" s="1"/>
      <c r="R5" s="8" t="s">
        <v>33</v>
      </c>
      <c r="S5" s="8"/>
      <c r="T5" s="8"/>
      <c r="U5" s="8"/>
      <c r="V5" s="8" t="s">
        <v>85</v>
      </c>
      <c r="W5" s="8" t="s">
        <v>86</v>
      </c>
      <c r="X5" s="51"/>
      <c r="Y5" s="51"/>
      <c r="Z5" s="51"/>
      <c r="AA5" s="38" t="s">
        <v>3</v>
      </c>
      <c r="AB5" s="118" t="s">
        <v>41</v>
      </c>
      <c r="AC5" s="119"/>
      <c r="AD5" s="119"/>
      <c r="AE5" s="119"/>
      <c r="AF5" s="120"/>
      <c r="AG5" s="120"/>
      <c r="AH5" s="38" t="s">
        <v>3</v>
      </c>
      <c r="AI5" s="121" t="s">
        <v>41</v>
      </c>
      <c r="AJ5" s="51"/>
      <c r="AK5" s="38" t="s">
        <v>3</v>
      </c>
      <c r="AL5" s="118" t="s">
        <v>41</v>
      </c>
      <c r="AM5" s="119"/>
      <c r="AN5" s="119"/>
      <c r="AO5" s="119"/>
      <c r="AP5" s="120"/>
      <c r="AQ5" s="120"/>
      <c r="AR5" s="38" t="s">
        <v>3</v>
      </c>
      <c r="AS5" s="121" t="s">
        <v>41</v>
      </c>
      <c r="AT5" s="51"/>
      <c r="AU5" s="51"/>
      <c r="AV5" s="51"/>
      <c r="AW5" s="51"/>
      <c r="AX5" s="51"/>
      <c r="AY5" s="51"/>
      <c r="AZ5" s="51"/>
      <c r="BA5" s="51"/>
      <c r="BC5">
        <v>0</v>
      </c>
      <c r="BI5">
        <v>0</v>
      </c>
      <c r="BQ5" s="231"/>
      <c r="BR5" s="232"/>
      <c r="BS5" s="232"/>
      <c r="BT5" s="232"/>
      <c r="BU5" s="232"/>
      <c r="BV5" s="232"/>
      <c r="BW5" s="233"/>
    </row>
    <row r="6" spans="1:75" ht="18" customHeight="1" thickBot="1" x14ac:dyDescent="0.35">
      <c r="A6" s="3" t="s">
        <v>15</v>
      </c>
      <c r="B6" s="3" t="s">
        <v>255</v>
      </c>
      <c r="C6" s="3" t="s">
        <v>16</v>
      </c>
      <c r="D6" s="3" t="s">
        <v>2</v>
      </c>
      <c r="E6" s="3" t="s">
        <v>17</v>
      </c>
      <c r="F6" s="3" t="s">
        <v>18</v>
      </c>
      <c r="G6" s="3" t="s">
        <v>3</v>
      </c>
      <c r="H6" s="3" t="s">
        <v>19</v>
      </c>
      <c r="I6" s="3" t="s">
        <v>5</v>
      </c>
      <c r="J6" s="3" t="s">
        <v>5</v>
      </c>
      <c r="K6" s="3" t="s">
        <v>26</v>
      </c>
      <c r="L6" s="3" t="s">
        <v>5</v>
      </c>
      <c r="M6" s="3" t="s">
        <v>29</v>
      </c>
      <c r="N6" s="3" t="s">
        <v>30</v>
      </c>
      <c r="O6" s="3" t="s">
        <v>30</v>
      </c>
      <c r="P6" s="3" t="s">
        <v>8</v>
      </c>
      <c r="Q6" s="3" t="s">
        <v>32</v>
      </c>
      <c r="R6" s="3" t="s">
        <v>34</v>
      </c>
      <c r="S6" s="3" t="s">
        <v>23</v>
      </c>
      <c r="T6" s="3" t="s">
        <v>22</v>
      </c>
      <c r="U6" s="3" t="s">
        <v>24</v>
      </c>
      <c r="V6" s="3" t="s">
        <v>84</v>
      </c>
      <c r="W6" s="3" t="s">
        <v>87</v>
      </c>
      <c r="X6" s="51" t="s">
        <v>295</v>
      </c>
      <c r="Y6" s="51" t="s">
        <v>296</v>
      </c>
      <c r="Z6" s="51"/>
      <c r="AA6" s="39"/>
      <c r="AB6" s="122" t="s">
        <v>7</v>
      </c>
      <c r="AC6" s="123" t="s">
        <v>10</v>
      </c>
      <c r="AD6" s="123" t="s">
        <v>9</v>
      </c>
      <c r="AE6" s="123" t="s">
        <v>74</v>
      </c>
      <c r="AF6" s="124" t="s">
        <v>0</v>
      </c>
      <c r="AG6" s="124" t="s">
        <v>122</v>
      </c>
      <c r="AH6" s="39"/>
      <c r="AI6" s="125"/>
      <c r="AJ6" s="51"/>
      <c r="AK6" s="39"/>
      <c r="AL6" s="122" t="s">
        <v>7</v>
      </c>
      <c r="AM6" s="123" t="s">
        <v>10</v>
      </c>
      <c r="AN6" s="123" t="s">
        <v>9</v>
      </c>
      <c r="AO6" s="123" t="s">
        <v>74</v>
      </c>
      <c r="AP6" s="124" t="s">
        <v>0</v>
      </c>
      <c r="AQ6" s="124" t="s">
        <v>122</v>
      </c>
      <c r="AR6" s="39"/>
      <c r="AS6" s="125"/>
      <c r="AT6" s="51"/>
      <c r="AU6" s="51"/>
      <c r="AV6" s="51"/>
      <c r="AW6" s="51"/>
      <c r="AX6" s="51"/>
      <c r="AY6" s="51"/>
      <c r="AZ6" s="51"/>
      <c r="BA6" s="51"/>
      <c r="BB6" t="s">
        <v>147</v>
      </c>
      <c r="BC6" s="234" t="s">
        <v>148</v>
      </c>
      <c r="BD6" s="234" t="s">
        <v>139</v>
      </c>
      <c r="BE6" s="234" t="s">
        <v>149</v>
      </c>
      <c r="BF6" s="234" t="s">
        <v>140</v>
      </c>
      <c r="BG6" s="234" t="s">
        <v>141</v>
      </c>
      <c r="BH6" s="234" t="s">
        <v>142</v>
      </c>
      <c r="BI6" s="234" t="s">
        <v>150</v>
      </c>
      <c r="BJ6" t="s">
        <v>151</v>
      </c>
      <c r="BQ6" s="235"/>
      <c r="BR6" s="249" t="s">
        <v>148</v>
      </c>
      <c r="BS6" s="249" t="s">
        <v>139</v>
      </c>
      <c r="BT6" s="249" t="s">
        <v>149</v>
      </c>
      <c r="BU6" s="249" t="s">
        <v>140</v>
      </c>
      <c r="BV6" s="249" t="s">
        <v>141</v>
      </c>
      <c r="BW6" s="237" t="s">
        <v>142</v>
      </c>
    </row>
    <row r="7" spans="1:75" ht="12" customHeight="1" x14ac:dyDescent="0.25">
      <c r="A7" s="395" t="s">
        <v>282</v>
      </c>
      <c r="B7" s="156" t="s">
        <v>253</v>
      </c>
      <c r="C7" s="156" t="s">
        <v>112</v>
      </c>
      <c r="D7" s="4" t="s">
        <v>7</v>
      </c>
      <c r="E7" s="156" t="s">
        <v>20</v>
      </c>
      <c r="F7" s="156" t="s">
        <v>21</v>
      </c>
      <c r="G7" s="366">
        <v>36647</v>
      </c>
      <c r="H7" s="157">
        <v>300000</v>
      </c>
      <c r="I7" s="141">
        <v>0.25</v>
      </c>
      <c r="J7" s="53">
        <f t="shared" ref="J7:J53" si="1">VLOOKUP(G7,NGPrices,2,FALSE)</f>
        <v>3.1579999999999999</v>
      </c>
      <c r="K7" s="7">
        <f t="shared" ref="K7:K53" si="2">HLOOKUP(D7,Prices,VLOOKUP(G7,move_down,2,FALSE),FALSE)</f>
        <v>0.29499999999999998</v>
      </c>
      <c r="L7" s="4">
        <f t="shared" ref="L7:L53" si="3">K7+J7</f>
        <v>3.4529999999999998</v>
      </c>
      <c r="M7" s="159">
        <f t="shared" ref="M7:M53" si="4">VLOOKUP(G7,NGPrices,4,FALSE)</f>
        <v>6.2683518517613002E-2</v>
      </c>
      <c r="N7" s="4">
        <f t="shared" ref="N7:N53" si="5">VLOOKUP(G7,NGPrices,3,FALSE)</f>
        <v>0.41</v>
      </c>
      <c r="O7" s="4">
        <f t="shared" ref="O7:O53" si="6">HLOOKUP(D7,VOLS,VLOOKUP(G7,move_down,2,FALSE),FALSE)</f>
        <v>0.40200000000000002</v>
      </c>
      <c r="P7" s="9">
        <f t="shared" ref="P7:P23" si="7">HLOOKUP(D7,Correllate,VLOOKUP(G7,CorMove,2,FALSE),FALSE)</f>
        <v>0.99</v>
      </c>
      <c r="Q7" s="5">
        <f t="shared" ref="Q7:Q38" si="8">WORKDAY(G7,-2)</f>
        <v>36643</v>
      </c>
      <c r="R7" s="4">
        <f t="shared" ref="R7:R53" si="9">IF(F7="P",0,1)</f>
        <v>1</v>
      </c>
      <c r="S7" s="160">
        <f>_xll.xSPRDOPT($L7,$J7,$I7,$M7,$O7,$N7,$P7,$Q7-$C$3,$R7,0)</f>
        <v>4.6368781566727822E-2</v>
      </c>
      <c r="T7" s="161">
        <f>_xll.xSPRDOPT($L7,$J7,$I7,$M7,$O7,$N7,$P7,$Q7-$C$3,$R7,1)*H7</f>
        <v>272283.38852821762</v>
      </c>
      <c r="U7" s="162">
        <f t="shared" ref="U7:U14" si="10">S7*H7</f>
        <v>13910.634470018347</v>
      </c>
      <c r="V7" s="161">
        <f>_xll.xSPRDOPT($L7,$J7,$I7,$M7,$O7,$N7,$P7,$Q7-$C$3,$R7,2)*H7</f>
        <v>-271875.86037522869</v>
      </c>
      <c r="W7" s="161">
        <f t="shared" ref="W7:W23" si="11">+V7+T7</f>
        <v>407.52815298893256</v>
      </c>
      <c r="X7" s="51" t="str">
        <f t="shared" ref="X7:X48" si="12">CONCATENATE(G7,D7)</f>
        <v>36647IF-TRANSCO/Z6</v>
      </c>
      <c r="Y7" s="431">
        <f>H7/10000</f>
        <v>30</v>
      </c>
      <c r="Z7" s="51"/>
      <c r="AA7" s="127">
        <v>36192</v>
      </c>
      <c r="AB7" s="43">
        <f t="shared" ref="AB7:AG16" si="13">SUMIF($X:$X,CONCATENATE($AA7,AB$6),$T:$T)/10000</f>
        <v>0</v>
      </c>
      <c r="AC7" s="43">
        <f t="shared" si="13"/>
        <v>0</v>
      </c>
      <c r="AD7" s="43">
        <f t="shared" si="13"/>
        <v>0</v>
      </c>
      <c r="AE7" s="43">
        <f t="shared" si="13"/>
        <v>0</v>
      </c>
      <c r="AF7" s="44">
        <f t="shared" si="13"/>
        <v>0</v>
      </c>
      <c r="AG7" s="44">
        <f t="shared" si="13"/>
        <v>0</v>
      </c>
      <c r="AH7" s="127">
        <v>36192</v>
      </c>
      <c r="AI7" s="44">
        <f t="shared" ref="AI7:AI12" si="14">SUM(AB7:AF7)</f>
        <v>0</v>
      </c>
      <c r="AJ7" s="51"/>
      <c r="AK7" s="127">
        <v>36192</v>
      </c>
      <c r="AL7" s="43">
        <f t="shared" ref="AL7:AQ16" si="15">SUMIF($X:$X,CONCATENATE($AA7,AL$6),$W:$W)</f>
        <v>0</v>
      </c>
      <c r="AM7" s="43">
        <f t="shared" si="15"/>
        <v>0</v>
      </c>
      <c r="AN7" s="43">
        <f t="shared" si="15"/>
        <v>0</v>
      </c>
      <c r="AO7" s="43">
        <f t="shared" si="15"/>
        <v>0</v>
      </c>
      <c r="AP7" s="44">
        <f t="shared" si="15"/>
        <v>0</v>
      </c>
      <c r="AQ7" s="44">
        <f t="shared" si="15"/>
        <v>0</v>
      </c>
      <c r="AR7" s="127">
        <v>36192</v>
      </c>
      <c r="AS7" s="44">
        <f t="shared" ref="AS7:AS12" si="16">SUM(AL7:AP7)</f>
        <v>0</v>
      </c>
      <c r="AT7" s="51"/>
      <c r="AU7" s="51"/>
      <c r="AV7" s="51"/>
      <c r="AW7" s="51"/>
      <c r="AX7" s="51"/>
      <c r="AY7" s="51"/>
      <c r="AZ7" s="51"/>
      <c r="BA7" s="51"/>
      <c r="BB7" s="142">
        <f t="shared" ref="BB7:BB13" si="17">G7</f>
        <v>36647</v>
      </c>
      <c r="BC7" s="238">
        <f>_xll.xSPRDOPT((VLOOKUP(G7,NGPrices,2,FALSE)+HLOOKUP(D7,Prices,VLOOKUP(G7,move_down,2,FALSE),FALSE)),VLOOKUP(G7,NGPrices,2,FALSE),I7,VLOOKUP(G7,NGPREVPRICES,4,FALSE),HLOOKUP(D7,PREVVOLS,VLOOKUP(G7,MOVE_DOWN2,2,FALSE),FALSE),VLOOKUP(G7,NGPREVPRICES,3,FALSE),HLOOKUP(D7,Correllate,VLOOKUP(G7,CorMove,2,FALSE),FALSE),Q7-$BC$3,R7,$BC$5)*H7-BI7</f>
        <v>1383.4191930314082</v>
      </c>
      <c r="BD7" s="238">
        <f>_xll.xSPRDOPT((VLOOKUP(G7,NGPREVPRICES,2,FALSE)+HLOOKUP(D7,PREVCURVES,VLOOKUP(G7,MOVE_DOWN2,2,FALSE),FALSE)),VLOOKUP(G7,NGPREVPRICES,2,FALSE),BJ7,VLOOKUP(G7,NGPrices,4,FALSE),HLOOKUP(D7,PREVVOLS,VLOOKUP(G7,MOVE_DOWN2,2,FALSE),FALSE),VLOOKUP(G7,NGPREVPRICES,3,FALSE),HLOOKUP(D7,Correllate,VLOOKUP(G7,CorMove,2,FALSE),FALSE),Q7-$BC$3,R7,$BI$5)*H7-BI7</f>
        <v>-4.3267342038234347E-2</v>
      </c>
      <c r="BE7" s="10">
        <f t="shared" ref="BE7:BE13" si="18">(BI7/VLOOKUP(BB7,discount,3,FALSE))-(BI7/VLOOKUP(BB7,discount,2,FALSE))</f>
        <v>-2.1138903163700888</v>
      </c>
      <c r="BF7" s="238">
        <f>_xll.xSPRDOPT((VLOOKUP(G7,NGPREVPRICES,2,FALSE)+HLOOKUP(D7,PREVCURVES,VLOOKUP(G7,MOVE_DOWN2,2,FALSE),FALSE)),VLOOKUP(G7,NGPREVPRICES,2,FALSE),BJ7,VLOOKUP(G7,NGPREVPRICES,4,FALSE),HLOOKUP(D7,VOLS,VLOOKUP(G7,move_down,2,FALSE),FALSE),VLOOKUP(G7,NGPrices,3,FALSE),HLOOKUP(D7,Correllate,VLOOKUP(G7,CorMove,2,FALSE),FALSE),Q7-$BC$3,R7,$BI$5)*H7-BI7</f>
        <v>319.27647261756283</v>
      </c>
      <c r="BG7" s="238">
        <f>_xll.xSPRDOPT((VLOOKUP(G7,NGPREVPRICES,2,FALSE)+HLOOKUP(D7,PREVCURVES,VLOOKUP(G7,MOVE_DOWN2,2,FALSE),FALSE)),VLOOKUP(G7,NGPREVPRICES,2,FALSE),BJ7,VLOOKUP(G7,NGPREVPRICES,4,FALSE),HLOOKUP(D7,PREVVOLS,VLOOKUP(G7,MOVE_DOWN2,2,FALSE),FALSE),VLOOKUP(G7,NGPREVPRICES,3,FALSE),HLOOKUP(D7,Correllate,VLOOKUP(G7,CorMove,2,FALSE),FALSE),Q7-$C$3,R7,$BI$5)*H7-BI7</f>
        <v>-199.09297835733196</v>
      </c>
      <c r="BH7" s="238">
        <f t="shared" ref="BH7:BH13" si="19">SUM(BC7:BG7)</f>
        <v>1501.4455296332308</v>
      </c>
      <c r="BI7" s="238">
        <f>_xll.xSPRDOPT((VLOOKUP(G7,NGPREVPRICES,2,FALSE)+HLOOKUP(D7,PREVCURVES,VLOOKUP(G7,MOVE_DOWN2,2,FALSE),FALSE)),VLOOKUP(G7,NGPREVPRICES,2,FALSE),BJ7,VLOOKUP(G7,NGPREVPRICES,4,FALSE),HLOOKUP(D7,PREVVOLS,VLOOKUP(G7,MOVE_DOWN2,2,FALSE),FALSE),VLOOKUP(G7,NGPREVPRICES,3,FALSE),HLOOKUP(D7,Correllate,VLOOKUP(G7,CorMove,2,FALSE),FALSE),Q7-$BC$3,R7,$BI$5)*H7</f>
        <v>12497.969767414428</v>
      </c>
      <c r="BJ7" s="239">
        <f t="shared" ref="BJ7:BJ13" si="20">I7</f>
        <v>0.25</v>
      </c>
      <c r="BK7" s="238"/>
      <c r="BL7" t="str">
        <f t="shared" ref="BL7:BL13" si="21">CONCATENATE(BB7,$BC$6)</f>
        <v>36647Curve Shift/Gamma</v>
      </c>
      <c r="BM7" t="str">
        <f t="shared" ref="BM7:BM70" si="22">CONCATENATE($BB7,$BD$6)</f>
        <v>36647Rho</v>
      </c>
      <c r="BN7" t="str">
        <f t="shared" ref="BN7:BN70" si="23">CONCATENATE($BB7,$BE$6)</f>
        <v>36647Drift</v>
      </c>
      <c r="BO7" t="str">
        <f t="shared" ref="BO7:BO70" si="24">CONCATENATE($BB7,$BF$6)</f>
        <v>36647Vega</v>
      </c>
      <c r="BP7" t="str">
        <f t="shared" ref="BP7:BP70" si="25">CONCATENATE($BB7,$BG$6)</f>
        <v>36647Theta</v>
      </c>
      <c r="BQ7" s="398">
        <v>36557</v>
      </c>
      <c r="BR7" s="240">
        <f t="shared" ref="BR7:BR47" si="26">SUMIF($BL$7:$BL$654,CONCATENATE($BQ7,$BR$6),$BC$7:$BC$654)</f>
        <v>0</v>
      </c>
      <c r="BS7" s="241">
        <f t="shared" ref="BS7:BS47" si="27">SUMIF($BM$7:$BM$659,CONCATENATE($BQ7,$BS$6),$BD$7:$BD$654)</f>
        <v>0</v>
      </c>
      <c r="BT7" s="241">
        <f t="shared" ref="BT7:BT47" si="28">SUMIF($BN$7:$BN$659,CONCATENATE($BQ7,$BT$6),$BE$7:$BE$654)</f>
        <v>0</v>
      </c>
      <c r="BU7" s="241">
        <f t="shared" ref="BU7:BU47" si="29">SUMIF($BO$7:$BO$659,CONCATENATE($BQ7,$BU$6),$BF$7:$BF$654)</f>
        <v>0</v>
      </c>
      <c r="BV7" s="252">
        <f t="shared" ref="BV7:BV47" si="30">SUMIF($BP$7:$BP$659,CONCATENATE($BQ7,$BV$6),$BG$7:$BG$654)</f>
        <v>0</v>
      </c>
      <c r="BW7" s="242">
        <f>SUM(BR7:BV7)</f>
        <v>0</v>
      </c>
    </row>
    <row r="8" spans="1:75" ht="12" customHeight="1" x14ac:dyDescent="0.25">
      <c r="A8" t="s">
        <v>273</v>
      </c>
      <c r="B8" t="s">
        <v>132</v>
      </c>
      <c r="C8" t="s">
        <v>274</v>
      </c>
      <c r="D8" s="4" t="s">
        <v>10</v>
      </c>
      <c r="E8" s="4" t="s">
        <v>20</v>
      </c>
      <c r="F8" s="5" t="s">
        <v>21</v>
      </c>
      <c r="G8" s="5">
        <v>36647</v>
      </c>
      <c r="H8" s="130">
        <v>310000</v>
      </c>
      <c r="I8">
        <v>0.16</v>
      </c>
      <c r="J8" s="53">
        <f t="shared" si="1"/>
        <v>3.1579999999999999</v>
      </c>
      <c r="K8" s="7">
        <f t="shared" si="2"/>
        <v>0.16500000000000001</v>
      </c>
      <c r="L8" s="4">
        <f t="shared" si="3"/>
        <v>3.323</v>
      </c>
      <c r="M8" s="159">
        <f t="shared" si="4"/>
        <v>6.2683518517613002E-2</v>
      </c>
      <c r="N8" s="4">
        <f t="shared" si="5"/>
        <v>0.41</v>
      </c>
      <c r="O8" s="4">
        <f t="shared" si="6"/>
        <v>0.40200000000000002</v>
      </c>
      <c r="P8" s="9">
        <f t="shared" si="7"/>
        <v>0.995</v>
      </c>
      <c r="Q8" s="5">
        <f t="shared" si="8"/>
        <v>36643</v>
      </c>
      <c r="R8" s="4">
        <f t="shared" si="9"/>
        <v>1</v>
      </c>
      <c r="S8" s="160">
        <f>_xll.xSPRDOPT($L8,$J8,$I8,$M8,$O8,$N8,$P8,$Q8-$C$3,$R8,0)</f>
        <v>1.1758797365899324E-2</v>
      </c>
      <c r="T8" s="161">
        <f>_xll.xSPRDOPT($L8,$J8,$I8,$M8,$O8,$N8,$P8,$Q8-$C$3,$R8,1)*H8</f>
        <v>182215.33265862818</v>
      </c>
      <c r="U8" s="162">
        <f t="shared" si="10"/>
        <v>3645.2271834287903</v>
      </c>
      <c r="V8" s="161">
        <f>_xll.xSPRDOPT($L8,$J8,$I8,$M8,$O8,$N8,$P8,$Q8-$C$3,$R8,2)*H8</f>
        <v>-181485.42863503535</v>
      </c>
      <c r="W8" s="161">
        <f t="shared" si="11"/>
        <v>729.90402359282598</v>
      </c>
      <c r="X8" s="51" t="str">
        <f t="shared" si="12"/>
        <v>36647IF-CGT/APPALAC</v>
      </c>
      <c r="Y8" s="431">
        <f t="shared" ref="Y8:Y57" si="31">H8/10000</f>
        <v>31</v>
      </c>
      <c r="Z8" s="51"/>
      <c r="AA8" s="128">
        <f t="shared" ref="AA8:AA39" si="32">EOMONTH(AA7,0)+1</f>
        <v>36220</v>
      </c>
      <c r="AB8" s="43">
        <f t="shared" si="13"/>
        <v>0</v>
      </c>
      <c r="AC8" s="43">
        <f t="shared" si="13"/>
        <v>0</v>
      </c>
      <c r="AD8" s="43">
        <f t="shared" si="13"/>
        <v>0</v>
      </c>
      <c r="AE8" s="43">
        <f t="shared" si="13"/>
        <v>0</v>
      </c>
      <c r="AF8" s="44">
        <f t="shared" si="13"/>
        <v>0</v>
      </c>
      <c r="AG8" s="44">
        <f t="shared" si="13"/>
        <v>0</v>
      </c>
      <c r="AH8" s="128">
        <f t="shared" ref="AH8:AH39" si="33">EOMONTH(AH7,0)+1</f>
        <v>36220</v>
      </c>
      <c r="AI8" s="44">
        <f t="shared" si="14"/>
        <v>0</v>
      </c>
      <c r="AJ8" s="51"/>
      <c r="AK8" s="128">
        <f t="shared" ref="AK8:AK39" si="34">EOMONTH(AK7,0)+1</f>
        <v>36220</v>
      </c>
      <c r="AL8" s="43">
        <f t="shared" si="15"/>
        <v>0</v>
      </c>
      <c r="AM8" s="43">
        <f t="shared" si="15"/>
        <v>0</v>
      </c>
      <c r="AN8" s="43">
        <f t="shared" si="15"/>
        <v>0</v>
      </c>
      <c r="AO8" s="43">
        <f t="shared" si="15"/>
        <v>0</v>
      </c>
      <c r="AP8" s="44">
        <f t="shared" si="15"/>
        <v>0</v>
      </c>
      <c r="AQ8" s="44">
        <f t="shared" si="15"/>
        <v>0</v>
      </c>
      <c r="AR8" s="128">
        <f t="shared" ref="AR8:AR39" si="35">EOMONTH(AR7,0)+1</f>
        <v>36220</v>
      </c>
      <c r="AS8" s="44">
        <f t="shared" si="16"/>
        <v>0</v>
      </c>
      <c r="AT8" s="51"/>
      <c r="AU8" s="51"/>
      <c r="AV8" s="51"/>
      <c r="AW8" s="51"/>
      <c r="AX8" s="51"/>
      <c r="AY8" s="51"/>
      <c r="AZ8" s="51"/>
      <c r="BA8" s="51"/>
      <c r="BB8" s="142">
        <f t="shared" si="17"/>
        <v>36647</v>
      </c>
      <c r="BC8" s="238">
        <f>_xll.xSPRDOPT((VLOOKUP(G8,NGPrices,2,FALSE)+HLOOKUP(D8,Prices,VLOOKUP(G8,move_down,2,FALSE),FALSE)),VLOOKUP(G8,NGPrices,2,FALSE),I8,VLOOKUP(G8,NGPREVPRICES,4,FALSE),HLOOKUP(D8,PREVVOLS,VLOOKUP(G8,MOVE_DOWN2,2,FALSE),FALSE),VLOOKUP(G8,NGPREVPRICES,3,FALSE),HLOOKUP(D8,Correllate,VLOOKUP(G8,CorMove,2,FALSE),FALSE),Q8-$BC$3,R8,$BC$5)*H8-BI8</f>
        <v>903.37381758400898</v>
      </c>
      <c r="BD8" s="238">
        <f>_xll.xSPRDOPT((VLOOKUP(G8,NGPREVPRICES,2,FALSE)+HLOOKUP(D8,PREVCURVES,VLOOKUP(G8,MOVE_DOWN2,2,FALSE),FALSE)),VLOOKUP(G8,NGPREVPRICES,2,FALSE),BJ8,VLOOKUP(G8,NGPrices,4,FALSE),HLOOKUP(D8,PREVVOLS,VLOOKUP(G8,MOVE_DOWN2,2,FALSE),FALSE),VLOOKUP(G8,NGPREVPRICES,3,FALSE),HLOOKUP(D8,Correllate,VLOOKUP(G8,CorMove,2,FALSE),FALSE),Q8-$BC$3,R8,$BI$5)*H8-BI8</f>
        <v>-9.3583755633517285E-3</v>
      </c>
      <c r="BE8" s="10">
        <f t="shared" si="18"/>
        <v>-0.45721735030838317</v>
      </c>
      <c r="BF8" s="238">
        <f>_xll.xSPRDOPT((VLOOKUP(G8,NGPREVPRICES,2,FALSE)+HLOOKUP(D8,PREVCURVES,VLOOKUP(G8,MOVE_DOWN2,2,FALSE),FALSE)),VLOOKUP(G8,NGPREVPRICES,2,FALSE),BJ8,VLOOKUP(G8,NGPREVPRICES,4,FALSE),HLOOKUP(D8,VOLS,VLOOKUP(G8,move_down,2,FALSE),FALSE),VLOOKUP(G8,NGPrices,3,FALSE),HLOOKUP(D8,Correllate,VLOOKUP(G8,CorMove,2,FALSE),FALSE),Q8-$BC$3,R8,$BI$5)*H8-BI8</f>
        <v>421.19552981062998</v>
      </c>
      <c r="BG8" s="238">
        <f>_xll.xSPRDOPT((VLOOKUP(G8,NGPREVPRICES,2,FALSE)+HLOOKUP(D8,PREVCURVES,VLOOKUP(G8,MOVE_DOWN2,2,FALSE),FALSE)),VLOOKUP(G8,NGPREVPRICES,2,FALSE),BJ8,VLOOKUP(G8,NGPREVPRICES,4,FALSE),HLOOKUP(D8,PREVVOLS,VLOOKUP(G8,MOVE_DOWN2,2,FALSE),FALSE),VLOOKUP(G8,NGPREVPRICES,3,FALSE),HLOOKUP(D8,Correllate,VLOOKUP(G8,CorMove,2,FALSE),FALSE),Q8-$C$3,R8,$BI$5)*H8-BI8</f>
        <v>-331.23074953412015</v>
      </c>
      <c r="BH8" s="238">
        <f t="shared" si="19"/>
        <v>992.87202213464707</v>
      </c>
      <c r="BI8" s="238">
        <f>_xll.xSPRDOPT((VLOOKUP(G8,NGPREVPRICES,2,FALSE)+HLOOKUP(D8,PREVCURVES,VLOOKUP(G8,MOVE_DOWN2,2,FALSE),FALSE)),VLOOKUP(G8,NGPREVPRICES,2,FALSE),BJ8,VLOOKUP(G8,NGPREVPRICES,4,FALSE),HLOOKUP(D8,PREVVOLS,VLOOKUP(G8,MOVE_DOWN2,2,FALSE),FALSE),VLOOKUP(G8,NGPREVPRICES,3,FALSE),HLOOKUP(D8,Correllate,VLOOKUP(G8,CorMove,2,FALSE),FALSE),Q8-$BC$3,R8,$BI$5)*H8</f>
        <v>2703.2096116986659</v>
      </c>
      <c r="BJ8" s="239">
        <f t="shared" si="20"/>
        <v>0.16</v>
      </c>
      <c r="BK8" s="238"/>
      <c r="BL8" t="str">
        <f t="shared" si="21"/>
        <v>36647Curve Shift/Gamma</v>
      </c>
      <c r="BM8" t="str">
        <f t="shared" si="22"/>
        <v>36647Rho</v>
      </c>
      <c r="BN8" t="str">
        <f t="shared" si="23"/>
        <v>36647Drift</v>
      </c>
      <c r="BO8" t="str">
        <f t="shared" si="24"/>
        <v>36647Vega</v>
      </c>
      <c r="BP8" t="str">
        <f t="shared" si="25"/>
        <v>36647Theta</v>
      </c>
      <c r="BQ8" s="398">
        <f t="shared" ref="BQ8:BQ47" si="36">EOMONTH(BQ7,0)+1</f>
        <v>36586</v>
      </c>
      <c r="BR8" s="399">
        <f t="shared" si="26"/>
        <v>0</v>
      </c>
      <c r="BS8" s="243">
        <f t="shared" si="27"/>
        <v>0</v>
      </c>
      <c r="BT8" s="243">
        <f t="shared" si="28"/>
        <v>0</v>
      </c>
      <c r="BU8" s="243">
        <f t="shared" si="29"/>
        <v>0</v>
      </c>
      <c r="BV8" s="253">
        <f t="shared" si="30"/>
        <v>0</v>
      </c>
      <c r="BW8" s="244">
        <f t="shared" ref="BW8:BW47" si="37">SUM(BR8:BV8)</f>
        <v>0</v>
      </c>
    </row>
    <row r="9" spans="1:75" ht="12" customHeight="1" x14ac:dyDescent="0.25">
      <c r="A9" s="397" t="s">
        <v>271</v>
      </c>
      <c r="B9" s="4" t="s">
        <v>253</v>
      </c>
      <c r="C9" s="51" t="s">
        <v>94</v>
      </c>
      <c r="D9" s="4" t="s">
        <v>9</v>
      </c>
      <c r="E9" s="4" t="s">
        <v>20</v>
      </c>
      <c r="F9" s="51" t="s">
        <v>1</v>
      </c>
      <c r="G9" s="5">
        <v>36647</v>
      </c>
      <c r="H9" s="129">
        <f>10000*(EOMONTH(G9,0)-G9)+10000</f>
        <v>310000</v>
      </c>
      <c r="I9" s="51">
        <v>-0.4</v>
      </c>
      <c r="J9" s="53">
        <f t="shared" si="1"/>
        <v>3.1579999999999999</v>
      </c>
      <c r="K9" s="7">
        <f t="shared" si="2"/>
        <v>-0.34499999999999997</v>
      </c>
      <c r="L9" s="51">
        <f t="shared" si="3"/>
        <v>2.8129999999999997</v>
      </c>
      <c r="M9" s="52">
        <f t="shared" si="4"/>
        <v>6.2683518517613002E-2</v>
      </c>
      <c r="N9" s="51">
        <f t="shared" si="5"/>
        <v>0.41</v>
      </c>
      <c r="O9" s="51">
        <f t="shared" si="6"/>
        <v>0.377</v>
      </c>
      <c r="P9" s="9">
        <f t="shared" si="7"/>
        <v>0.96</v>
      </c>
      <c r="Q9" s="5">
        <f t="shared" si="8"/>
        <v>36643</v>
      </c>
      <c r="R9" s="51">
        <f t="shared" si="9"/>
        <v>0</v>
      </c>
      <c r="S9" s="77">
        <f>_xll.xSPRDOPT($L9,$J9,$I9,$M9,$O9,$N9,$P9,$Q9-$C$3,$R9,0)</f>
        <v>8.3318467433163654E-3</v>
      </c>
      <c r="T9" s="126">
        <f>_xll.xSPRDOPT($L9,$J9,$I9,$M9,$O9,$N9,$P9,$Q9-$C$3,$R9,1)*H9</f>
        <v>-65414.331387060061</v>
      </c>
      <c r="U9" s="162">
        <f t="shared" si="10"/>
        <v>2582.8724904280734</v>
      </c>
      <c r="V9" s="126">
        <f>_xll.xSPRDOPT($L9,$J9,$I9,$M9,$O9,$N9,$P9,$Q9-$C$3,$R9,2)*H9</f>
        <v>67037.016187560163</v>
      </c>
      <c r="W9" s="126">
        <f t="shared" si="11"/>
        <v>1622.6848005001011</v>
      </c>
      <c r="X9" s="51" t="str">
        <f t="shared" si="12"/>
        <v>36647IF-NWPL_ROCKY_M</v>
      </c>
      <c r="Y9" s="431">
        <f t="shared" si="31"/>
        <v>31</v>
      </c>
      <c r="Z9" s="51"/>
      <c r="AA9" s="128">
        <f t="shared" si="32"/>
        <v>36251</v>
      </c>
      <c r="AB9" s="43">
        <f t="shared" si="13"/>
        <v>0</v>
      </c>
      <c r="AC9" s="43">
        <f t="shared" si="13"/>
        <v>0</v>
      </c>
      <c r="AD9" s="43">
        <f t="shared" si="13"/>
        <v>0</v>
      </c>
      <c r="AE9" s="43">
        <f t="shared" si="13"/>
        <v>0</v>
      </c>
      <c r="AF9" s="44">
        <f t="shared" si="13"/>
        <v>0</v>
      </c>
      <c r="AG9" s="44">
        <f t="shared" si="13"/>
        <v>0</v>
      </c>
      <c r="AH9" s="128">
        <f t="shared" si="33"/>
        <v>36251</v>
      </c>
      <c r="AI9" s="44">
        <f t="shared" si="14"/>
        <v>0</v>
      </c>
      <c r="AJ9" s="51"/>
      <c r="AK9" s="128">
        <f t="shared" si="34"/>
        <v>36251</v>
      </c>
      <c r="AL9" s="43">
        <f t="shared" si="15"/>
        <v>0</v>
      </c>
      <c r="AM9" s="43">
        <f t="shared" si="15"/>
        <v>0</v>
      </c>
      <c r="AN9" s="43">
        <f t="shared" si="15"/>
        <v>0</v>
      </c>
      <c r="AO9" s="43">
        <f t="shared" si="15"/>
        <v>0</v>
      </c>
      <c r="AP9" s="44">
        <f t="shared" si="15"/>
        <v>0</v>
      </c>
      <c r="AQ9" s="44">
        <f t="shared" si="15"/>
        <v>0</v>
      </c>
      <c r="AR9" s="128">
        <f t="shared" si="35"/>
        <v>36251</v>
      </c>
      <c r="AS9" s="44">
        <f t="shared" si="16"/>
        <v>0</v>
      </c>
      <c r="AT9" s="51"/>
      <c r="AU9" s="51"/>
      <c r="AV9" s="51"/>
      <c r="AW9" s="51"/>
      <c r="AX9" s="51"/>
      <c r="AY9" s="51"/>
      <c r="AZ9" s="51"/>
      <c r="BA9" s="51"/>
      <c r="BB9" s="142">
        <f t="shared" si="17"/>
        <v>36647</v>
      </c>
      <c r="BC9" s="238">
        <f>_xll.xSPRDOPT((VLOOKUP(G9,NGPrices,2,FALSE)+HLOOKUP(D9,Prices,VLOOKUP(G9,move_down,2,FALSE),FALSE)),VLOOKUP(G9,NGPrices,2,FALSE),I9,VLOOKUP(G9,NGPREVPRICES,4,FALSE),HLOOKUP(D9,PREVVOLS,VLOOKUP(G9,MOVE_DOWN2,2,FALSE),FALSE),VLOOKUP(G9,NGPREVPRICES,3,FALSE),HLOOKUP(D9,Correllate,VLOOKUP(G9,CorMove,2,FALSE),FALSE),Q9-$BC$3,R9,$BC$5)*H9-BI9</f>
        <v>1571.8976074713705</v>
      </c>
      <c r="BD9" s="238">
        <f>_xll.xSPRDOPT((VLOOKUP(G9,NGPREVPRICES,2,FALSE)+HLOOKUP(D9,PREVCURVES,VLOOKUP(G9,MOVE_DOWN2,2,FALSE),FALSE)),VLOOKUP(G9,NGPREVPRICES,2,FALSE),BJ9,VLOOKUP(G9,NGPrices,4,FALSE),HLOOKUP(D9,PREVVOLS,VLOOKUP(G9,MOVE_DOWN2,2,FALSE),FALSE),VLOOKUP(G9,NGPREVPRICES,3,FALSE),HLOOKUP(D9,Correllate,VLOOKUP(G9,CorMove,2,FALSE),FALSE),Q9-$BC$3,R9,$BI$5)*H9-BI9</f>
        <v>-3.1777153847087902E-3</v>
      </c>
      <c r="BE9" s="10">
        <f t="shared" si="18"/>
        <v>-0.15525200909439718</v>
      </c>
      <c r="BF9" s="238">
        <f>_xll.xSPRDOPT((VLOOKUP(G9,NGPREVPRICES,2,FALSE)+HLOOKUP(D9,PREVCURVES,VLOOKUP(G9,MOVE_DOWN2,2,FALSE),FALSE)),VLOOKUP(G9,NGPREVPRICES,2,FALSE),BJ9,VLOOKUP(G9,NGPREVPRICES,4,FALSE),HLOOKUP(D9,VOLS,VLOOKUP(G9,move_down,2,FALSE),FALSE),VLOOKUP(G9,NGPrices,3,FALSE),HLOOKUP(D9,Correllate,VLOOKUP(G9,CorMove,2,FALSE),FALSE),Q9-$BC$3,R9,$BI$5)*H9-BI9</f>
        <v>617.98545520432583</v>
      </c>
      <c r="BG9" s="238">
        <f>_xll.xSPRDOPT((VLOOKUP(G9,NGPREVPRICES,2,FALSE)+HLOOKUP(D9,PREVCURVES,VLOOKUP(G9,MOVE_DOWN2,2,FALSE),FALSE)),VLOOKUP(G9,NGPREVPRICES,2,FALSE),BJ9,VLOOKUP(G9,NGPREVPRICES,4,FALSE),HLOOKUP(D9,PREVVOLS,VLOOKUP(G9,MOVE_DOWN2,2,FALSE),FALSE),VLOOKUP(G9,NGPREVPRICES,3,FALSE),HLOOKUP(D9,Correllate,VLOOKUP(G9,CorMove,2,FALSE),FALSE),Q9-$C$3,R9,$BI$5)*H9-BI9</f>
        <v>-380.77885911991905</v>
      </c>
      <c r="BH9" s="238">
        <f t="shared" si="19"/>
        <v>1808.9457738312981</v>
      </c>
      <c r="BI9" s="238">
        <f>_xll.xSPRDOPT((VLOOKUP(G9,NGPREVPRICES,2,FALSE)+HLOOKUP(D9,PREVCURVES,VLOOKUP(G9,MOVE_DOWN2,2,FALSE),FALSE)),VLOOKUP(G9,NGPREVPRICES,2,FALSE),BJ9,VLOOKUP(G9,NGPREVPRICES,4,FALSE),HLOOKUP(D9,PREVVOLS,VLOOKUP(G9,MOVE_DOWN2,2,FALSE),FALSE),VLOOKUP(G9,NGPREVPRICES,3,FALSE),HLOOKUP(D9,Correllate,VLOOKUP(G9,CorMove,2,FALSE),FALSE),Q9-$BC$3,R9,$BI$5)*H9</f>
        <v>917.89763213588697</v>
      </c>
      <c r="BJ9" s="239">
        <f t="shared" si="20"/>
        <v>-0.4</v>
      </c>
      <c r="BK9" s="238"/>
      <c r="BL9" t="str">
        <f t="shared" si="21"/>
        <v>36647Curve Shift/Gamma</v>
      </c>
      <c r="BM9" t="str">
        <f t="shared" si="22"/>
        <v>36647Rho</v>
      </c>
      <c r="BN9" t="str">
        <f t="shared" si="23"/>
        <v>36647Drift</v>
      </c>
      <c r="BO9" t="str">
        <f t="shared" si="24"/>
        <v>36647Vega</v>
      </c>
      <c r="BP9" t="str">
        <f t="shared" si="25"/>
        <v>36647Theta</v>
      </c>
      <c r="BQ9" s="398">
        <f t="shared" si="36"/>
        <v>36617</v>
      </c>
      <c r="BR9" s="399">
        <f t="shared" si="26"/>
        <v>0</v>
      </c>
      <c r="BS9" s="243">
        <f t="shared" si="27"/>
        <v>0</v>
      </c>
      <c r="BT9" s="243">
        <f t="shared" si="28"/>
        <v>0</v>
      </c>
      <c r="BU9" s="243">
        <f t="shared" si="29"/>
        <v>0</v>
      </c>
      <c r="BV9" s="253">
        <f t="shared" si="30"/>
        <v>0</v>
      </c>
      <c r="BW9" s="244">
        <f t="shared" si="37"/>
        <v>0</v>
      </c>
    </row>
    <row r="10" spans="1:75" ht="12" customHeight="1" x14ac:dyDescent="0.25">
      <c r="A10" s="395" t="s">
        <v>270</v>
      </c>
      <c r="B10" t="s">
        <v>253</v>
      </c>
      <c r="C10" s="7" t="s">
        <v>269</v>
      </c>
      <c r="D10" s="4" t="s">
        <v>10</v>
      </c>
      <c r="E10" s="4" t="s">
        <v>20</v>
      </c>
      <c r="F10" s="5" t="s">
        <v>21</v>
      </c>
      <c r="G10" s="5">
        <v>36647</v>
      </c>
      <c r="H10" s="130">
        <v>600000</v>
      </c>
      <c r="I10" s="4">
        <v>0.16</v>
      </c>
      <c r="J10" s="53">
        <f>VLOOKUP(G10,NGPrices,2,FALSE)</f>
        <v>3.1579999999999999</v>
      </c>
      <c r="K10" s="7">
        <f>HLOOKUP(D10,Prices,VLOOKUP(G10,move_down,2,FALSE),FALSE)</f>
        <v>0.16500000000000001</v>
      </c>
      <c r="L10" s="4">
        <f>K10+J10</f>
        <v>3.323</v>
      </c>
      <c r="M10" s="159">
        <f>VLOOKUP(G10,NGPrices,4,FALSE)</f>
        <v>6.2683518517613002E-2</v>
      </c>
      <c r="N10" s="4">
        <f>VLOOKUP(G10,NGPrices,3,FALSE)</f>
        <v>0.41</v>
      </c>
      <c r="O10" s="4">
        <f>HLOOKUP(D10,VOLS,VLOOKUP(G10,move_down,2,FALSE),FALSE)</f>
        <v>0.40200000000000002</v>
      </c>
      <c r="P10" s="9">
        <f>HLOOKUP(D10,Correllate,VLOOKUP(G10,CorMove,2,FALSE),FALSE)</f>
        <v>0.995</v>
      </c>
      <c r="Q10" s="5">
        <f t="shared" si="8"/>
        <v>36643</v>
      </c>
      <c r="R10" s="4">
        <f>IF(F10="P",0,1)</f>
        <v>1</v>
      </c>
      <c r="S10" s="160">
        <f>_xll.xSPRDOPT($L10,$J10,$I10,$M10,$O10,$N10,$P10,$Q10-$C$3,$R10,0)</f>
        <v>1.1758797365899324E-2</v>
      </c>
      <c r="T10" s="161">
        <f>_xll.xSPRDOPT($L10,$J10,$I10,$M10,$O10,$N10,$P10,$Q10-$C$3,$R10,1)*H10</f>
        <v>352674.83740379644</v>
      </c>
      <c r="U10" s="162">
        <f t="shared" si="10"/>
        <v>7055.2784195395943</v>
      </c>
      <c r="V10" s="161">
        <f>_xll.xSPRDOPT($L10,$J10,$I10,$M10,$O10,$N10,$P10,$Q10-$C$3,$R10,2)*H10</f>
        <v>-351262.11993877805</v>
      </c>
      <c r="W10" s="161">
        <f>+V10+T10</f>
        <v>1412.7174650183879</v>
      </c>
      <c r="X10" s="51" t="str">
        <f t="shared" si="12"/>
        <v>36647IF-CGT/APPALAC</v>
      </c>
      <c r="Y10" s="431">
        <f t="shared" si="31"/>
        <v>60</v>
      </c>
      <c r="Z10" s="51"/>
      <c r="AA10" s="128">
        <f t="shared" si="32"/>
        <v>36281</v>
      </c>
      <c r="AB10" s="43">
        <f t="shared" si="13"/>
        <v>0</v>
      </c>
      <c r="AC10" s="43">
        <f t="shared" si="13"/>
        <v>0</v>
      </c>
      <c r="AD10" s="43">
        <f t="shared" si="13"/>
        <v>0</v>
      </c>
      <c r="AE10" s="43">
        <f t="shared" si="13"/>
        <v>0</v>
      </c>
      <c r="AF10" s="44">
        <f t="shared" si="13"/>
        <v>0</v>
      </c>
      <c r="AG10" s="44">
        <f t="shared" si="13"/>
        <v>0</v>
      </c>
      <c r="AH10" s="128">
        <f t="shared" si="33"/>
        <v>36281</v>
      </c>
      <c r="AI10" s="44">
        <f t="shared" si="14"/>
        <v>0</v>
      </c>
      <c r="AJ10" s="51"/>
      <c r="AK10" s="128">
        <f t="shared" si="34"/>
        <v>36281</v>
      </c>
      <c r="AL10" s="43">
        <f t="shared" si="15"/>
        <v>0</v>
      </c>
      <c r="AM10" s="43">
        <f t="shared" si="15"/>
        <v>0</v>
      </c>
      <c r="AN10" s="43">
        <f t="shared" si="15"/>
        <v>0</v>
      </c>
      <c r="AO10" s="43">
        <f t="shared" si="15"/>
        <v>0</v>
      </c>
      <c r="AP10" s="44">
        <f t="shared" si="15"/>
        <v>0</v>
      </c>
      <c r="AQ10" s="44">
        <f t="shared" si="15"/>
        <v>0</v>
      </c>
      <c r="AR10" s="128">
        <f t="shared" si="35"/>
        <v>36281</v>
      </c>
      <c r="AS10" s="44">
        <f t="shared" si="16"/>
        <v>0</v>
      </c>
      <c r="AT10" s="51"/>
      <c r="AU10" s="51"/>
      <c r="AV10" s="51"/>
      <c r="AW10" s="51"/>
      <c r="AX10" s="51"/>
      <c r="AY10" s="51"/>
      <c r="AZ10" s="51"/>
      <c r="BA10" s="51"/>
      <c r="BB10" s="142">
        <f t="shared" si="17"/>
        <v>36647</v>
      </c>
      <c r="BC10" s="238">
        <f>_xll.xSPRDOPT((VLOOKUP(G10,NGPrices,2,FALSE)+HLOOKUP(D10,Prices,VLOOKUP(G10,move_down,2,FALSE),FALSE)),VLOOKUP(G10,NGPrices,2,FALSE),I10,VLOOKUP(G10,NGPREVPRICES,4,FALSE),HLOOKUP(D10,PREVVOLS,VLOOKUP(G10,MOVE_DOWN2,2,FALSE),FALSE),VLOOKUP(G10,NGPREVPRICES,3,FALSE),HLOOKUP(D10,Correllate,VLOOKUP(G10,CorMove,2,FALSE),FALSE),Q10-$BC$3,R10,$BC$5)*H10-BI10</f>
        <v>1748.4654533884041</v>
      </c>
      <c r="BD10" s="238">
        <f>_xll.xSPRDOPT((VLOOKUP(G10,NGPREVPRICES,2,FALSE)+HLOOKUP(D10,PREVCURVES,VLOOKUP(G10,MOVE_DOWN2,2,FALSE),FALSE)),VLOOKUP(G10,NGPREVPRICES,2,FALSE),BJ10,VLOOKUP(G10,NGPrices,4,FALSE),HLOOKUP(D10,PREVVOLS,VLOOKUP(G10,MOVE_DOWN2,2,FALSE),FALSE),VLOOKUP(G10,NGPREVPRICES,3,FALSE),HLOOKUP(D10,Correllate,VLOOKUP(G10,CorMove,2,FALSE),FALSE),Q10-$BC$3,R10,$BI$5)*H10-BI10</f>
        <v>-1.8112984962499468E-2</v>
      </c>
      <c r="BE10" s="10">
        <f t="shared" si="18"/>
        <v>-0.88493680704777944</v>
      </c>
      <c r="BF10" s="238">
        <f>_xll.xSPRDOPT((VLOOKUP(G10,NGPREVPRICES,2,FALSE)+HLOOKUP(D10,PREVCURVES,VLOOKUP(G10,MOVE_DOWN2,2,FALSE),FALSE)),VLOOKUP(G10,NGPREVPRICES,2,FALSE),BJ10,VLOOKUP(G10,NGPREVPRICES,4,FALSE),HLOOKUP(D10,VOLS,VLOOKUP(G10,move_down,2,FALSE),FALSE),VLOOKUP(G10,NGPrices,3,FALSE),HLOOKUP(D10,Correllate,VLOOKUP(G10,CorMove,2,FALSE),FALSE),Q10-$BC$3,R10,$BI$5)*H10-BI10</f>
        <v>815.21715447218685</v>
      </c>
      <c r="BG10" s="238">
        <f>_xll.xSPRDOPT((VLOOKUP(G10,NGPREVPRICES,2,FALSE)+HLOOKUP(D10,PREVCURVES,VLOOKUP(G10,MOVE_DOWN2,2,FALSE),FALSE)),VLOOKUP(G10,NGPREVPRICES,2,FALSE),BJ10,VLOOKUP(G10,NGPREVPRICES,4,FALSE),HLOOKUP(D10,PREVVOLS,VLOOKUP(G10,MOVE_DOWN2,2,FALSE),FALSE),VLOOKUP(G10,NGPREVPRICES,3,FALSE),HLOOKUP(D10,Correllate,VLOOKUP(G10,CorMove,2,FALSE),FALSE),Q10-$C$3,R10,$BI$5)*H10-BI10</f>
        <v>-641.09177329184604</v>
      </c>
      <c r="BH10" s="238">
        <f t="shared" si="19"/>
        <v>1921.6877847767346</v>
      </c>
      <c r="BI10" s="238">
        <f>_xll.xSPRDOPT((VLOOKUP(G10,NGPREVPRICES,2,FALSE)+HLOOKUP(D10,PREVCURVES,VLOOKUP(G10,MOVE_DOWN2,2,FALSE),FALSE)),VLOOKUP(G10,NGPREVPRICES,2,FALSE),BJ10,VLOOKUP(G10,NGPREVPRICES,4,FALSE),HLOOKUP(D10,PREVVOLS,VLOOKUP(G10,MOVE_DOWN2,2,FALSE),FALSE),VLOOKUP(G10,NGPREVPRICES,3,FALSE),HLOOKUP(D10,Correllate,VLOOKUP(G10,CorMove,2,FALSE),FALSE),Q10-$BC$3,R10,$BI$5)*H10</f>
        <v>5232.0186032877409</v>
      </c>
      <c r="BJ10" s="239">
        <f t="shared" si="20"/>
        <v>0.16</v>
      </c>
      <c r="BK10" s="238"/>
      <c r="BL10" t="str">
        <f t="shared" si="21"/>
        <v>36647Curve Shift/Gamma</v>
      </c>
      <c r="BM10" t="str">
        <f t="shared" si="22"/>
        <v>36647Rho</v>
      </c>
      <c r="BN10" t="str">
        <f t="shared" si="23"/>
        <v>36647Drift</v>
      </c>
      <c r="BO10" t="str">
        <f t="shared" si="24"/>
        <v>36647Vega</v>
      </c>
      <c r="BP10" t="str">
        <f t="shared" si="25"/>
        <v>36647Theta</v>
      </c>
      <c r="BQ10" s="398">
        <f t="shared" si="36"/>
        <v>36647</v>
      </c>
      <c r="BR10" s="399">
        <f t="shared" si="26"/>
        <v>12773.410541230927</v>
      </c>
      <c r="BS10" s="243">
        <f t="shared" si="27"/>
        <v>-0.11101867552474687</v>
      </c>
      <c r="BT10" s="243">
        <f t="shared" si="28"/>
        <v>-5.4239824286082694</v>
      </c>
      <c r="BU10" s="243">
        <f t="shared" si="29"/>
        <v>5413.0357033363825</v>
      </c>
      <c r="BV10" s="253">
        <f t="shared" si="30"/>
        <v>-3891.959219311726</v>
      </c>
      <c r="BW10" s="244">
        <f t="shared" si="37"/>
        <v>14288.952024151449</v>
      </c>
    </row>
    <row r="11" spans="1:75" ht="12" customHeight="1" x14ac:dyDescent="0.25">
      <c r="A11" s="395" t="s">
        <v>270</v>
      </c>
      <c r="B11" s="7" t="s">
        <v>253</v>
      </c>
      <c r="C11" s="7" t="s">
        <v>93</v>
      </c>
      <c r="D11" s="4" t="s">
        <v>7</v>
      </c>
      <c r="E11" s="4" t="s">
        <v>20</v>
      </c>
      <c r="F11" s="5" t="s">
        <v>21</v>
      </c>
      <c r="G11" s="5">
        <v>36647</v>
      </c>
      <c r="H11" s="130">
        <v>500000</v>
      </c>
      <c r="I11" s="4">
        <v>0.3</v>
      </c>
      <c r="J11" s="53">
        <f t="shared" si="1"/>
        <v>3.1579999999999999</v>
      </c>
      <c r="K11" s="7">
        <f t="shared" si="2"/>
        <v>0.29499999999999998</v>
      </c>
      <c r="L11" s="4">
        <f t="shared" si="3"/>
        <v>3.4529999999999998</v>
      </c>
      <c r="M11" s="159">
        <f t="shared" si="4"/>
        <v>6.2683518517613002E-2</v>
      </c>
      <c r="N11" s="4">
        <f t="shared" si="5"/>
        <v>0.41</v>
      </c>
      <c r="O11" s="4">
        <f t="shared" si="6"/>
        <v>0.40200000000000002</v>
      </c>
      <c r="P11" s="9">
        <f t="shared" si="7"/>
        <v>0.99</v>
      </c>
      <c r="Q11" s="5">
        <f t="shared" si="8"/>
        <v>36643</v>
      </c>
      <c r="R11" s="4">
        <f t="shared" si="9"/>
        <v>1</v>
      </c>
      <c r="S11" s="160">
        <f>_xll.xSPRDOPT($L11,$J11,$I11,$M11,$O11,$N11,$P11,$Q11-$C$3,$R11,0)</f>
        <v>1.1625788599782439E-2</v>
      </c>
      <c r="T11" s="161">
        <f>_xll.xSPRDOPT($L11,$J11,$I11,$M11,$O11,$N11,$P11,$Q11-$C$3,$R11,1)*H11</f>
        <v>222821.40836257546</v>
      </c>
      <c r="U11" s="162">
        <f t="shared" si="10"/>
        <v>5812.8942998912198</v>
      </c>
      <c r="V11" s="161">
        <f>_xll.xSPRDOPT($L11,$J11,$I11,$M11,$O11,$N11,$P11,$Q11-$C$3,$R11,2)*H11</f>
        <v>-221260.50760671601</v>
      </c>
      <c r="W11" s="161">
        <f t="shared" si="11"/>
        <v>1560.9007558594458</v>
      </c>
      <c r="X11" s="51" t="str">
        <f t="shared" si="12"/>
        <v>36647IF-TRANSCO/Z6</v>
      </c>
      <c r="Y11" s="431">
        <f t="shared" si="31"/>
        <v>50</v>
      </c>
      <c r="Z11" s="51"/>
      <c r="AA11" s="128">
        <f t="shared" si="32"/>
        <v>36312</v>
      </c>
      <c r="AB11" s="43">
        <f t="shared" si="13"/>
        <v>0</v>
      </c>
      <c r="AC11" s="43">
        <f t="shared" si="13"/>
        <v>0</v>
      </c>
      <c r="AD11" s="43">
        <f t="shared" si="13"/>
        <v>0</v>
      </c>
      <c r="AE11" s="43">
        <f t="shared" si="13"/>
        <v>0</v>
      </c>
      <c r="AF11" s="44">
        <f t="shared" si="13"/>
        <v>0</v>
      </c>
      <c r="AG11" s="44">
        <f t="shared" si="13"/>
        <v>0</v>
      </c>
      <c r="AH11" s="128">
        <f t="shared" si="33"/>
        <v>36312</v>
      </c>
      <c r="AI11" s="44">
        <f t="shared" si="14"/>
        <v>0</v>
      </c>
      <c r="AJ11" s="51"/>
      <c r="AK11" s="128">
        <f t="shared" si="34"/>
        <v>36312</v>
      </c>
      <c r="AL11" s="43">
        <f t="shared" si="15"/>
        <v>0</v>
      </c>
      <c r="AM11" s="43">
        <f t="shared" si="15"/>
        <v>0</v>
      </c>
      <c r="AN11" s="43">
        <f t="shared" si="15"/>
        <v>0</v>
      </c>
      <c r="AO11" s="43">
        <f t="shared" si="15"/>
        <v>0</v>
      </c>
      <c r="AP11" s="44">
        <f t="shared" si="15"/>
        <v>0</v>
      </c>
      <c r="AQ11" s="44">
        <f t="shared" si="15"/>
        <v>0</v>
      </c>
      <c r="AR11" s="128">
        <f t="shared" si="35"/>
        <v>36312</v>
      </c>
      <c r="AS11" s="44">
        <f t="shared" si="16"/>
        <v>0</v>
      </c>
      <c r="AT11" s="51"/>
      <c r="AU11" s="51"/>
      <c r="AV11" s="51"/>
      <c r="AW11" s="51"/>
      <c r="AX11" s="51"/>
      <c r="AY11" s="51"/>
      <c r="AZ11" s="51"/>
      <c r="BA11" s="51"/>
      <c r="BB11" s="142">
        <f t="shared" si="17"/>
        <v>36647</v>
      </c>
      <c r="BC11" s="238">
        <f>_xll.xSPRDOPT((VLOOKUP(G11,NGPrices,2,FALSE)+HLOOKUP(D11,Prices,VLOOKUP(G11,move_down,2,FALSE),FALSE)),VLOOKUP(G11,NGPrices,2,FALSE),I11,VLOOKUP(G11,NGPREVPRICES,4,FALSE),HLOOKUP(D11,PREVVOLS,VLOOKUP(G11,MOVE_DOWN2,2,FALSE),FALSE),VLOOKUP(G11,NGPREVPRICES,3,FALSE),HLOOKUP(D11,Correllate,VLOOKUP(G11,CorMove,2,FALSE),FALSE),Q11-$BC$3,R11,$BC$5)*H11-BI11</f>
        <v>1159.7649469258713</v>
      </c>
      <c r="BD11" s="238">
        <f>_xll.xSPRDOPT((VLOOKUP(G11,NGPREVPRICES,2,FALSE)+HLOOKUP(D11,PREVCURVES,VLOOKUP(G11,MOVE_DOWN2,2,FALSE),FALSE)),VLOOKUP(G11,NGPREVPRICES,2,FALSE),BJ11,VLOOKUP(G11,NGPrices,4,FALSE),HLOOKUP(D11,PREVVOLS,VLOOKUP(G11,MOVE_DOWN2,2,FALSE),FALSE),VLOOKUP(G11,NGPREVPRICES,3,FALSE),HLOOKUP(D11,Correllate,VLOOKUP(G11,CorMove,2,FALSE),FALSE),Q11-$BC$3,R11,$BI$5)*H11-BI11</f>
        <v>-1.5776161854773818E-2</v>
      </c>
      <c r="BE11" s="10">
        <f t="shared" si="18"/>
        <v>-0.77076784026940004</v>
      </c>
      <c r="BF11" s="238">
        <f>_xll.xSPRDOPT((VLOOKUP(G11,NGPREVPRICES,2,FALSE)+HLOOKUP(D11,PREVCURVES,VLOOKUP(G11,MOVE_DOWN2,2,FALSE),FALSE)),VLOOKUP(G11,NGPREVPRICES,2,FALSE),BJ11,VLOOKUP(G11,NGPREVPRICES,4,FALSE),HLOOKUP(D11,VOLS,VLOOKUP(G11,move_down,2,FALSE),FALSE),VLOOKUP(G11,NGPrices,3,FALSE),HLOOKUP(D11,Correllate,VLOOKUP(G11,CorMove,2,FALSE),FALSE),Q11-$BC$3,R11,$BI$5)*H11-BI11</f>
        <v>1014.6930708786367</v>
      </c>
      <c r="BG11" s="238">
        <f>_xll.xSPRDOPT((VLOOKUP(G11,NGPREVPRICES,2,FALSE)+HLOOKUP(D11,PREVCURVES,VLOOKUP(G11,MOVE_DOWN2,2,FALSE),FALSE)),VLOOKUP(G11,NGPREVPRICES,2,FALSE),BJ11,VLOOKUP(G11,NGPREVPRICES,4,FALSE),HLOOKUP(D11,PREVVOLS,VLOOKUP(G11,MOVE_DOWN2,2,FALSE),FALSE),VLOOKUP(G11,NGPREVPRICES,3,FALSE),HLOOKUP(D11,Correllate,VLOOKUP(G11,CorMove,2,FALSE),FALSE),Q11-$C$3,R11,$BI$5)*H11-BI11</f>
        <v>-789.41323788161571</v>
      </c>
      <c r="BH11" s="238">
        <f t="shared" si="19"/>
        <v>1384.2582359207681</v>
      </c>
      <c r="BI11" s="238">
        <f>_xll.xSPRDOPT((VLOOKUP(G11,NGPREVPRICES,2,FALSE)+HLOOKUP(D11,PREVCURVES,VLOOKUP(G11,MOVE_DOWN2,2,FALSE),FALSE)),VLOOKUP(G11,NGPREVPRICES,2,FALSE),BJ11,VLOOKUP(G11,NGPREVPRICES,4,FALSE),HLOOKUP(D11,PREVVOLS,VLOOKUP(G11,MOVE_DOWN2,2,FALSE),FALSE),VLOOKUP(G11,NGPREVPRICES,3,FALSE),HLOOKUP(D11,Correllate,VLOOKUP(G11,CorMove,2,FALSE),FALSE),Q11-$BC$3,R11,$BI$5)*H11</f>
        <v>4557.0165541623874</v>
      </c>
      <c r="BJ11" s="239">
        <f t="shared" si="20"/>
        <v>0.3</v>
      </c>
      <c r="BK11" s="238"/>
      <c r="BL11" t="str">
        <f t="shared" si="21"/>
        <v>36647Curve Shift/Gamma</v>
      </c>
      <c r="BM11" t="str">
        <f t="shared" si="22"/>
        <v>36647Rho</v>
      </c>
      <c r="BN11" t="str">
        <f t="shared" si="23"/>
        <v>36647Drift</v>
      </c>
      <c r="BO11" t="str">
        <f t="shared" si="24"/>
        <v>36647Vega</v>
      </c>
      <c r="BP11" t="str">
        <f t="shared" si="25"/>
        <v>36647Theta</v>
      </c>
      <c r="BQ11" s="398">
        <f t="shared" si="36"/>
        <v>36678</v>
      </c>
      <c r="BR11" s="399">
        <f t="shared" si="26"/>
        <v>14061.261677897874</v>
      </c>
      <c r="BS11" s="243">
        <f t="shared" si="27"/>
        <v>-0.20653007536748191</v>
      </c>
      <c r="BT11" s="243">
        <f t="shared" si="28"/>
        <v>-11.095869639572811</v>
      </c>
      <c r="BU11" s="243">
        <f t="shared" si="29"/>
        <v>1893.5076512349679</v>
      </c>
      <c r="BV11" s="253">
        <f t="shared" si="30"/>
        <v>-2383.6856039800441</v>
      </c>
      <c r="BW11" s="244">
        <f t="shared" si="37"/>
        <v>13559.781325437858</v>
      </c>
    </row>
    <row r="12" spans="1:75" ht="12" customHeight="1" x14ac:dyDescent="0.25">
      <c r="A12" s="395" t="s">
        <v>282</v>
      </c>
      <c r="B12" s="156" t="s">
        <v>253</v>
      </c>
      <c r="C12" s="156" t="s">
        <v>112</v>
      </c>
      <c r="D12" s="4" t="s">
        <v>7</v>
      </c>
      <c r="E12" s="156" t="s">
        <v>20</v>
      </c>
      <c r="F12" s="156" t="s">
        <v>21</v>
      </c>
      <c r="G12" s="366">
        <v>36678</v>
      </c>
      <c r="H12" s="157">
        <v>300000</v>
      </c>
      <c r="I12" s="141">
        <v>0.25</v>
      </c>
      <c r="J12" s="53">
        <f t="shared" si="1"/>
        <v>3.1720000000000002</v>
      </c>
      <c r="K12" s="7">
        <f t="shared" si="2"/>
        <v>0.3075</v>
      </c>
      <c r="L12" s="4">
        <f t="shared" si="3"/>
        <v>3.4795000000000003</v>
      </c>
      <c r="M12" s="159">
        <f t="shared" si="4"/>
        <v>6.3039999833066004E-2</v>
      </c>
      <c r="N12" s="4">
        <f t="shared" si="5"/>
        <v>0.38250000000000001</v>
      </c>
      <c r="O12" s="4">
        <f t="shared" si="6"/>
        <v>0.375</v>
      </c>
      <c r="P12" s="9">
        <f t="shared" si="7"/>
        <v>0.99</v>
      </c>
      <c r="Q12" s="5">
        <f t="shared" si="8"/>
        <v>36676</v>
      </c>
      <c r="R12" s="4">
        <f t="shared" si="9"/>
        <v>1</v>
      </c>
      <c r="S12" s="160">
        <f>_xll.xSPRDOPT($L12,$J12,$I12,$M12,$O12,$N12,$P12,$Q12-$C$3,$R12,0)</f>
        <v>6.3980412816014923E-2</v>
      </c>
      <c r="T12" s="161">
        <f>_xll.xSPRDOPT($L12,$J12,$I12,$M12,$O12,$N12,$P12,$Q12-$C$3,$R12,1)*H12</f>
        <v>241799.73296922602</v>
      </c>
      <c r="U12" s="162">
        <f t="shared" si="10"/>
        <v>19194.123844804475</v>
      </c>
      <c r="V12" s="161">
        <f>_xll.xSPRDOPT($L12,$J12,$I12,$M12,$O12,$N12,$P12,$Q12-$C$3,$R12,2)*H12</f>
        <v>-240506.15904614411</v>
      </c>
      <c r="W12" s="161">
        <f t="shared" si="11"/>
        <v>1293.5739230819163</v>
      </c>
      <c r="X12" s="51" t="str">
        <f t="shared" si="12"/>
        <v>36678IF-TRANSCO/Z6</v>
      </c>
      <c r="Y12" s="431">
        <f t="shared" si="31"/>
        <v>30</v>
      </c>
      <c r="Z12" s="51"/>
      <c r="AA12" s="128">
        <f t="shared" si="32"/>
        <v>36342</v>
      </c>
      <c r="AB12" s="43">
        <f t="shared" si="13"/>
        <v>0</v>
      </c>
      <c r="AC12" s="43">
        <f t="shared" si="13"/>
        <v>0</v>
      </c>
      <c r="AD12" s="43">
        <f t="shared" si="13"/>
        <v>0</v>
      </c>
      <c r="AE12" s="43">
        <f t="shared" si="13"/>
        <v>0</v>
      </c>
      <c r="AF12" s="44">
        <f t="shared" si="13"/>
        <v>0</v>
      </c>
      <c r="AG12" s="44">
        <f t="shared" si="13"/>
        <v>0</v>
      </c>
      <c r="AH12" s="128">
        <f t="shared" si="33"/>
        <v>36342</v>
      </c>
      <c r="AI12" s="44">
        <f t="shared" si="14"/>
        <v>0</v>
      </c>
      <c r="AJ12" s="51"/>
      <c r="AK12" s="128">
        <f t="shared" si="34"/>
        <v>36342</v>
      </c>
      <c r="AL12" s="43">
        <f t="shared" si="15"/>
        <v>0</v>
      </c>
      <c r="AM12" s="43">
        <f t="shared" si="15"/>
        <v>0</v>
      </c>
      <c r="AN12" s="43">
        <f t="shared" si="15"/>
        <v>0</v>
      </c>
      <c r="AO12" s="43">
        <f t="shared" si="15"/>
        <v>0</v>
      </c>
      <c r="AP12" s="44">
        <f t="shared" si="15"/>
        <v>0</v>
      </c>
      <c r="AQ12" s="44">
        <f t="shared" si="15"/>
        <v>0</v>
      </c>
      <c r="AR12" s="128">
        <f t="shared" si="35"/>
        <v>36342</v>
      </c>
      <c r="AS12" s="44">
        <f t="shared" si="16"/>
        <v>0</v>
      </c>
      <c r="AT12" s="51"/>
      <c r="AU12" s="51"/>
      <c r="AV12" s="51"/>
      <c r="AW12" s="51"/>
      <c r="AX12" s="51"/>
      <c r="AY12" s="51"/>
      <c r="AZ12" s="51"/>
      <c r="BA12" s="51"/>
      <c r="BB12" s="142">
        <f t="shared" si="17"/>
        <v>36678</v>
      </c>
      <c r="BC12" s="238">
        <f>_xll.xSPRDOPT((VLOOKUP(G12,NGPrices,2,FALSE)+HLOOKUP(D12,Prices,VLOOKUP(G12,move_down,2,FALSE),FALSE)),VLOOKUP(G12,NGPrices,2,FALSE),I12,VLOOKUP(G12,NGPREVPRICES,4,FALSE),HLOOKUP(D12,PREVVOLS,VLOOKUP(G12,MOVE_DOWN2,2,FALSE),FALSE),VLOOKUP(G12,NGPREVPRICES,3,FALSE),HLOOKUP(D12,Correllate,VLOOKUP(G12,CorMove,2,FALSE),FALSE),Q12-$BC$3,R12,$BC$5)*H12-BI12</f>
        <v>4155.1685830343667</v>
      </c>
      <c r="BD12" s="238">
        <f>_xll.xSPRDOPT((VLOOKUP(G12,NGPREVPRICES,2,FALSE)+HLOOKUP(D12,PREVCURVES,VLOOKUP(G12,MOVE_DOWN2,2,FALSE),FALSE)),VLOOKUP(G12,NGPREVPRICES,2,FALSE),BJ12,VLOOKUP(G12,NGPrices,4,FALSE),HLOOKUP(D12,PREVVOLS,VLOOKUP(G12,MOVE_DOWN2,2,FALSE),FALSE),VLOOKUP(G12,NGPREVPRICES,3,FALSE),HLOOKUP(D12,Correllate,VLOOKUP(G12,CorMove,2,FALSE),FALSE),Q12-$BC$3,R12,$BI$5)*H12-BI12</f>
        <v>-4.7982566838982166E-2</v>
      </c>
      <c r="BE12" s="10">
        <f t="shared" si="18"/>
        <v>-2.5778730044894473</v>
      </c>
      <c r="BF12" s="238">
        <f>_xll.xSPRDOPT((VLOOKUP(G12,NGPREVPRICES,2,FALSE)+HLOOKUP(D12,PREVCURVES,VLOOKUP(G12,MOVE_DOWN2,2,FALSE),FALSE)),VLOOKUP(G12,NGPREVPRICES,2,FALSE),BJ12,VLOOKUP(G12,NGPREVPRICES,4,FALSE),HLOOKUP(D12,VOLS,VLOOKUP(G12,move_down,2,FALSE),FALSE),VLOOKUP(G12,NGPrices,3,FALSE),HLOOKUP(D12,Correllate,VLOOKUP(G12,CorMove,2,FALSE),FALSE),Q12-$BC$3,R12,$BI$5)*H12-BI12</f>
        <v>182.22776031017384</v>
      </c>
      <c r="BG12" s="238">
        <f>_xll.xSPRDOPT((VLOOKUP(G12,NGPREVPRICES,2,FALSE)+HLOOKUP(D12,PREVCURVES,VLOOKUP(G12,MOVE_DOWN2,2,FALSE),FALSE)),VLOOKUP(G12,NGPREVPRICES,2,FALSE),BJ12,VLOOKUP(G12,NGPREVPRICES,4,FALSE),HLOOKUP(D12,PREVVOLS,VLOOKUP(G12,MOVE_DOWN2,2,FALSE),FALSE),VLOOKUP(G12,NGPREVPRICES,3,FALSE),HLOOKUP(D12,Correllate,VLOOKUP(G12,CorMove,2,FALSE),FALSE),Q12-$C$3,R12,$BI$5)*H12-BI12</f>
        <v>-201.72296528688457</v>
      </c>
      <c r="BH12" s="238">
        <f t="shared" si="19"/>
        <v>4133.0475224863276</v>
      </c>
      <c r="BI12" s="238">
        <f>_xll.xSPRDOPT((VLOOKUP(G12,NGPREVPRICES,2,FALSE)+HLOOKUP(D12,PREVCURVES,VLOOKUP(G12,MOVE_DOWN2,2,FALSE),FALSE)),VLOOKUP(G12,NGPREVPRICES,2,FALSE),BJ12,VLOOKUP(G12,NGPREVPRICES,4,FALSE),HLOOKUP(D12,PREVVOLS,VLOOKUP(G12,MOVE_DOWN2,2,FALSE),FALSE),VLOOKUP(G12,NGPREVPRICES,3,FALSE),HLOOKUP(D12,Correllate,VLOOKUP(G12,CorMove,2,FALSE),FALSE),Q12-$BC$3,R12,$BI$5)*H12</f>
        <v>15059.37293224112</v>
      </c>
      <c r="BJ12" s="239">
        <f t="shared" si="20"/>
        <v>0.25</v>
      </c>
      <c r="BK12" s="238"/>
      <c r="BL12" t="str">
        <f t="shared" si="21"/>
        <v>36678Curve Shift/Gamma</v>
      </c>
      <c r="BM12" t="str">
        <f t="shared" si="22"/>
        <v>36678Rho</v>
      </c>
      <c r="BN12" t="str">
        <f t="shared" si="23"/>
        <v>36678Drift</v>
      </c>
      <c r="BO12" t="str">
        <f t="shared" si="24"/>
        <v>36678Vega</v>
      </c>
      <c r="BP12" t="str">
        <f t="shared" si="25"/>
        <v>36678Theta</v>
      </c>
      <c r="BQ12" s="398">
        <f t="shared" si="36"/>
        <v>36708</v>
      </c>
      <c r="BR12" s="399">
        <f t="shared" si="26"/>
        <v>7656.0412257334974</v>
      </c>
      <c r="BS12" s="243">
        <f t="shared" si="27"/>
        <v>-1.0476574926869944</v>
      </c>
      <c r="BT12" s="243">
        <f t="shared" si="28"/>
        <v>-19.108785359067042</v>
      </c>
      <c r="BU12" s="243">
        <f t="shared" si="29"/>
        <v>2652.613639164485</v>
      </c>
      <c r="BV12" s="253">
        <f t="shared" si="30"/>
        <v>-2053.7848813257096</v>
      </c>
      <c r="BW12" s="244">
        <f t="shared" si="37"/>
        <v>8234.7135407205187</v>
      </c>
    </row>
    <row r="13" spans="1:75" ht="12" customHeight="1" x14ac:dyDescent="0.25">
      <c r="A13" s="396" t="s">
        <v>273</v>
      </c>
      <c r="B13" t="s">
        <v>132</v>
      </c>
      <c r="C13" t="s">
        <v>274</v>
      </c>
      <c r="D13" s="4" t="s">
        <v>10</v>
      </c>
      <c r="E13" s="4" t="s">
        <v>20</v>
      </c>
      <c r="F13" s="5" t="s">
        <v>21</v>
      </c>
      <c r="G13" s="5">
        <v>36678</v>
      </c>
      <c r="H13" s="130">
        <v>300000</v>
      </c>
      <c r="I13">
        <v>0.16</v>
      </c>
      <c r="J13" s="53">
        <f t="shared" si="1"/>
        <v>3.1720000000000002</v>
      </c>
      <c r="K13" s="7">
        <f t="shared" si="2"/>
        <v>0.16750000000000001</v>
      </c>
      <c r="L13" s="4">
        <f t="shared" si="3"/>
        <v>3.3395000000000001</v>
      </c>
      <c r="M13" s="159">
        <f t="shared" si="4"/>
        <v>6.3039999833066004E-2</v>
      </c>
      <c r="N13" s="4">
        <f t="shared" si="5"/>
        <v>0.38250000000000001</v>
      </c>
      <c r="O13" s="4">
        <f t="shared" si="6"/>
        <v>0.375</v>
      </c>
      <c r="P13" s="9">
        <f t="shared" si="7"/>
        <v>0.995</v>
      </c>
      <c r="Q13" s="5">
        <f t="shared" si="8"/>
        <v>36676</v>
      </c>
      <c r="R13" s="4">
        <f t="shared" si="9"/>
        <v>1</v>
      </c>
      <c r="S13" s="160">
        <f>_xll.xSPRDOPT($L13,$J13,$I13,$M13,$O13,$N13,$P13,$Q13-$C$3,$R13,0)</f>
        <v>2.1449623304051958E-2</v>
      </c>
      <c r="T13" s="161">
        <f>_xll.xSPRDOPT($L13,$J13,$I13,$M13,$O13,$N13,$P13,$Q13-$C$3,$R13,1)*H13</f>
        <v>169958.27149145416</v>
      </c>
      <c r="U13" s="162">
        <f t="shared" si="10"/>
        <v>6434.8869912155878</v>
      </c>
      <c r="V13" s="161">
        <f>_xll.xSPRDOPT($L13,$J13,$I13,$M13,$O13,$N13,$P13,$Q13-$C$3,$R13,2)*H13</f>
        <v>-168585.52541951396</v>
      </c>
      <c r="W13" s="161">
        <f t="shared" si="11"/>
        <v>1372.7460719402006</v>
      </c>
      <c r="X13" s="51" t="str">
        <f t="shared" si="12"/>
        <v>36678IF-CGT/APPALAC</v>
      </c>
      <c r="Y13" s="431">
        <f t="shared" si="31"/>
        <v>30</v>
      </c>
      <c r="Z13" s="51"/>
      <c r="AA13" s="128">
        <f t="shared" si="32"/>
        <v>36373</v>
      </c>
      <c r="AB13" s="43">
        <f t="shared" si="13"/>
        <v>0</v>
      </c>
      <c r="AC13" s="43">
        <f t="shared" si="13"/>
        <v>0</v>
      </c>
      <c r="AD13" s="43">
        <f t="shared" si="13"/>
        <v>0</v>
      </c>
      <c r="AE13" s="43">
        <f t="shared" si="13"/>
        <v>0</v>
      </c>
      <c r="AF13" s="44">
        <f t="shared" si="13"/>
        <v>0</v>
      </c>
      <c r="AG13" s="44">
        <f t="shared" si="13"/>
        <v>0</v>
      </c>
      <c r="AH13" s="128">
        <f t="shared" si="33"/>
        <v>36373</v>
      </c>
      <c r="AI13" s="44">
        <f>SUM(AB13:AG13)</f>
        <v>0</v>
      </c>
      <c r="AJ13" s="51"/>
      <c r="AK13" s="128">
        <f t="shared" si="34"/>
        <v>36373</v>
      </c>
      <c r="AL13" s="43">
        <f t="shared" si="15"/>
        <v>0</v>
      </c>
      <c r="AM13" s="43">
        <f t="shared" si="15"/>
        <v>0</v>
      </c>
      <c r="AN13" s="43">
        <f t="shared" si="15"/>
        <v>0</v>
      </c>
      <c r="AO13" s="43">
        <f t="shared" si="15"/>
        <v>0</v>
      </c>
      <c r="AP13" s="44">
        <f t="shared" si="15"/>
        <v>0</v>
      </c>
      <c r="AQ13" s="44">
        <f t="shared" si="15"/>
        <v>0</v>
      </c>
      <c r="AR13" s="128">
        <f t="shared" si="35"/>
        <v>36373</v>
      </c>
      <c r="AS13" s="44">
        <f>SUM(AL13:AQ13)</f>
        <v>0</v>
      </c>
      <c r="AT13" s="51"/>
      <c r="AU13" s="51"/>
      <c r="AV13" s="51"/>
      <c r="AW13" s="51"/>
      <c r="AX13" s="51"/>
      <c r="AY13" s="51"/>
      <c r="AZ13" s="51"/>
      <c r="BA13" s="51"/>
      <c r="BB13" s="142">
        <f t="shared" si="17"/>
        <v>36678</v>
      </c>
      <c r="BC13" s="238">
        <f>_xll.xSPRDOPT((VLOOKUP(G13,NGPrices,2,FALSE)+HLOOKUP(D13,Prices,VLOOKUP(G13,move_down,2,FALSE),FALSE)),VLOOKUP(G13,NGPrices,2,FALSE),I13,VLOOKUP(G13,NGPREVPRICES,4,FALSE),HLOOKUP(D13,PREVVOLS,VLOOKUP(G13,MOVE_DOWN2,2,FALSE),FALSE),VLOOKUP(G13,NGPREVPRICES,3,FALSE),HLOOKUP(D13,Correllate,VLOOKUP(G13,CorMove,2,FALSE),FALSE),Q13-$BC$3,R13,$BC$5)*H13-BI13</f>
        <v>114.39969842545906</v>
      </c>
      <c r="BD13" s="238">
        <f>_xll.xSPRDOPT((VLOOKUP(G13,NGPREVPRICES,2,FALSE)+HLOOKUP(D13,PREVCURVES,VLOOKUP(G13,MOVE_DOWN2,2,FALSE),FALSE)),VLOOKUP(G13,NGPREVPRICES,2,FALSE),BJ13,VLOOKUP(G13,NGPrices,4,FALSE),HLOOKUP(D13,PREVVOLS,VLOOKUP(G13,MOVE_DOWN2,2,FALSE),FALSE),VLOOKUP(G13,NGPREVPRICES,3,FALSE),HLOOKUP(D13,Correllate,VLOOKUP(G13,CorMove,2,FALSE),FALSE),Q13-$BC$3,R13,$BI$5)*H13-BI13</f>
        <v>-2.021915795012319E-2</v>
      </c>
      <c r="BE13" s="10">
        <f t="shared" si="18"/>
        <v>-1.0862783065504118</v>
      </c>
      <c r="BF13" s="238">
        <f>_xll.xSPRDOPT((VLOOKUP(G13,NGPREVPRICES,2,FALSE)+HLOOKUP(D13,PREVCURVES,VLOOKUP(G13,MOVE_DOWN2,2,FALSE),FALSE)),VLOOKUP(G13,NGPREVPRICES,2,FALSE),BJ13,VLOOKUP(G13,NGPREVPRICES,4,FALSE),HLOOKUP(D13,VOLS,VLOOKUP(G13,move_down,2,FALSE),FALSE),VLOOKUP(G13,NGPrices,3,FALSE),HLOOKUP(D13,Correllate,VLOOKUP(G13,CorMove,2,FALSE),FALSE),Q13-$BC$3,R13,$BI$5)*H13-BI13</f>
        <v>145.78998746991601</v>
      </c>
      <c r="BG13" s="238">
        <f>_xll.xSPRDOPT((VLOOKUP(G13,NGPREVPRICES,2,FALSE)+HLOOKUP(D13,PREVCURVES,VLOOKUP(G13,MOVE_DOWN2,2,FALSE),FALSE)),VLOOKUP(G13,NGPREVPRICES,2,FALSE),BJ13,VLOOKUP(G13,NGPREVPRICES,4,FALSE),HLOOKUP(D13,PREVVOLS,VLOOKUP(G13,MOVE_DOWN2,2,FALSE),FALSE),VLOOKUP(G13,NGPREVPRICES,3,FALSE),HLOOKUP(D13,Correllate,VLOOKUP(G13,CorMove,2,FALSE),FALSE),Q13-$C$3,R13,$BI$5)*H13-BI13</f>
        <v>-165.30334558493087</v>
      </c>
      <c r="BH13" s="238">
        <f t="shared" si="19"/>
        <v>93.779842845943676</v>
      </c>
      <c r="BI13" s="238">
        <f>_xll.xSPRDOPT((VLOOKUP(G13,NGPREVPRICES,2,FALSE)+HLOOKUP(D13,PREVCURVES,VLOOKUP(G13,MOVE_DOWN2,2,FALSE),FALSE)),VLOOKUP(G13,NGPREVPRICES,2,FALSE),BJ13,VLOOKUP(G13,NGPREVPRICES,4,FALSE),HLOOKUP(D13,PREVVOLS,VLOOKUP(G13,MOVE_DOWN2,2,FALSE),FALSE),VLOOKUP(G13,NGPREVPRICES,3,FALSE),HLOOKUP(D13,Correllate,VLOOKUP(G13,CorMove,2,FALSE),FALSE),Q13-$BC$3,R13,$BI$5)*H13</f>
        <v>6345.8014021845402</v>
      </c>
      <c r="BJ13" s="239">
        <f t="shared" si="20"/>
        <v>0.16</v>
      </c>
      <c r="BK13" s="238"/>
      <c r="BL13" t="str">
        <f t="shared" si="21"/>
        <v>36678Curve Shift/Gamma</v>
      </c>
      <c r="BM13" t="str">
        <f t="shared" si="22"/>
        <v>36678Rho</v>
      </c>
      <c r="BN13" t="str">
        <f t="shared" si="23"/>
        <v>36678Drift</v>
      </c>
      <c r="BO13" t="str">
        <f t="shared" si="24"/>
        <v>36678Vega</v>
      </c>
      <c r="BP13" t="str">
        <f t="shared" si="25"/>
        <v>36678Theta</v>
      </c>
      <c r="BQ13" s="398">
        <f t="shared" si="36"/>
        <v>36739</v>
      </c>
      <c r="BR13" s="399">
        <f t="shared" si="26"/>
        <v>8700.5912481626892</v>
      </c>
      <c r="BS13" s="243">
        <f t="shared" si="27"/>
        <v>-0.99476269901060732</v>
      </c>
      <c r="BT13" s="243">
        <f t="shared" si="28"/>
        <v>-23.501220919562911</v>
      </c>
      <c r="BU13" s="243">
        <f t="shared" si="29"/>
        <v>3182.8562432372928</v>
      </c>
      <c r="BV13" s="253">
        <f t="shared" si="30"/>
        <v>-1843.4787517546229</v>
      </c>
      <c r="BW13" s="244">
        <f t="shared" si="37"/>
        <v>10015.472756026786</v>
      </c>
    </row>
    <row r="14" spans="1:75" ht="12" customHeight="1" x14ac:dyDescent="0.25">
      <c r="A14" s="397" t="s">
        <v>271</v>
      </c>
      <c r="B14" s="4" t="s">
        <v>253</v>
      </c>
      <c r="C14" s="4" t="s">
        <v>94</v>
      </c>
      <c r="D14" s="4" t="s">
        <v>9</v>
      </c>
      <c r="E14" s="4" t="s">
        <v>20</v>
      </c>
      <c r="F14" s="4" t="s">
        <v>1</v>
      </c>
      <c r="G14" s="5">
        <v>36678</v>
      </c>
      <c r="H14" s="130">
        <f>10000*(EOMONTH(G14,0)-G14)+10000</f>
        <v>300000</v>
      </c>
      <c r="I14" s="4">
        <v>-0.4</v>
      </c>
      <c r="J14" s="53">
        <f t="shared" si="1"/>
        <v>3.1720000000000002</v>
      </c>
      <c r="K14" s="7">
        <f t="shared" si="2"/>
        <v>-0.34</v>
      </c>
      <c r="L14" s="4">
        <f t="shared" si="3"/>
        <v>2.8320000000000003</v>
      </c>
      <c r="M14" s="159">
        <f t="shared" si="4"/>
        <v>6.3039999833066004E-2</v>
      </c>
      <c r="N14" s="4">
        <f t="shared" si="5"/>
        <v>0.38250000000000001</v>
      </c>
      <c r="O14" s="4">
        <f t="shared" si="6"/>
        <v>0.375</v>
      </c>
      <c r="P14" s="9">
        <f t="shared" si="7"/>
        <v>0.96</v>
      </c>
      <c r="Q14" s="5">
        <f t="shared" si="8"/>
        <v>36676</v>
      </c>
      <c r="R14" s="4">
        <f t="shared" si="9"/>
        <v>0</v>
      </c>
      <c r="S14" s="160">
        <f>_xll.xSPRDOPT($L14,$J14,$I14,$M14,$O14,$N14,$P14,$Q14-$C$3,$R14,0)</f>
        <v>2.529955571926893E-2</v>
      </c>
      <c r="T14" s="161">
        <f>_xll.xSPRDOPT($L14,$J14,$I14,$M14,$O14,$N14,$P14,$Q14-$C$3,$R14,1)*H14</f>
        <v>-92731.077967233636</v>
      </c>
      <c r="U14" s="162">
        <f t="shared" si="10"/>
        <v>7589.8667157806794</v>
      </c>
      <c r="V14" s="161">
        <f>_xll.xSPRDOPT($L14,$J14,$I14,$M14,$O14,$N14,$P14,$Q14-$C$3,$R14,2)*H14</f>
        <v>96314.848695393084</v>
      </c>
      <c r="W14" s="161">
        <f t="shared" si="11"/>
        <v>3583.7707281594485</v>
      </c>
      <c r="X14" s="51" t="str">
        <f t="shared" si="12"/>
        <v>36678IF-NWPL_ROCKY_M</v>
      </c>
      <c r="Y14" s="431">
        <f t="shared" si="31"/>
        <v>30</v>
      </c>
      <c r="AA14" s="128">
        <f t="shared" si="32"/>
        <v>36404</v>
      </c>
      <c r="AB14" s="43">
        <f t="shared" si="13"/>
        <v>0</v>
      </c>
      <c r="AC14" s="43">
        <f t="shared" si="13"/>
        <v>0</v>
      </c>
      <c r="AD14" s="43">
        <f t="shared" si="13"/>
        <v>0</v>
      </c>
      <c r="AE14" s="43">
        <f t="shared" si="13"/>
        <v>0</v>
      </c>
      <c r="AF14" s="44">
        <f t="shared" si="13"/>
        <v>0</v>
      </c>
      <c r="AG14" s="44">
        <f t="shared" si="13"/>
        <v>0</v>
      </c>
      <c r="AH14" s="128">
        <f t="shared" si="33"/>
        <v>36404</v>
      </c>
      <c r="AI14" s="44">
        <f t="shared" ref="AI14:AI77" si="38">SUM(AB14:AG14)</f>
        <v>0</v>
      </c>
      <c r="AJ14" s="51"/>
      <c r="AK14" s="128">
        <f t="shared" si="34"/>
        <v>36404</v>
      </c>
      <c r="AL14" s="43">
        <f t="shared" si="15"/>
        <v>0</v>
      </c>
      <c r="AM14" s="43">
        <f t="shared" si="15"/>
        <v>0</v>
      </c>
      <c r="AN14" s="43">
        <f t="shared" si="15"/>
        <v>0</v>
      </c>
      <c r="AO14" s="43">
        <f t="shared" si="15"/>
        <v>0</v>
      </c>
      <c r="AP14" s="44">
        <f t="shared" si="15"/>
        <v>0</v>
      </c>
      <c r="AQ14" s="44">
        <f t="shared" si="15"/>
        <v>0</v>
      </c>
      <c r="AR14" s="128">
        <f t="shared" si="35"/>
        <v>36404</v>
      </c>
      <c r="AS14" s="44">
        <f t="shared" ref="AS14:AS77" si="39">SUM(AL14:AQ14)</f>
        <v>0</v>
      </c>
      <c r="AT14" s="51"/>
      <c r="AU14" s="51"/>
      <c r="AV14" s="51"/>
      <c r="AW14" s="51"/>
      <c r="AX14" s="51"/>
      <c r="AY14" s="51"/>
      <c r="AZ14" s="51"/>
      <c r="BA14" s="51"/>
      <c r="BB14" s="142">
        <f t="shared" ref="BB14:BB41" si="40">G14</f>
        <v>36678</v>
      </c>
      <c r="BC14" s="238">
        <f>_xll.xSPRDOPT((VLOOKUP(G14,NGPrices,2,FALSE)+HLOOKUP(D14,Prices,VLOOKUP(G14,move_down,2,FALSE),FALSE)),VLOOKUP(G14,NGPrices,2,FALSE),I14,VLOOKUP(G14,NGPREVPRICES,4,FALSE),HLOOKUP(D14,PREVVOLS,VLOOKUP(G14,MOVE_DOWN2,2,FALSE),FALSE),VLOOKUP(G14,NGPREVPRICES,3,FALSE),HLOOKUP(D14,Correllate,VLOOKUP(G14,CorMove,2,FALSE),FALSE),Q14-$BC$3,R14,$BC$5)*H14-BI14</f>
        <v>2342.5724319391638</v>
      </c>
      <c r="BD14" s="238">
        <f>_xll.xSPRDOPT((VLOOKUP(G14,NGPREVPRICES,2,FALSE)+HLOOKUP(D14,PREVCURVES,VLOOKUP(G14,MOVE_DOWN2,2,FALSE),FALSE)),VLOOKUP(G14,NGPREVPRICES,2,FALSE),BJ14,VLOOKUP(G14,NGPrices,4,FALSE),HLOOKUP(D14,PREVVOLS,VLOOKUP(G14,MOVE_DOWN2,2,FALSE),FALSE),VLOOKUP(G14,NGPREVPRICES,3,FALSE),HLOOKUP(D14,Correllate,VLOOKUP(G14,CorMove,2,FALSE),FALSE),Q14-$BC$3,R14,$BI$5)*H14-BI14</f>
        <v>-1.7034613020769029E-2</v>
      </c>
      <c r="BE14" s="10">
        <f t="shared" ref="BE14:BE41" si="41">(BI14/VLOOKUP(BB14,discount,3,FALSE))-(BI14/VLOOKUP(BB14,discount,2,FALSE))</f>
        <v>-0.91518799304503773</v>
      </c>
      <c r="BF14" s="238">
        <f>_xll.xSPRDOPT((VLOOKUP(G14,NGPREVPRICES,2,FALSE)+HLOOKUP(D14,PREVCURVES,VLOOKUP(G14,MOVE_DOWN2,2,FALSE),FALSE)),VLOOKUP(G14,NGPREVPRICES,2,FALSE),BJ14,VLOOKUP(G14,NGPREVPRICES,4,FALSE),HLOOKUP(D14,VOLS,VLOOKUP(G14,move_down,2,FALSE),FALSE),VLOOKUP(G14,NGPrices,3,FALSE),HLOOKUP(D14,Correllate,VLOOKUP(G14,CorMove,2,FALSE),FALSE),Q14-$BC$3,R14,$BI$5)*H14-BI14</f>
        <v>306.07671451969782</v>
      </c>
      <c r="BG14" s="238">
        <f>_xll.xSPRDOPT((VLOOKUP(G14,NGPREVPRICES,2,FALSE)+HLOOKUP(D14,PREVCURVES,VLOOKUP(G14,MOVE_DOWN2,2,FALSE),FALSE)),VLOOKUP(G14,NGPREVPRICES,2,FALSE),BJ14,VLOOKUP(G14,NGPREVPRICES,4,FALSE),HLOOKUP(D14,PREVVOLS,VLOOKUP(G14,MOVE_DOWN2,2,FALSE),FALSE),VLOOKUP(G14,NGPREVPRICES,3,FALSE),HLOOKUP(D14,Correllate,VLOOKUP(G14,CorMove,2,FALSE),FALSE),Q14-$C$3,R14,$BI$5)*H14-BI14</f>
        <v>-377.68305742243865</v>
      </c>
      <c r="BH14" s="238">
        <f t="shared" ref="BH14:BH41" si="42">SUM(BC14:BG14)</f>
        <v>2270.0338664303572</v>
      </c>
      <c r="BI14" s="238">
        <f>_xll.xSPRDOPT((VLOOKUP(G14,NGPREVPRICES,2,FALSE)+HLOOKUP(D14,PREVCURVES,VLOOKUP(G14,MOVE_DOWN2,2,FALSE),FALSE)),VLOOKUP(G14,NGPREVPRICES,2,FALSE),BJ14,VLOOKUP(G14,NGPREVPRICES,4,FALSE),HLOOKUP(D14,PREVVOLS,VLOOKUP(G14,MOVE_DOWN2,2,FALSE),FALSE),VLOOKUP(G14,NGPREVPRICES,3,FALSE),HLOOKUP(D14,Correllate,VLOOKUP(G14,CorMove,2,FALSE),FALSE),Q14-$BC$3,R14,$BI$5)*H14</f>
        <v>5346.3290341974362</v>
      </c>
      <c r="BJ14" s="239">
        <f t="shared" ref="BJ14:BJ41" si="43">I14</f>
        <v>-0.4</v>
      </c>
      <c r="BK14" s="238"/>
      <c r="BL14" t="str">
        <f t="shared" ref="BL14:BL41" si="44">CONCATENATE(BB14,$BC$6)</f>
        <v>36678Curve Shift/Gamma</v>
      </c>
      <c r="BM14" t="str">
        <f t="shared" si="22"/>
        <v>36678Rho</v>
      </c>
      <c r="BN14" t="str">
        <f t="shared" si="23"/>
        <v>36678Drift</v>
      </c>
      <c r="BO14" t="str">
        <f t="shared" si="24"/>
        <v>36678Vega</v>
      </c>
      <c r="BP14" t="str">
        <f t="shared" si="25"/>
        <v>36678Theta</v>
      </c>
      <c r="BQ14" s="398">
        <f t="shared" si="36"/>
        <v>36770</v>
      </c>
      <c r="BR14" s="399">
        <f t="shared" si="26"/>
        <v>11896.383829824137</v>
      </c>
      <c r="BS14" s="243">
        <f t="shared" si="27"/>
        <v>0.22687843548919773</v>
      </c>
      <c r="BT14" s="243">
        <f t="shared" si="28"/>
        <v>-24.446930219108253</v>
      </c>
      <c r="BU14" s="243">
        <f t="shared" si="29"/>
        <v>3517.9873508537239</v>
      </c>
      <c r="BV14" s="253">
        <f t="shared" si="30"/>
        <v>-1559.2412078133093</v>
      </c>
      <c r="BW14" s="244">
        <f t="shared" si="37"/>
        <v>13830.909921080933</v>
      </c>
    </row>
    <row r="15" spans="1:75" ht="12" customHeight="1" x14ac:dyDescent="0.25">
      <c r="A15" s="395" t="s">
        <v>270</v>
      </c>
      <c r="B15" t="s">
        <v>253</v>
      </c>
      <c r="C15" s="7" t="s">
        <v>269</v>
      </c>
      <c r="D15" s="4" t="s">
        <v>10</v>
      </c>
      <c r="E15" s="4" t="s">
        <v>20</v>
      </c>
      <c r="F15" s="5" t="s">
        <v>21</v>
      </c>
      <c r="G15" s="5">
        <v>36678</v>
      </c>
      <c r="H15" s="130">
        <v>600000</v>
      </c>
      <c r="I15" s="4">
        <v>0.16</v>
      </c>
      <c r="J15" s="53">
        <f t="shared" si="1"/>
        <v>3.1720000000000002</v>
      </c>
      <c r="K15" s="7">
        <f t="shared" si="2"/>
        <v>0.16750000000000001</v>
      </c>
      <c r="L15" s="4">
        <f t="shared" si="3"/>
        <v>3.3395000000000001</v>
      </c>
      <c r="M15" s="159">
        <f t="shared" si="4"/>
        <v>6.3039999833066004E-2</v>
      </c>
      <c r="N15" s="4">
        <f t="shared" si="5"/>
        <v>0.38250000000000001</v>
      </c>
      <c r="O15" s="4">
        <f t="shared" si="6"/>
        <v>0.375</v>
      </c>
      <c r="P15" s="9">
        <f t="shared" ref="P15:P53" si="45">HLOOKUP(D15,Correllate,VLOOKUP(G15,CorMove,2,FALSE),FALSE)</f>
        <v>0.995</v>
      </c>
      <c r="Q15" s="5">
        <f t="shared" si="8"/>
        <v>36676</v>
      </c>
      <c r="R15" s="4">
        <f t="shared" si="9"/>
        <v>1</v>
      </c>
      <c r="S15" s="160">
        <f>_xll.xSPRDOPT($L15,$J15,$I15,$M15,$O15,$N15,$P15,$Q15-$C$3,$R15,0)</f>
        <v>2.1449623304051958E-2</v>
      </c>
      <c r="T15" s="161">
        <f>_xll.xSPRDOPT($L15,$J15,$I15,$M15,$O15,$N15,$P15,$Q15-$C$3,$R15,1)*H15</f>
        <v>339916.54298290832</v>
      </c>
      <c r="U15" s="162">
        <f t="shared" ref="U15:U53" si="46">S15*H15</f>
        <v>12869.773982431176</v>
      </c>
      <c r="V15" s="161">
        <f>_xll.xSPRDOPT($L15,$J15,$I15,$M15,$O15,$N15,$P15,$Q15-$C$3,$R15,2)*H15</f>
        <v>-337171.05083902791</v>
      </c>
      <c r="W15" s="161">
        <f t="shared" ref="W15:W53" si="47">+V15+T15</f>
        <v>2745.4921438804013</v>
      </c>
      <c r="X15" s="51" t="str">
        <f t="shared" si="12"/>
        <v>36678IF-CGT/APPALAC</v>
      </c>
      <c r="Y15" s="431">
        <f t="shared" si="31"/>
        <v>60</v>
      </c>
      <c r="AA15" s="128">
        <f t="shared" si="32"/>
        <v>36434</v>
      </c>
      <c r="AB15" s="43">
        <f t="shared" si="13"/>
        <v>0</v>
      </c>
      <c r="AC15" s="43">
        <f t="shared" si="13"/>
        <v>0</v>
      </c>
      <c r="AD15" s="43">
        <f t="shared" si="13"/>
        <v>0</v>
      </c>
      <c r="AE15" s="43">
        <f t="shared" si="13"/>
        <v>0</v>
      </c>
      <c r="AF15" s="44">
        <f t="shared" si="13"/>
        <v>0</v>
      </c>
      <c r="AG15" s="44">
        <f t="shared" si="13"/>
        <v>0</v>
      </c>
      <c r="AH15" s="128">
        <f t="shared" si="33"/>
        <v>36434</v>
      </c>
      <c r="AI15" s="44">
        <f t="shared" si="38"/>
        <v>0</v>
      </c>
      <c r="AJ15" s="51"/>
      <c r="AK15" s="128">
        <f t="shared" si="34"/>
        <v>36434</v>
      </c>
      <c r="AL15" s="43">
        <f t="shared" si="15"/>
        <v>0</v>
      </c>
      <c r="AM15" s="43">
        <f t="shared" si="15"/>
        <v>0</v>
      </c>
      <c r="AN15" s="43">
        <f t="shared" si="15"/>
        <v>0</v>
      </c>
      <c r="AO15" s="43">
        <f t="shared" si="15"/>
        <v>0</v>
      </c>
      <c r="AP15" s="44">
        <f t="shared" si="15"/>
        <v>0</v>
      </c>
      <c r="AQ15" s="44">
        <f t="shared" si="15"/>
        <v>0</v>
      </c>
      <c r="AR15" s="128">
        <f t="shared" si="35"/>
        <v>36434</v>
      </c>
      <c r="AS15" s="44">
        <f t="shared" si="39"/>
        <v>0</v>
      </c>
      <c r="AT15" s="51"/>
      <c r="AU15" s="51"/>
      <c r="AV15" s="51"/>
      <c r="AW15" s="51"/>
      <c r="AX15" s="51"/>
      <c r="AY15" s="51"/>
      <c r="AZ15" s="51"/>
      <c r="BA15" s="51"/>
      <c r="BB15" s="142">
        <f t="shared" si="40"/>
        <v>36678</v>
      </c>
      <c r="BC15" s="238">
        <f>_xll.xSPRDOPT((VLOOKUP(G15,NGPrices,2,FALSE)+HLOOKUP(D15,Prices,VLOOKUP(G15,move_down,2,FALSE),FALSE)),VLOOKUP(G15,NGPrices,2,FALSE),I15,VLOOKUP(G15,NGPREVPRICES,4,FALSE),HLOOKUP(D15,PREVVOLS,VLOOKUP(G15,MOVE_DOWN2,2,FALSE),FALSE),VLOOKUP(G15,NGPREVPRICES,3,FALSE),HLOOKUP(D15,Correllate,VLOOKUP(G15,CorMove,2,FALSE),FALSE),Q15-$BC$3,R15,$BC$5)*H15-BI15</f>
        <v>228.79939685091813</v>
      </c>
      <c r="BD15" s="238">
        <f>_xll.xSPRDOPT((VLOOKUP(G15,NGPREVPRICES,2,FALSE)+HLOOKUP(D15,PREVCURVES,VLOOKUP(G15,MOVE_DOWN2,2,FALSE),FALSE)),VLOOKUP(G15,NGPREVPRICES,2,FALSE),BJ15,VLOOKUP(G15,NGPrices,4,FALSE),HLOOKUP(D15,PREVVOLS,VLOOKUP(G15,MOVE_DOWN2,2,FALSE),FALSE),VLOOKUP(G15,NGPREVPRICES,3,FALSE),HLOOKUP(D15,Correllate,VLOOKUP(G15,CorMove,2,FALSE),FALSE),Q15-$BC$3,R15,$BI$5)*H15-BI15</f>
        <v>-4.043831590024638E-2</v>
      </c>
      <c r="BE15" s="10">
        <f t="shared" si="41"/>
        <v>-2.1725566131008236</v>
      </c>
      <c r="BF15" s="238">
        <f>_xll.xSPRDOPT((VLOOKUP(G15,NGPREVPRICES,2,FALSE)+HLOOKUP(D15,PREVCURVES,VLOOKUP(G15,MOVE_DOWN2,2,FALSE),FALSE)),VLOOKUP(G15,NGPREVPRICES,2,FALSE),BJ15,VLOOKUP(G15,NGPREVPRICES,4,FALSE),HLOOKUP(D15,VOLS,VLOOKUP(G15,move_down,2,FALSE),FALSE),VLOOKUP(G15,NGPrices,3,FALSE),HLOOKUP(D15,Correllate,VLOOKUP(G15,CorMove,2,FALSE),FALSE),Q15-$BC$3,R15,$BI$5)*H15-BI15</f>
        <v>291.57997493983203</v>
      </c>
      <c r="BG15" s="238">
        <f>_xll.xSPRDOPT((VLOOKUP(G15,NGPREVPRICES,2,FALSE)+HLOOKUP(D15,PREVCURVES,VLOOKUP(G15,MOVE_DOWN2,2,FALSE),FALSE)),VLOOKUP(G15,NGPREVPRICES,2,FALSE),BJ15,VLOOKUP(G15,NGPREVPRICES,4,FALSE),HLOOKUP(D15,PREVVOLS,VLOOKUP(G15,MOVE_DOWN2,2,FALSE),FALSE),VLOOKUP(G15,NGPREVPRICES,3,FALSE),HLOOKUP(D15,Correllate,VLOOKUP(G15,CorMove,2,FALSE),FALSE),Q15-$C$3,R15,$BI$5)*H15-BI15</f>
        <v>-330.60669116986173</v>
      </c>
      <c r="BH15" s="238">
        <f t="shared" si="42"/>
        <v>187.55968569188735</v>
      </c>
      <c r="BI15" s="238">
        <f>_xll.xSPRDOPT((VLOOKUP(G15,NGPREVPRICES,2,FALSE)+HLOOKUP(D15,PREVCURVES,VLOOKUP(G15,MOVE_DOWN2,2,FALSE),FALSE)),VLOOKUP(G15,NGPREVPRICES,2,FALSE),BJ15,VLOOKUP(G15,NGPREVPRICES,4,FALSE),HLOOKUP(D15,PREVVOLS,VLOOKUP(G15,MOVE_DOWN2,2,FALSE),FALSE),VLOOKUP(G15,NGPREVPRICES,3,FALSE),HLOOKUP(D15,Correllate,VLOOKUP(G15,CorMove,2,FALSE),FALSE),Q15-$BC$3,R15,$BI$5)*H15</f>
        <v>12691.60280436908</v>
      </c>
      <c r="BJ15" s="239">
        <f t="shared" si="43"/>
        <v>0.16</v>
      </c>
      <c r="BK15" s="238"/>
      <c r="BL15" t="str">
        <f t="shared" si="44"/>
        <v>36678Curve Shift/Gamma</v>
      </c>
      <c r="BM15" t="str">
        <f t="shared" si="22"/>
        <v>36678Rho</v>
      </c>
      <c r="BN15" t="str">
        <f t="shared" si="23"/>
        <v>36678Drift</v>
      </c>
      <c r="BO15" t="str">
        <f t="shared" si="24"/>
        <v>36678Vega</v>
      </c>
      <c r="BP15" t="str">
        <f t="shared" si="25"/>
        <v>36678Theta</v>
      </c>
      <c r="BQ15" s="398">
        <f t="shared" si="36"/>
        <v>36800</v>
      </c>
      <c r="BR15" s="399">
        <f t="shared" si="26"/>
        <v>11015.663103307703</v>
      </c>
      <c r="BS15" s="243">
        <f t="shared" si="27"/>
        <v>2.7376570147771417</v>
      </c>
      <c r="BT15" s="243">
        <f t="shared" si="28"/>
        <v>-30.29059426040476</v>
      </c>
      <c r="BU15" s="243">
        <f t="shared" si="29"/>
        <v>4007.6627468296447</v>
      </c>
      <c r="BV15" s="253">
        <f t="shared" si="30"/>
        <v>-1456.3518816228898</v>
      </c>
      <c r="BW15" s="244">
        <f t="shared" si="37"/>
        <v>13539.42103126883</v>
      </c>
    </row>
    <row r="16" spans="1:75" ht="12" customHeight="1" x14ac:dyDescent="0.25">
      <c r="A16" s="395" t="s">
        <v>270</v>
      </c>
      <c r="B16" s="7" t="s">
        <v>253</v>
      </c>
      <c r="C16" s="7" t="s">
        <v>93</v>
      </c>
      <c r="D16" s="4" t="s">
        <v>7</v>
      </c>
      <c r="E16" s="4" t="s">
        <v>20</v>
      </c>
      <c r="F16" s="5" t="s">
        <v>21</v>
      </c>
      <c r="G16" s="5">
        <v>36678</v>
      </c>
      <c r="H16" s="130">
        <v>500000</v>
      </c>
      <c r="I16" s="4">
        <v>0.3</v>
      </c>
      <c r="J16" s="53">
        <f t="shared" si="1"/>
        <v>3.1720000000000002</v>
      </c>
      <c r="K16" s="7">
        <f t="shared" si="2"/>
        <v>0.3075</v>
      </c>
      <c r="L16" s="4">
        <f t="shared" si="3"/>
        <v>3.4795000000000003</v>
      </c>
      <c r="M16" s="159">
        <f t="shared" si="4"/>
        <v>6.3039999833066004E-2</v>
      </c>
      <c r="N16" s="4">
        <f t="shared" si="5"/>
        <v>0.38250000000000001</v>
      </c>
      <c r="O16" s="4">
        <f t="shared" si="6"/>
        <v>0.375</v>
      </c>
      <c r="P16" s="9">
        <f t="shared" si="45"/>
        <v>0.99</v>
      </c>
      <c r="Q16" s="5">
        <f t="shared" si="8"/>
        <v>36676</v>
      </c>
      <c r="R16" s="4">
        <f t="shared" si="9"/>
        <v>1</v>
      </c>
      <c r="S16" s="160">
        <f>_xll.xSPRDOPT($L16,$J16,$I16,$M16,$O16,$N16,$P16,$Q16-$C$3,$R16,0)</f>
        <v>3.0940961472274917E-2</v>
      </c>
      <c r="T16" s="161">
        <f>_xll.xSPRDOPT($L16,$J16,$I16,$M16,$O16,$N16,$P16,$Q16-$C$3,$R16,1)*H16</f>
        <v>272786.20715747558</v>
      </c>
      <c r="U16" s="162">
        <f t="shared" si="46"/>
        <v>15470.480736137459</v>
      </c>
      <c r="V16" s="161">
        <f>_xll.xSPRDOPT($L16,$J16,$I16,$M16,$O16,$N16,$P16,$Q16-$C$3,$R16,2)*H16</f>
        <v>-269778.68391250208</v>
      </c>
      <c r="W16" s="161">
        <f t="shared" si="47"/>
        <v>3007.5232449735049</v>
      </c>
      <c r="X16" s="51" t="str">
        <f t="shared" si="12"/>
        <v>36678IF-TRANSCO/Z6</v>
      </c>
      <c r="Y16" s="431">
        <f t="shared" si="31"/>
        <v>50</v>
      </c>
      <c r="Z16" s="51"/>
      <c r="AA16" s="128">
        <f t="shared" si="32"/>
        <v>36465</v>
      </c>
      <c r="AB16" s="43">
        <f t="shared" si="13"/>
        <v>0</v>
      </c>
      <c r="AC16" s="43">
        <f t="shared" si="13"/>
        <v>0</v>
      </c>
      <c r="AD16" s="43">
        <f t="shared" si="13"/>
        <v>0</v>
      </c>
      <c r="AE16" s="43">
        <f t="shared" si="13"/>
        <v>0</v>
      </c>
      <c r="AF16" s="44">
        <f t="shared" si="13"/>
        <v>0</v>
      </c>
      <c r="AG16" s="44">
        <f t="shared" si="13"/>
        <v>0</v>
      </c>
      <c r="AH16" s="128">
        <f t="shared" si="33"/>
        <v>36465</v>
      </c>
      <c r="AI16" s="44">
        <f t="shared" si="38"/>
        <v>0</v>
      </c>
      <c r="AJ16" s="51"/>
      <c r="AK16" s="128">
        <f t="shared" si="34"/>
        <v>36465</v>
      </c>
      <c r="AL16" s="43">
        <f t="shared" si="15"/>
        <v>0</v>
      </c>
      <c r="AM16" s="43">
        <f t="shared" si="15"/>
        <v>0</v>
      </c>
      <c r="AN16" s="43">
        <f t="shared" si="15"/>
        <v>0</v>
      </c>
      <c r="AO16" s="43">
        <f t="shared" si="15"/>
        <v>0</v>
      </c>
      <c r="AP16" s="44">
        <f t="shared" si="15"/>
        <v>0</v>
      </c>
      <c r="AQ16" s="44">
        <f t="shared" si="15"/>
        <v>0</v>
      </c>
      <c r="AR16" s="128">
        <f t="shared" si="35"/>
        <v>36465</v>
      </c>
      <c r="AS16" s="44">
        <f t="shared" si="39"/>
        <v>0</v>
      </c>
      <c r="AT16" s="51"/>
      <c r="AU16" s="51"/>
      <c r="AV16" s="51"/>
      <c r="AW16" s="51"/>
      <c r="AX16" s="51"/>
      <c r="AY16" s="51"/>
      <c r="AZ16" s="51"/>
      <c r="BA16" s="51"/>
      <c r="BB16" s="142">
        <f t="shared" si="40"/>
        <v>36678</v>
      </c>
      <c r="BC16" s="238">
        <f>_xll.xSPRDOPT((VLOOKUP(G16,NGPrices,2,FALSE)+HLOOKUP(D16,Prices,VLOOKUP(G16,move_down,2,FALSE),FALSE)),VLOOKUP(G16,NGPrices,2,FALSE),I16,VLOOKUP(G16,NGPREVPRICES,4,FALSE),HLOOKUP(D16,PREVVOLS,VLOOKUP(G16,MOVE_DOWN2,2,FALSE),FALSE),VLOOKUP(G16,NGPREVPRICES,3,FALSE),HLOOKUP(D16,Correllate,VLOOKUP(G16,CorMove,2,FALSE),FALSE),Q16-$BC$3,R16,$BC$5)*H16-BI16</f>
        <v>4579.14215152406</v>
      </c>
      <c r="BD16" s="238">
        <f>_xll.xSPRDOPT((VLOOKUP(G16,NGPREVPRICES,2,FALSE)+HLOOKUP(D16,PREVCURVES,VLOOKUP(G16,MOVE_DOWN2,2,FALSE),FALSE)),VLOOKUP(G16,NGPREVPRICES,2,FALSE),BJ16,VLOOKUP(G16,NGPrices,4,FALSE),HLOOKUP(D16,PREVVOLS,VLOOKUP(G16,MOVE_DOWN2,2,FALSE),FALSE),VLOOKUP(G16,NGPREVPRICES,3,FALSE),HLOOKUP(D16,Correllate,VLOOKUP(G16,CorMove,2,FALSE),FALSE),Q16-$BC$3,R16,$BI$5)*H16-BI16</f>
        <v>-3.4911360231490107E-2</v>
      </c>
      <c r="BE16" s="10">
        <f t="shared" si="41"/>
        <v>-1.8756198139981279</v>
      </c>
      <c r="BF16" s="238">
        <f>_xll.xSPRDOPT((VLOOKUP(G16,NGPREVPRICES,2,FALSE)+HLOOKUP(D16,PREVCURVES,VLOOKUP(G16,MOVE_DOWN2,2,FALSE),FALSE)),VLOOKUP(G16,NGPREVPRICES,2,FALSE),BJ16,VLOOKUP(G16,NGPREVPRICES,4,FALSE),HLOOKUP(D16,VOLS,VLOOKUP(G16,move_down,2,FALSE),FALSE),VLOOKUP(G16,NGPrices,3,FALSE),HLOOKUP(D16,Correllate,VLOOKUP(G16,CorMove,2,FALSE),FALSE),Q16-$BC$3,R16,$BI$5)*H16-BI16</f>
        <v>377.76018989920522</v>
      </c>
      <c r="BG16" s="238">
        <f>_xll.xSPRDOPT((VLOOKUP(G16,NGPREVPRICES,2,FALSE)+HLOOKUP(D16,PREVCURVES,VLOOKUP(G16,MOVE_DOWN2,2,FALSE),FALSE)),VLOOKUP(G16,NGPREVPRICES,2,FALSE),BJ16,VLOOKUP(G16,NGPREVPRICES,4,FALSE),HLOOKUP(D16,PREVVOLS,VLOOKUP(G16,MOVE_DOWN2,2,FALSE),FALSE),VLOOKUP(G16,NGPREVPRICES,3,FALSE),HLOOKUP(D16,Correllate,VLOOKUP(G16,CorMove,2,FALSE),FALSE),Q16-$C$3,R16,$BI$5)*H16-BI16</f>
        <v>-430.8358094580235</v>
      </c>
      <c r="BH16" s="238">
        <f t="shared" si="42"/>
        <v>4524.156000791012</v>
      </c>
      <c r="BI16" s="238">
        <f>_xll.xSPRDOPT((VLOOKUP(G16,NGPREVPRICES,2,FALSE)+HLOOKUP(D16,PREVCURVES,VLOOKUP(G16,MOVE_DOWN2,2,FALSE),FALSE)),VLOOKUP(G16,NGPREVPRICES,2,FALSE),BJ16,VLOOKUP(G16,NGPREVPRICES,4,FALSE),HLOOKUP(D16,PREVVOLS,VLOOKUP(G16,MOVE_DOWN2,2,FALSE),FALSE),VLOOKUP(G16,NGPREVPRICES,3,FALSE),HLOOKUP(D16,Correllate,VLOOKUP(G16,CorMove,2,FALSE),FALSE),Q16-$BC$3,R16,$BI$5)*H16</f>
        <v>10956.962662208001</v>
      </c>
      <c r="BJ16" s="239">
        <f t="shared" si="43"/>
        <v>0.3</v>
      </c>
      <c r="BK16" s="238"/>
      <c r="BL16" t="str">
        <f t="shared" si="44"/>
        <v>36678Curve Shift/Gamma</v>
      </c>
      <c r="BM16" t="str">
        <f t="shared" si="22"/>
        <v>36678Rho</v>
      </c>
      <c r="BN16" t="str">
        <f t="shared" si="23"/>
        <v>36678Drift</v>
      </c>
      <c r="BO16" t="str">
        <f t="shared" si="24"/>
        <v>36678Vega</v>
      </c>
      <c r="BP16" t="str">
        <f t="shared" si="25"/>
        <v>36678Theta</v>
      </c>
      <c r="BQ16" s="398">
        <f t="shared" si="36"/>
        <v>36831</v>
      </c>
      <c r="BR16" s="399">
        <f t="shared" si="26"/>
        <v>7389.0635125311292</v>
      </c>
      <c r="BS16" s="243">
        <f t="shared" si="27"/>
        <v>11.794578471326531</v>
      </c>
      <c r="BT16" s="243">
        <f t="shared" si="28"/>
        <v>-54.973790624560934</v>
      </c>
      <c r="BU16" s="243">
        <f t="shared" si="29"/>
        <v>5866.4980265993709</v>
      </c>
      <c r="BV16" s="253">
        <f t="shared" si="30"/>
        <v>-3587.0430045179837</v>
      </c>
      <c r="BW16" s="244">
        <f t="shared" si="37"/>
        <v>9625.3393224592819</v>
      </c>
    </row>
    <row r="17" spans="1:75" ht="12" customHeight="1" x14ac:dyDescent="0.25">
      <c r="A17" s="395" t="s">
        <v>282</v>
      </c>
      <c r="B17" s="156" t="s">
        <v>253</v>
      </c>
      <c r="C17" s="156" t="s">
        <v>112</v>
      </c>
      <c r="D17" s="4" t="s">
        <v>7</v>
      </c>
      <c r="E17" s="156" t="s">
        <v>20</v>
      </c>
      <c r="F17" s="156" t="s">
        <v>21</v>
      </c>
      <c r="G17" s="366">
        <v>36708</v>
      </c>
      <c r="H17" s="157">
        <v>300000</v>
      </c>
      <c r="I17" s="141">
        <v>0.25</v>
      </c>
      <c r="J17" s="53">
        <f t="shared" si="1"/>
        <v>3.181</v>
      </c>
      <c r="K17" s="7">
        <f t="shared" si="2"/>
        <v>0.34499999999999997</v>
      </c>
      <c r="L17" s="4">
        <f t="shared" si="3"/>
        <v>3.5259999999999998</v>
      </c>
      <c r="M17" s="159">
        <f t="shared" si="4"/>
        <v>6.3695649345076003E-2</v>
      </c>
      <c r="N17" s="4">
        <f t="shared" si="5"/>
        <v>0.39500000000000002</v>
      </c>
      <c r="O17" s="4">
        <f t="shared" si="6"/>
        <v>0.38700000000000001</v>
      </c>
      <c r="P17" s="9">
        <f t="shared" si="45"/>
        <v>0.99</v>
      </c>
      <c r="Q17" s="5">
        <f t="shared" si="8"/>
        <v>36706</v>
      </c>
      <c r="R17" s="4">
        <f t="shared" si="9"/>
        <v>1</v>
      </c>
      <c r="S17" s="160">
        <f>_xll.xSPRDOPT($L17,$J17,$I17,$M17,$O17,$N17,$P17,$Q17-$C$3,$R17,0)</f>
        <v>0.10031088848140139</v>
      </c>
      <c r="T17" s="161">
        <f>_xll.xSPRDOPT($L17,$J17,$I17,$M17,$O17,$N17,$P17,$Q17-$C$3,$R17,1)*H17</f>
        <v>254733.50268676673</v>
      </c>
      <c r="U17" s="162">
        <f t="shared" si="46"/>
        <v>30093.266544420418</v>
      </c>
      <c r="V17" s="161">
        <f>_xll.xSPRDOPT($L17,$J17,$I17,$M17,$O17,$N17,$P17,$Q17-$C$3,$R17,2)*H17</f>
        <v>-253305.76873917776</v>
      </c>
      <c r="W17" s="161">
        <f t="shared" si="47"/>
        <v>1427.7339475889748</v>
      </c>
      <c r="X17" s="51" t="str">
        <f t="shared" si="12"/>
        <v>36708IF-TRANSCO/Z6</v>
      </c>
      <c r="Y17" s="431">
        <f t="shared" si="31"/>
        <v>30</v>
      </c>
      <c r="Z17" s="51"/>
      <c r="AA17" s="128">
        <f t="shared" si="32"/>
        <v>36495</v>
      </c>
      <c r="AB17" s="43">
        <f t="shared" ref="AB17:AG26" si="48">SUMIF($X:$X,CONCATENATE($AA17,AB$6),$T:$T)/10000</f>
        <v>0</v>
      </c>
      <c r="AC17" s="43">
        <f t="shared" si="48"/>
        <v>0</v>
      </c>
      <c r="AD17" s="43">
        <f t="shared" si="48"/>
        <v>0</v>
      </c>
      <c r="AE17" s="43">
        <f t="shared" si="48"/>
        <v>0</v>
      </c>
      <c r="AF17" s="44">
        <f t="shared" si="48"/>
        <v>0</v>
      </c>
      <c r="AG17" s="44">
        <f t="shared" si="48"/>
        <v>0</v>
      </c>
      <c r="AH17" s="128">
        <f t="shared" si="33"/>
        <v>36495</v>
      </c>
      <c r="AI17" s="44">
        <f t="shared" si="38"/>
        <v>0</v>
      </c>
      <c r="AJ17" s="51"/>
      <c r="AK17" s="128">
        <f t="shared" si="34"/>
        <v>36495</v>
      </c>
      <c r="AL17" s="43">
        <f t="shared" ref="AL17:AQ26" si="49">SUMIF($X:$X,CONCATENATE($AA17,AL$6),$W:$W)</f>
        <v>0</v>
      </c>
      <c r="AM17" s="43">
        <f t="shared" si="49"/>
        <v>0</v>
      </c>
      <c r="AN17" s="43">
        <f t="shared" si="49"/>
        <v>0</v>
      </c>
      <c r="AO17" s="43">
        <f t="shared" si="49"/>
        <v>0</v>
      </c>
      <c r="AP17" s="44">
        <f t="shared" si="49"/>
        <v>0</v>
      </c>
      <c r="AQ17" s="44">
        <f t="shared" si="49"/>
        <v>0</v>
      </c>
      <c r="AR17" s="128">
        <f t="shared" si="35"/>
        <v>36495</v>
      </c>
      <c r="AS17" s="44">
        <f t="shared" si="39"/>
        <v>0</v>
      </c>
      <c r="AT17" s="51"/>
      <c r="AU17" s="51"/>
      <c r="AV17" s="51"/>
      <c r="AW17" s="51"/>
      <c r="AX17" s="51"/>
      <c r="AY17" s="51"/>
      <c r="AZ17" s="51"/>
      <c r="BA17" s="51"/>
      <c r="BB17" s="142">
        <f t="shared" si="40"/>
        <v>36708</v>
      </c>
      <c r="BC17" s="238">
        <f>_xll.xSPRDOPT((VLOOKUP(G17,NGPrices,2,FALSE)+HLOOKUP(D17,Prices,VLOOKUP(G17,move_down,2,FALSE),FALSE)),VLOOKUP(G17,NGPrices,2,FALSE),I17,VLOOKUP(G17,NGPREVPRICES,4,FALSE),HLOOKUP(D17,PREVVOLS,VLOOKUP(G17,MOVE_DOWN2,2,FALSE),FALSE),VLOOKUP(G17,NGPREVPRICES,3,FALSE),HLOOKUP(D17,Correllate,VLOOKUP(G17,CorMove,2,FALSE),FALSE),Q17-$BC$3,R17,$BC$5)*H17-BI17</f>
        <v>3869.8465013366585</v>
      </c>
      <c r="BD17" s="238">
        <f>_xll.xSPRDOPT((VLOOKUP(G17,NGPREVPRICES,2,FALSE)+HLOOKUP(D17,PREVCURVES,VLOOKUP(G17,MOVE_DOWN2,2,FALSE),FALSE)),VLOOKUP(G17,NGPREVPRICES,2,FALSE),BJ17,VLOOKUP(G17,NGPrices,4,FALSE),HLOOKUP(D17,PREVVOLS,VLOOKUP(G17,MOVE_DOWN2,2,FALSE),FALSE),VLOOKUP(G17,NGPREVPRICES,3,FALSE),HLOOKUP(D17,Correllate,VLOOKUP(G17,CorMove,2,FALSE),FALSE),Q17-$BC$3,R17,$BI$5)*H17-BI17</f>
        <v>-0.24930249708631891</v>
      </c>
      <c r="BE17" s="10">
        <f t="shared" si="41"/>
        <v>-4.5471615838578145</v>
      </c>
      <c r="BF17" s="238">
        <f>_xll.xSPRDOPT((VLOOKUP(G17,NGPREVPRICES,2,FALSE)+HLOOKUP(D17,PREVCURVES,VLOOKUP(G17,MOVE_DOWN2,2,FALSE),FALSE)),VLOOKUP(G17,NGPREVPRICES,2,FALSE),BJ17,VLOOKUP(G17,NGPREVPRICES,4,FALSE),HLOOKUP(D17,VOLS,VLOOKUP(G17,move_down,2,FALSE),FALSE),VLOOKUP(G17,NGPrices,3,FALSE),HLOOKUP(D17,Correllate,VLOOKUP(G17,CorMove,2,FALSE),FALSE),Q17-$BC$3,R17,$BI$5)*H17-BI17</f>
        <v>188.08462754450011</v>
      </c>
      <c r="BG17" s="238">
        <f>_xll.xSPRDOPT((VLOOKUP(G17,NGPREVPRICES,2,FALSE)+HLOOKUP(D17,PREVCURVES,VLOOKUP(G17,MOVE_DOWN2,2,FALSE),FALSE)),VLOOKUP(G17,NGPREVPRICES,2,FALSE),BJ17,VLOOKUP(G17,NGPREVPRICES,4,FALSE),HLOOKUP(D17,PREVVOLS,VLOOKUP(G17,MOVE_DOWN2,2,FALSE),FALSE),VLOOKUP(G17,NGPREVPRICES,3,FALSE),HLOOKUP(D17,Correllate,VLOOKUP(G17,CorMove,2,FALSE),FALSE),Q17-$C$3,R17,$BI$5)*H17-BI17</f>
        <v>-119.2906634437968</v>
      </c>
      <c r="BH17" s="238">
        <f t="shared" si="42"/>
        <v>3933.8440013564177</v>
      </c>
      <c r="BI17" s="238">
        <f>_xll.xSPRDOPT((VLOOKUP(G17,NGPREVPRICES,2,FALSE)+HLOOKUP(D17,PREVCURVES,VLOOKUP(G17,MOVE_DOWN2,2,FALSE),FALSE)),VLOOKUP(G17,NGPREVPRICES,2,FALSE),BJ17,VLOOKUP(G17,NGPREVPRICES,4,FALSE),HLOOKUP(D17,PREVVOLS,VLOOKUP(G17,MOVE_DOWN2,2,FALSE),FALSE),VLOOKUP(G17,NGPREVPRICES,3,FALSE),HLOOKUP(D17,Correllate,VLOOKUP(G17,CorMove,2,FALSE),FALSE),Q17-$BC$3,R17,$BI$5)*H17</f>
        <v>26165.497607490197</v>
      </c>
      <c r="BJ17" s="239">
        <f t="shared" si="43"/>
        <v>0.25</v>
      </c>
      <c r="BK17" s="238"/>
      <c r="BL17" t="str">
        <f t="shared" si="44"/>
        <v>36708Curve Shift/Gamma</v>
      </c>
      <c r="BM17" t="str">
        <f t="shared" si="22"/>
        <v>36708Rho</v>
      </c>
      <c r="BN17" t="str">
        <f t="shared" si="23"/>
        <v>36708Drift</v>
      </c>
      <c r="BO17" t="str">
        <f t="shared" si="24"/>
        <v>36708Vega</v>
      </c>
      <c r="BP17" t="str">
        <f t="shared" si="25"/>
        <v>36708Theta</v>
      </c>
      <c r="BQ17" s="398">
        <f t="shared" si="36"/>
        <v>36861</v>
      </c>
      <c r="BR17" s="399">
        <f t="shared" si="26"/>
        <v>-23665.448127140349</v>
      </c>
      <c r="BS17" s="243">
        <f t="shared" si="27"/>
        <v>-0.20327747511691996</v>
      </c>
      <c r="BT17" s="243">
        <f t="shared" si="28"/>
        <v>0.56011554246288142</v>
      </c>
      <c r="BU17" s="243">
        <f t="shared" si="29"/>
        <v>1153.1671423853622</v>
      </c>
      <c r="BV17" s="253">
        <f t="shared" si="30"/>
        <v>-735.74686274616761</v>
      </c>
      <c r="BW17" s="244">
        <f t="shared" si="37"/>
        <v>-23247.671009433809</v>
      </c>
    </row>
    <row r="18" spans="1:75" ht="12" customHeight="1" x14ac:dyDescent="0.25">
      <c r="A18" s="396" t="s">
        <v>273</v>
      </c>
      <c r="B18" t="s">
        <v>132</v>
      </c>
      <c r="C18" t="s">
        <v>274</v>
      </c>
      <c r="D18" s="4" t="s">
        <v>10</v>
      </c>
      <c r="E18" s="4" t="s">
        <v>20</v>
      </c>
      <c r="F18" s="5" t="s">
        <v>21</v>
      </c>
      <c r="G18" s="5">
        <v>36708</v>
      </c>
      <c r="H18" s="130">
        <v>310000</v>
      </c>
      <c r="I18">
        <v>0.16</v>
      </c>
      <c r="J18" s="53">
        <f t="shared" si="1"/>
        <v>3.181</v>
      </c>
      <c r="K18" s="7">
        <f t="shared" si="2"/>
        <v>0.17</v>
      </c>
      <c r="L18" s="4">
        <f t="shared" si="3"/>
        <v>3.351</v>
      </c>
      <c r="M18" s="159">
        <f t="shared" si="4"/>
        <v>6.3695649345076003E-2</v>
      </c>
      <c r="N18" s="4">
        <f t="shared" si="5"/>
        <v>0.39500000000000002</v>
      </c>
      <c r="O18" s="4">
        <f t="shared" si="6"/>
        <v>0.38700000000000001</v>
      </c>
      <c r="P18" s="9">
        <f t="shared" si="45"/>
        <v>0.995</v>
      </c>
      <c r="Q18" s="5">
        <f t="shared" si="8"/>
        <v>36706</v>
      </c>
      <c r="R18" s="4">
        <f t="shared" si="9"/>
        <v>1</v>
      </c>
      <c r="S18" s="160">
        <f>_xll.xSPRDOPT($L18,$J18,$I18,$M18,$O18,$N18,$P18,$Q18-$C$3,$R18,0)</f>
        <v>2.8689064383407972E-2</v>
      </c>
      <c r="T18" s="161">
        <f>_xll.xSPRDOPT($L18,$J18,$I18,$M18,$O18,$N18,$P18,$Q18-$C$3,$R18,1)*H18</f>
        <v>174817.66351384675</v>
      </c>
      <c r="U18" s="162">
        <f t="shared" si="46"/>
        <v>8893.6099588564721</v>
      </c>
      <c r="V18" s="161">
        <f>_xll.xSPRDOPT($L18,$J18,$I18,$M18,$O18,$N18,$P18,$Q18-$C$3,$R18,2)*H18</f>
        <v>-172917.01696346942</v>
      </c>
      <c r="W18" s="161">
        <f t="shared" si="47"/>
        <v>1900.6465503773361</v>
      </c>
      <c r="X18" s="51" t="str">
        <f t="shared" si="12"/>
        <v>36708IF-CGT/APPALAC</v>
      </c>
      <c r="Y18" s="431">
        <f t="shared" si="31"/>
        <v>31</v>
      </c>
      <c r="Z18" s="51"/>
      <c r="AA18" s="128">
        <f t="shared" si="32"/>
        <v>36526</v>
      </c>
      <c r="AB18" s="43">
        <f t="shared" si="48"/>
        <v>0</v>
      </c>
      <c r="AC18" s="43">
        <f t="shared" si="48"/>
        <v>0</v>
      </c>
      <c r="AD18" s="43">
        <f t="shared" si="48"/>
        <v>0</v>
      </c>
      <c r="AE18" s="43">
        <f t="shared" si="48"/>
        <v>0</v>
      </c>
      <c r="AF18" s="44">
        <f t="shared" si="48"/>
        <v>0</v>
      </c>
      <c r="AG18" s="44">
        <f t="shared" si="48"/>
        <v>0</v>
      </c>
      <c r="AH18" s="128">
        <f t="shared" si="33"/>
        <v>36526</v>
      </c>
      <c r="AI18" s="44">
        <f t="shared" si="38"/>
        <v>0</v>
      </c>
      <c r="AJ18" s="51"/>
      <c r="AK18" s="128">
        <f t="shared" si="34"/>
        <v>36526</v>
      </c>
      <c r="AL18" s="43">
        <f t="shared" si="49"/>
        <v>0</v>
      </c>
      <c r="AM18" s="43">
        <f t="shared" si="49"/>
        <v>0</v>
      </c>
      <c r="AN18" s="43">
        <f t="shared" si="49"/>
        <v>0</v>
      </c>
      <c r="AO18" s="43">
        <f t="shared" si="49"/>
        <v>0</v>
      </c>
      <c r="AP18" s="44">
        <f t="shared" si="49"/>
        <v>0</v>
      </c>
      <c r="AQ18" s="44">
        <f t="shared" si="49"/>
        <v>0</v>
      </c>
      <c r="AR18" s="128">
        <f t="shared" si="35"/>
        <v>36526</v>
      </c>
      <c r="AS18" s="44">
        <f t="shared" si="39"/>
        <v>0</v>
      </c>
      <c r="AT18" s="51"/>
      <c r="AU18" s="51"/>
      <c r="AV18" s="51"/>
      <c r="AW18" s="51"/>
      <c r="AX18" s="51"/>
      <c r="AY18" s="51"/>
      <c r="AZ18" s="51"/>
      <c r="BA18" s="51"/>
      <c r="BB18" s="142">
        <f t="shared" si="40"/>
        <v>36708</v>
      </c>
      <c r="BC18" s="238">
        <f>_xll.xSPRDOPT((VLOOKUP(G18,NGPrices,2,FALSE)+HLOOKUP(D18,Prices,VLOOKUP(G18,move_down,2,FALSE),FALSE)),VLOOKUP(G18,NGPrices,2,FALSE),I18,VLOOKUP(G18,NGPREVPRICES,4,FALSE),HLOOKUP(D18,PREVVOLS,VLOOKUP(G18,MOVE_DOWN2,2,FALSE),FALSE),VLOOKUP(G18,NGPREVPRICES,3,FALSE),HLOOKUP(D18,Correllate,VLOOKUP(G18,CorMove,2,FALSE),FALSE),Q18-$BC$3,R18,$BC$5)*H18-BI18</f>
        <v>148.83098049592081</v>
      </c>
      <c r="BD18" s="238">
        <f>_xll.xSPRDOPT((VLOOKUP(G18,NGPREVPRICES,2,FALSE)+HLOOKUP(D18,PREVCURVES,VLOOKUP(G18,MOVE_DOWN2,2,FALSE),FALSE)),VLOOKUP(G18,NGPREVPRICES,2,FALSE),BJ18,VLOOKUP(G18,NGPrices,4,FALSE),HLOOKUP(D18,PREVVOLS,VLOOKUP(G18,MOVE_DOWN2,2,FALSE),FALSE),VLOOKUP(G18,NGPREVPRICES,3,FALSE),HLOOKUP(D18,Correllate,VLOOKUP(G18,CorMove,2,FALSE),FALSE),Q18-$BC$3,R18,$BI$5)*H18-BI18</f>
        <v>-8.278702138159133E-2</v>
      </c>
      <c r="BE18" s="10">
        <f t="shared" si="41"/>
        <v>-1.5099967616642971</v>
      </c>
      <c r="BF18" s="238">
        <f>_xll.xSPRDOPT((VLOOKUP(G18,NGPREVPRICES,2,FALSE)+HLOOKUP(D18,PREVCURVES,VLOOKUP(G18,MOVE_DOWN2,2,FALSE),FALSE)),VLOOKUP(G18,NGPREVPRICES,2,FALSE),BJ18,VLOOKUP(G18,NGPREVPRICES,4,FALSE),HLOOKUP(D18,VOLS,VLOOKUP(G18,move_down,2,FALSE),FALSE),VLOOKUP(G18,NGPrices,3,FALSE),HLOOKUP(D18,Correllate,VLOOKUP(G18,CorMove,2,FALSE),FALSE),Q18-$BC$3,R18,$BI$5)*H18-BI18</f>
        <v>193.44285954837869</v>
      </c>
      <c r="BG18" s="238">
        <f>_xll.xSPRDOPT((VLOOKUP(G18,NGPREVPRICES,2,FALSE)+HLOOKUP(D18,PREVCURVES,VLOOKUP(G18,MOVE_DOWN2,2,FALSE),FALSE)),VLOOKUP(G18,NGPREVPRICES,2,FALSE),BJ18,VLOOKUP(G18,NGPREVPRICES,4,FALSE),HLOOKUP(D18,PREVVOLS,VLOOKUP(G18,MOVE_DOWN2,2,FALSE),FALSE),VLOOKUP(G18,NGPREVPRICES,3,FALSE),HLOOKUP(D18,Correllate,VLOOKUP(G18,CorMove,2,FALSE),FALSE),Q18-$C$3,R18,$BI$5)*H18-BI18</f>
        <v>-134.40545661096257</v>
      </c>
      <c r="BH18" s="238">
        <f t="shared" si="42"/>
        <v>206.27559965029104</v>
      </c>
      <c r="BI18" s="238">
        <f>_xll.xSPRDOPT((VLOOKUP(G18,NGPREVPRICES,2,FALSE)+HLOOKUP(D18,PREVCURVES,VLOOKUP(G18,MOVE_DOWN2,2,FALSE),FALSE)),VLOOKUP(G18,NGPREVPRICES,2,FALSE),BJ18,VLOOKUP(G18,NGPREVPRICES,4,FALSE),HLOOKUP(D18,PREVVOLS,VLOOKUP(G18,MOVE_DOWN2,2,FALSE),FALSE),VLOOKUP(G18,NGPREVPRICES,3,FALSE),HLOOKUP(D18,Correllate,VLOOKUP(G18,CorMove,2,FALSE),FALSE),Q18-$BC$3,R18,$BI$5)*H18</f>
        <v>8688.8965623976637</v>
      </c>
      <c r="BJ18" s="239">
        <f t="shared" si="43"/>
        <v>0.16</v>
      </c>
      <c r="BK18" s="238"/>
      <c r="BL18" t="str">
        <f t="shared" si="44"/>
        <v>36708Curve Shift/Gamma</v>
      </c>
      <c r="BM18" t="str">
        <f t="shared" si="22"/>
        <v>36708Rho</v>
      </c>
      <c r="BN18" t="str">
        <f t="shared" si="23"/>
        <v>36708Drift</v>
      </c>
      <c r="BO18" t="str">
        <f t="shared" si="24"/>
        <v>36708Vega</v>
      </c>
      <c r="BP18" t="str">
        <f t="shared" si="25"/>
        <v>36708Theta</v>
      </c>
      <c r="BQ18" s="398">
        <f t="shared" si="36"/>
        <v>36892</v>
      </c>
      <c r="BR18" s="399">
        <f t="shared" si="26"/>
        <v>-33649.300220746169</v>
      </c>
      <c r="BS18" s="243">
        <f t="shared" si="27"/>
        <v>-12.939658945715564</v>
      </c>
      <c r="BT18" s="243">
        <f t="shared" si="28"/>
        <v>22.507713818962657</v>
      </c>
      <c r="BU18" s="243">
        <f t="shared" si="29"/>
        <v>798.19989121148501</v>
      </c>
      <c r="BV18" s="253">
        <f t="shared" si="30"/>
        <v>-459.27255104497272</v>
      </c>
      <c r="BW18" s="244">
        <f t="shared" si="37"/>
        <v>-33300.804825706407</v>
      </c>
    </row>
    <row r="19" spans="1:75" ht="12" customHeight="1" x14ac:dyDescent="0.25">
      <c r="A19" s="397" t="s">
        <v>271</v>
      </c>
      <c r="B19" s="4" t="s">
        <v>253</v>
      </c>
      <c r="C19" s="4" t="s">
        <v>94</v>
      </c>
      <c r="D19" s="4" t="s">
        <v>9</v>
      </c>
      <c r="E19" s="4" t="s">
        <v>20</v>
      </c>
      <c r="F19" s="4" t="s">
        <v>1</v>
      </c>
      <c r="G19" s="5">
        <v>36708</v>
      </c>
      <c r="H19" s="130">
        <f>10000*(EOMONTH(G19,0)-G19)+10000</f>
        <v>310000</v>
      </c>
      <c r="I19" s="4">
        <v>-0.4</v>
      </c>
      <c r="J19" s="53">
        <f t="shared" si="1"/>
        <v>3.181</v>
      </c>
      <c r="K19" s="7">
        <f t="shared" si="2"/>
        <v>-0.32250000000000001</v>
      </c>
      <c r="L19" s="4">
        <f t="shared" si="3"/>
        <v>2.8585000000000003</v>
      </c>
      <c r="M19" s="159">
        <f t="shared" si="4"/>
        <v>6.3695649345076003E-2</v>
      </c>
      <c r="N19" s="4">
        <f t="shared" si="5"/>
        <v>0.39500000000000002</v>
      </c>
      <c r="O19" s="4">
        <f t="shared" si="6"/>
        <v>0.38700000000000001</v>
      </c>
      <c r="P19" s="9">
        <f t="shared" si="45"/>
        <v>0.96</v>
      </c>
      <c r="Q19" s="5">
        <f t="shared" si="8"/>
        <v>36706</v>
      </c>
      <c r="R19" s="4">
        <f t="shared" si="9"/>
        <v>0</v>
      </c>
      <c r="S19" s="160">
        <f>_xll.xSPRDOPT($L19,$J19,$I19,$M19,$O19,$N19,$P19,$Q19-$C$3,$R19,0)</f>
        <v>3.5172063358679881E-2</v>
      </c>
      <c r="T19" s="161">
        <f>_xll.xSPRDOPT($L19,$J19,$I19,$M19,$O19,$N19,$P19,$Q19-$C$3,$R19,1)*H19</f>
        <v>-97189.590127516625</v>
      </c>
      <c r="U19" s="162">
        <f t="shared" si="46"/>
        <v>10903.339641190763</v>
      </c>
      <c r="V19" s="161">
        <f>_xll.xSPRDOPT($L19,$J19,$I19,$M19,$O19,$N19,$P19,$Q19-$C$3,$R19,2)*H19</f>
        <v>102210.94290718625</v>
      </c>
      <c r="W19" s="161">
        <f t="shared" si="47"/>
        <v>5021.3527796696289</v>
      </c>
      <c r="X19" s="51" t="str">
        <f t="shared" si="12"/>
        <v>36708IF-NWPL_ROCKY_M</v>
      </c>
      <c r="Y19" s="431">
        <f t="shared" si="31"/>
        <v>31</v>
      </c>
      <c r="AA19" s="128">
        <f t="shared" si="32"/>
        <v>36557</v>
      </c>
      <c r="AB19" s="43">
        <f t="shared" si="48"/>
        <v>0</v>
      </c>
      <c r="AC19" s="43">
        <f t="shared" si="48"/>
        <v>0</v>
      </c>
      <c r="AD19" s="43">
        <f t="shared" si="48"/>
        <v>0</v>
      </c>
      <c r="AE19" s="43">
        <f t="shared" si="48"/>
        <v>0</v>
      </c>
      <c r="AF19" s="44">
        <f t="shared" si="48"/>
        <v>0</v>
      </c>
      <c r="AG19" s="44">
        <f t="shared" si="48"/>
        <v>0</v>
      </c>
      <c r="AH19" s="128">
        <f t="shared" si="33"/>
        <v>36557</v>
      </c>
      <c r="AI19" s="44">
        <f t="shared" si="38"/>
        <v>0</v>
      </c>
      <c r="AJ19" s="51"/>
      <c r="AK19" s="128">
        <f t="shared" si="34"/>
        <v>36557</v>
      </c>
      <c r="AL19" s="43">
        <f t="shared" si="49"/>
        <v>0</v>
      </c>
      <c r="AM19" s="43">
        <f t="shared" si="49"/>
        <v>0</v>
      </c>
      <c r="AN19" s="43">
        <f t="shared" si="49"/>
        <v>0</v>
      </c>
      <c r="AO19" s="43">
        <f t="shared" si="49"/>
        <v>0</v>
      </c>
      <c r="AP19" s="44">
        <f t="shared" si="49"/>
        <v>0</v>
      </c>
      <c r="AQ19" s="44">
        <f t="shared" si="49"/>
        <v>0</v>
      </c>
      <c r="AR19" s="128">
        <f t="shared" si="35"/>
        <v>36557</v>
      </c>
      <c r="AS19" s="44">
        <f t="shared" si="39"/>
        <v>0</v>
      </c>
      <c r="AT19" s="51"/>
      <c r="AU19" s="51"/>
      <c r="AV19" s="51"/>
      <c r="AW19" s="51"/>
      <c r="AX19" s="51"/>
      <c r="AY19" s="51"/>
      <c r="AZ19" s="51"/>
      <c r="BA19" s="51"/>
      <c r="BB19" s="142">
        <f t="shared" si="40"/>
        <v>36708</v>
      </c>
      <c r="BC19" s="238">
        <f>_xll.xSPRDOPT((VLOOKUP(G19,NGPrices,2,FALSE)+HLOOKUP(D19,Prices,VLOOKUP(G19,move_down,2,FALSE),FALSE)),VLOOKUP(G19,NGPrices,2,FALSE),I19,VLOOKUP(G19,NGPREVPRICES,4,FALSE),HLOOKUP(D19,PREVVOLS,VLOOKUP(G19,MOVE_DOWN2,2,FALSE),FALSE),VLOOKUP(G19,NGPREVPRICES,3,FALSE),HLOOKUP(D19,Correllate,VLOOKUP(G19,CorMove,2,FALSE),FALSE),Q19-$BC$3,R19,$BC$5)*H19-BI19</f>
        <v>1757.7186014703129</v>
      </c>
      <c r="BD19" s="238">
        <f>_xll.xSPRDOPT((VLOOKUP(G19,NGPREVPRICES,2,FALSE)+HLOOKUP(D19,PREVCURVES,VLOOKUP(G19,MOVE_DOWN2,2,FALSE),FALSE)),VLOOKUP(G19,NGPREVPRICES,2,FALSE),BJ19,VLOOKUP(G19,NGPrices,4,FALSE),HLOOKUP(D19,PREVVOLS,VLOOKUP(G19,MOVE_DOWN2,2,FALSE),FALSE),VLOOKUP(G19,NGPREVPRICES,3,FALSE),HLOOKUP(D19,Correllate,VLOOKUP(G19,CorMove,2,FALSE),FALSE),Q19-$BC$3,R19,$BI$5)*H19-BI19</f>
        <v>-8.6203794688117341E-2</v>
      </c>
      <c r="BE19" s="10">
        <f t="shared" si="41"/>
        <v>-1.5723171174522577</v>
      </c>
      <c r="BF19" s="238">
        <f>_xll.xSPRDOPT((VLOOKUP(G19,NGPREVPRICES,2,FALSE)+HLOOKUP(D19,PREVCURVES,VLOOKUP(G19,MOVE_DOWN2,2,FALSE),FALSE)),VLOOKUP(G19,NGPREVPRICES,2,FALSE),BJ19,VLOOKUP(G19,NGPREVPRICES,4,FALSE),HLOOKUP(D19,VOLS,VLOOKUP(G19,move_down,2,FALSE),FALSE),VLOOKUP(G19,NGPrices,3,FALSE),HLOOKUP(D19,Correllate,VLOOKUP(G19,CorMove,2,FALSE),FALSE),Q19-$BC$3,R19,$BI$5)*H19-BI19</f>
        <v>439.16539333198125</v>
      </c>
      <c r="BG19" s="238">
        <f>_xll.xSPRDOPT((VLOOKUP(G19,NGPREVPRICES,2,FALSE)+HLOOKUP(D19,PREVCURVES,VLOOKUP(G19,MOVE_DOWN2,2,FALSE),FALSE)),VLOOKUP(G19,NGPREVPRICES,2,FALSE),BJ19,VLOOKUP(G19,NGPREVPRICES,4,FALSE),HLOOKUP(D19,PREVVOLS,VLOOKUP(G19,MOVE_DOWN2,2,FALSE),FALSE),VLOOKUP(G19,NGPREVPRICES,3,FALSE),HLOOKUP(D19,Correllate,VLOOKUP(G19,CorMove,2,FALSE),FALSE),Q19-$C$3,R19,$BI$5)*H19-BI19</f>
        <v>-337.06290265540883</v>
      </c>
      <c r="BH19" s="238">
        <f t="shared" si="42"/>
        <v>1858.162571234745</v>
      </c>
      <c r="BI19" s="238">
        <f>_xll.xSPRDOPT((VLOOKUP(G19,NGPREVPRICES,2,FALSE)+HLOOKUP(D19,PREVCURVES,VLOOKUP(G19,MOVE_DOWN2,2,FALSE),FALSE)),VLOOKUP(G19,NGPREVPRICES,2,FALSE),BJ19,VLOOKUP(G19,NGPREVPRICES,4,FALSE),HLOOKUP(D19,PREVVOLS,VLOOKUP(G19,MOVE_DOWN2,2,FALSE),FALSE),VLOOKUP(G19,NGPREVPRICES,3,FALSE),HLOOKUP(D19,Correllate,VLOOKUP(G19,CorMove,2,FALSE),FALSE),Q19-$BC$3,R19,$BI$5)*H19</f>
        <v>9047.5033746126774</v>
      </c>
      <c r="BJ19" s="239">
        <f t="shared" si="43"/>
        <v>-0.4</v>
      </c>
      <c r="BK19" s="238"/>
      <c r="BL19" t="str">
        <f t="shared" si="44"/>
        <v>36708Curve Shift/Gamma</v>
      </c>
      <c r="BM19" t="str">
        <f t="shared" si="22"/>
        <v>36708Rho</v>
      </c>
      <c r="BN19" t="str">
        <f t="shared" si="23"/>
        <v>36708Drift</v>
      </c>
      <c r="BO19" t="str">
        <f t="shared" si="24"/>
        <v>36708Vega</v>
      </c>
      <c r="BP19" t="str">
        <f t="shared" si="25"/>
        <v>36708Theta</v>
      </c>
      <c r="BQ19" s="398">
        <f t="shared" si="36"/>
        <v>36923</v>
      </c>
      <c r="BR19" s="399">
        <f t="shared" si="26"/>
        <v>-29027.016517040847</v>
      </c>
      <c r="BS19" s="243">
        <f t="shared" si="27"/>
        <v>-17.194714772394946</v>
      </c>
      <c r="BT19" s="243">
        <f t="shared" si="28"/>
        <v>19.280286291308585</v>
      </c>
      <c r="BU19" s="243">
        <f t="shared" si="29"/>
        <v>1272.3993648807482</v>
      </c>
      <c r="BV19" s="253">
        <f t="shared" si="30"/>
        <v>-543.07907975747003</v>
      </c>
      <c r="BW19" s="244">
        <f t="shared" si="37"/>
        <v>-28295.610660398655</v>
      </c>
    </row>
    <row r="20" spans="1:75" ht="12" customHeight="1" x14ac:dyDescent="0.25">
      <c r="A20" s="395" t="s">
        <v>270</v>
      </c>
      <c r="B20" t="s">
        <v>253</v>
      </c>
      <c r="C20" s="7" t="s">
        <v>269</v>
      </c>
      <c r="D20" s="4" t="s">
        <v>10</v>
      </c>
      <c r="E20" s="4" t="s">
        <v>20</v>
      </c>
      <c r="F20" s="5" t="s">
        <v>21</v>
      </c>
      <c r="G20" s="5">
        <v>36708</v>
      </c>
      <c r="H20" s="130">
        <v>600000</v>
      </c>
      <c r="I20" s="4">
        <v>0.16</v>
      </c>
      <c r="J20" s="53">
        <f t="shared" si="1"/>
        <v>3.181</v>
      </c>
      <c r="K20" s="7">
        <f t="shared" si="2"/>
        <v>0.17</v>
      </c>
      <c r="L20" s="4">
        <f t="shared" si="3"/>
        <v>3.351</v>
      </c>
      <c r="M20" s="159">
        <f t="shared" si="4"/>
        <v>6.3695649345076003E-2</v>
      </c>
      <c r="N20" s="4">
        <f t="shared" si="5"/>
        <v>0.39500000000000002</v>
      </c>
      <c r="O20" s="4">
        <f t="shared" si="6"/>
        <v>0.38700000000000001</v>
      </c>
      <c r="P20" s="9">
        <f t="shared" si="45"/>
        <v>0.995</v>
      </c>
      <c r="Q20" s="5">
        <f t="shared" si="8"/>
        <v>36706</v>
      </c>
      <c r="R20" s="4">
        <f t="shared" si="9"/>
        <v>1</v>
      </c>
      <c r="S20" s="160">
        <f>_xll.xSPRDOPT($L20,$J20,$I20,$M20,$O20,$N20,$P20,$Q20-$C$3,$R20,0)</f>
        <v>2.8689064383407972E-2</v>
      </c>
      <c r="T20" s="161">
        <f>_xll.xSPRDOPT($L20,$J20,$I20,$M20,$O20,$N20,$P20,$Q20-$C$3,$R20,1)*H20</f>
        <v>338356.76809131628</v>
      </c>
      <c r="U20" s="162">
        <f t="shared" si="46"/>
        <v>17213.438630044784</v>
      </c>
      <c r="V20" s="161">
        <f>_xll.xSPRDOPT($L20,$J20,$I20,$M20,$O20,$N20,$P20,$Q20-$C$3,$R20,2)*H20</f>
        <v>-334678.09734865051</v>
      </c>
      <c r="W20" s="161">
        <f t="shared" si="47"/>
        <v>3678.6707426657667</v>
      </c>
      <c r="X20" s="51" t="str">
        <f t="shared" si="12"/>
        <v>36708IF-CGT/APPALAC</v>
      </c>
      <c r="Y20" s="431">
        <f t="shared" si="31"/>
        <v>60</v>
      </c>
      <c r="Z20" s="51"/>
      <c r="AA20" s="128">
        <f t="shared" si="32"/>
        <v>36586</v>
      </c>
      <c r="AB20" s="43">
        <f t="shared" si="48"/>
        <v>0</v>
      </c>
      <c r="AC20" s="43">
        <f t="shared" si="48"/>
        <v>0</v>
      </c>
      <c r="AD20" s="43">
        <f t="shared" si="48"/>
        <v>0</v>
      </c>
      <c r="AE20" s="43">
        <f t="shared" si="48"/>
        <v>0</v>
      </c>
      <c r="AF20" s="44">
        <f t="shared" si="48"/>
        <v>0</v>
      </c>
      <c r="AG20" s="44">
        <f t="shared" si="48"/>
        <v>0</v>
      </c>
      <c r="AH20" s="128">
        <f t="shared" si="33"/>
        <v>36586</v>
      </c>
      <c r="AI20" s="44">
        <f t="shared" si="38"/>
        <v>0</v>
      </c>
      <c r="AJ20" s="51"/>
      <c r="AK20" s="128">
        <f t="shared" si="34"/>
        <v>36586</v>
      </c>
      <c r="AL20" s="43">
        <f t="shared" si="49"/>
        <v>0</v>
      </c>
      <c r="AM20" s="43">
        <f t="shared" si="49"/>
        <v>0</v>
      </c>
      <c r="AN20" s="43">
        <f t="shared" si="49"/>
        <v>0</v>
      </c>
      <c r="AO20" s="43">
        <f t="shared" si="49"/>
        <v>0</v>
      </c>
      <c r="AP20" s="44">
        <f t="shared" si="49"/>
        <v>0</v>
      </c>
      <c r="AQ20" s="44">
        <f t="shared" si="49"/>
        <v>0</v>
      </c>
      <c r="AR20" s="128">
        <f t="shared" si="35"/>
        <v>36586</v>
      </c>
      <c r="AS20" s="44">
        <f t="shared" si="39"/>
        <v>0</v>
      </c>
      <c r="AT20" s="51"/>
      <c r="AU20" s="51"/>
      <c r="AV20" s="51"/>
      <c r="AW20" s="51"/>
      <c r="AX20" s="51"/>
      <c r="AY20" s="51"/>
      <c r="AZ20" s="51"/>
      <c r="BA20" s="51"/>
      <c r="BB20" s="142">
        <f t="shared" si="40"/>
        <v>36708</v>
      </c>
      <c r="BC20" s="238">
        <f>_xll.xSPRDOPT((VLOOKUP(G20,NGPrices,2,FALSE)+HLOOKUP(D20,Prices,VLOOKUP(G20,move_down,2,FALSE),FALSE)),VLOOKUP(G20,NGPrices,2,FALSE),I20,VLOOKUP(G20,NGPREVPRICES,4,FALSE),HLOOKUP(D20,PREVVOLS,VLOOKUP(G20,MOVE_DOWN2,2,FALSE),FALSE),VLOOKUP(G20,NGPREVPRICES,3,FALSE),HLOOKUP(D20,Correllate,VLOOKUP(G20,CorMove,2,FALSE),FALSE),Q20-$BC$3,R20,$BC$5)*H20-BI20</f>
        <v>288.05996225016861</v>
      </c>
      <c r="BD20" s="238">
        <f>_xll.xSPRDOPT((VLOOKUP(G20,NGPREVPRICES,2,FALSE)+HLOOKUP(D20,PREVCURVES,VLOOKUP(G20,MOVE_DOWN2,2,FALSE),FALSE)),VLOOKUP(G20,NGPREVPRICES,2,FALSE),BJ20,VLOOKUP(G20,NGPrices,4,FALSE),HLOOKUP(D20,PREVVOLS,VLOOKUP(G20,MOVE_DOWN2,2,FALSE),FALSE),VLOOKUP(G20,NGPREVPRICES,3,FALSE),HLOOKUP(D20,Correllate,VLOOKUP(G20,CorMove,2,FALSE),FALSE),Q20-$BC$3,R20,$BI$5)*H20-BI20</f>
        <v>-0.16023294461047044</v>
      </c>
      <c r="BE20" s="10">
        <f t="shared" si="41"/>
        <v>-2.9225743774150033</v>
      </c>
      <c r="BF20" s="238">
        <f>_xll.xSPRDOPT((VLOOKUP(G20,NGPREVPRICES,2,FALSE)+HLOOKUP(D20,PREVCURVES,VLOOKUP(G20,MOVE_DOWN2,2,FALSE),FALSE)),VLOOKUP(G20,NGPREVPRICES,2,FALSE),BJ20,VLOOKUP(G20,NGPREVPRICES,4,FALSE),HLOOKUP(D20,VOLS,VLOOKUP(G20,move_down,2,FALSE),FALSE),VLOOKUP(G20,NGPrices,3,FALSE),HLOOKUP(D20,Correllate,VLOOKUP(G20,CorMove,2,FALSE),FALSE),Q20-$BC$3,R20,$BI$5)*H20-BI20</f>
        <v>374.40553460976298</v>
      </c>
      <c r="BG20" s="238">
        <f>_xll.xSPRDOPT((VLOOKUP(G20,NGPREVPRICES,2,FALSE)+HLOOKUP(D20,PREVCURVES,VLOOKUP(G20,MOVE_DOWN2,2,FALSE),FALSE)),VLOOKUP(G20,NGPREVPRICES,2,FALSE),BJ20,VLOOKUP(G20,NGPREVPRICES,4,FALSE),HLOOKUP(D20,PREVVOLS,VLOOKUP(G20,MOVE_DOWN2,2,FALSE),FALSE),VLOOKUP(G20,NGPREVPRICES,3,FALSE),HLOOKUP(D20,Correllate,VLOOKUP(G20,CorMove,2,FALSE),FALSE),Q20-$C$3,R20,$BI$5)*H20-BI20</f>
        <v>-260.13959344057366</v>
      </c>
      <c r="BH20" s="238">
        <f t="shared" si="42"/>
        <v>399.24309609733245</v>
      </c>
      <c r="BI20" s="238">
        <f>_xll.xSPRDOPT((VLOOKUP(G20,NGPREVPRICES,2,FALSE)+HLOOKUP(D20,PREVCURVES,VLOOKUP(G20,MOVE_DOWN2,2,FALSE),FALSE)),VLOOKUP(G20,NGPREVPRICES,2,FALSE),BJ20,VLOOKUP(G20,NGPREVPRICES,4,FALSE),HLOOKUP(D20,PREVVOLS,VLOOKUP(G20,MOVE_DOWN2,2,FALSE),FALSE),VLOOKUP(G20,NGPREVPRICES,3,FALSE),HLOOKUP(D20,Correllate,VLOOKUP(G20,CorMove,2,FALSE),FALSE),Q20-$BC$3,R20,$BI$5)*H20</f>
        <v>16817.219153027738</v>
      </c>
      <c r="BJ20" s="239">
        <f t="shared" si="43"/>
        <v>0.16</v>
      </c>
      <c r="BK20" s="238"/>
      <c r="BL20" t="str">
        <f t="shared" si="44"/>
        <v>36708Curve Shift/Gamma</v>
      </c>
      <c r="BM20" t="str">
        <f t="shared" si="22"/>
        <v>36708Rho</v>
      </c>
      <c r="BN20" t="str">
        <f t="shared" si="23"/>
        <v>36708Drift</v>
      </c>
      <c r="BO20" t="str">
        <f t="shared" si="24"/>
        <v>36708Vega</v>
      </c>
      <c r="BP20" t="str">
        <f t="shared" si="25"/>
        <v>36708Theta</v>
      </c>
      <c r="BQ20" s="398">
        <f t="shared" si="36"/>
        <v>36951</v>
      </c>
      <c r="BR20" s="399">
        <f t="shared" si="26"/>
        <v>7193.9437823814442</v>
      </c>
      <c r="BS20" s="243">
        <f t="shared" si="27"/>
        <v>31.50002551522266</v>
      </c>
      <c r="BT20" s="243">
        <f t="shared" si="28"/>
        <v>-25.963095517512556</v>
      </c>
      <c r="BU20" s="243">
        <f t="shared" si="29"/>
        <v>3621.2292053993915</v>
      </c>
      <c r="BV20" s="253">
        <f t="shared" si="30"/>
        <v>-1014.1862445886254</v>
      </c>
      <c r="BW20" s="244">
        <f t="shared" si="37"/>
        <v>9806.5236731899204</v>
      </c>
    </row>
    <row r="21" spans="1:75" ht="12" customHeight="1" x14ac:dyDescent="0.25">
      <c r="A21" s="395" t="s">
        <v>270</v>
      </c>
      <c r="B21" s="7" t="s">
        <v>253</v>
      </c>
      <c r="C21" s="7" t="s">
        <v>93</v>
      </c>
      <c r="D21" s="4" t="s">
        <v>7</v>
      </c>
      <c r="E21" s="4" t="s">
        <v>20</v>
      </c>
      <c r="F21" s="5" t="s">
        <v>21</v>
      </c>
      <c r="G21" s="5">
        <v>36708</v>
      </c>
      <c r="H21" s="130">
        <v>500000</v>
      </c>
      <c r="I21" s="51">
        <v>0.3</v>
      </c>
      <c r="J21" s="53">
        <f t="shared" si="1"/>
        <v>3.181</v>
      </c>
      <c r="K21" s="7">
        <f t="shared" si="2"/>
        <v>0.34499999999999997</v>
      </c>
      <c r="L21" s="51">
        <f t="shared" si="3"/>
        <v>3.5259999999999998</v>
      </c>
      <c r="M21" s="52">
        <f t="shared" si="4"/>
        <v>6.3695649345076003E-2</v>
      </c>
      <c r="N21" s="51">
        <f t="shared" si="5"/>
        <v>0.39500000000000002</v>
      </c>
      <c r="O21" s="51">
        <f t="shared" si="6"/>
        <v>0.38700000000000001</v>
      </c>
      <c r="P21" s="9">
        <f t="shared" si="45"/>
        <v>0.99</v>
      </c>
      <c r="Q21" s="5">
        <f t="shared" si="8"/>
        <v>36706</v>
      </c>
      <c r="R21" s="51">
        <f t="shared" si="9"/>
        <v>1</v>
      </c>
      <c r="S21" s="77">
        <f>_xll.xSPRDOPT($L21,$J21,$I21,$M21,$O21,$N21,$P21,$Q21-$C$3,$R21,0)</f>
        <v>6.2960064075801014E-2</v>
      </c>
      <c r="T21" s="126">
        <f>_xll.xSPRDOPT($L21,$J21,$I21,$M21,$O21,$N21,$P21,$Q21-$C$3,$R21,1)*H21</f>
        <v>342370.90168939601</v>
      </c>
      <c r="U21" s="162">
        <f t="shared" si="46"/>
        <v>31480.032037900506</v>
      </c>
      <c r="V21" s="126">
        <f>_xll.xSPRDOPT($L21,$J21,$I21,$M21,$O21,$N21,$P21,$Q21-$C$3,$R21,2)*H21</f>
        <v>-338815.51520913717</v>
      </c>
      <c r="W21" s="126">
        <f t="shared" si="47"/>
        <v>3555.3864802588359</v>
      </c>
      <c r="X21" s="51" t="str">
        <f t="shared" si="12"/>
        <v>36708IF-TRANSCO/Z6</v>
      </c>
      <c r="Y21" s="431">
        <f t="shared" si="31"/>
        <v>50</v>
      </c>
      <c r="Z21" s="51"/>
      <c r="AA21" s="128">
        <f t="shared" si="32"/>
        <v>36617</v>
      </c>
      <c r="AB21" s="43">
        <f t="shared" si="48"/>
        <v>0</v>
      </c>
      <c r="AC21" s="43">
        <f t="shared" si="48"/>
        <v>0</v>
      </c>
      <c r="AD21" s="43">
        <f t="shared" si="48"/>
        <v>0</v>
      </c>
      <c r="AE21" s="43">
        <f t="shared" si="48"/>
        <v>0</v>
      </c>
      <c r="AF21" s="44">
        <f t="shared" si="48"/>
        <v>0</v>
      </c>
      <c r="AG21" s="44">
        <f t="shared" si="48"/>
        <v>0</v>
      </c>
      <c r="AH21" s="128">
        <f t="shared" si="33"/>
        <v>36617</v>
      </c>
      <c r="AI21" s="44">
        <f t="shared" si="38"/>
        <v>0</v>
      </c>
      <c r="AJ21" s="51"/>
      <c r="AK21" s="128">
        <f t="shared" si="34"/>
        <v>36617</v>
      </c>
      <c r="AL21" s="43">
        <f t="shared" si="49"/>
        <v>0</v>
      </c>
      <c r="AM21" s="43">
        <f t="shared" si="49"/>
        <v>0</v>
      </c>
      <c r="AN21" s="43">
        <f t="shared" si="49"/>
        <v>0</v>
      </c>
      <c r="AO21" s="43">
        <f t="shared" si="49"/>
        <v>0</v>
      </c>
      <c r="AP21" s="44">
        <f t="shared" si="49"/>
        <v>0</v>
      </c>
      <c r="AQ21" s="44">
        <f t="shared" si="49"/>
        <v>0</v>
      </c>
      <c r="AR21" s="128">
        <f t="shared" si="35"/>
        <v>36617</v>
      </c>
      <c r="AS21" s="44">
        <f t="shared" si="39"/>
        <v>0</v>
      </c>
      <c r="AT21" s="51"/>
      <c r="AU21" s="51"/>
      <c r="AV21" s="51"/>
      <c r="AW21" s="51"/>
      <c r="AX21" s="51"/>
      <c r="AY21" s="51"/>
      <c r="AZ21" s="51"/>
      <c r="BA21" s="51"/>
      <c r="BB21" s="142">
        <f t="shared" si="40"/>
        <v>36708</v>
      </c>
      <c r="BC21" s="238">
        <f>_xll.xSPRDOPT((VLOOKUP(G21,NGPrices,2,FALSE)+HLOOKUP(D21,Prices,VLOOKUP(G21,move_down,2,FALSE),FALSE)),VLOOKUP(G21,NGPrices,2,FALSE),I21,VLOOKUP(G21,NGPREVPRICES,4,FALSE),HLOOKUP(D21,PREVVOLS,VLOOKUP(G21,MOVE_DOWN2,2,FALSE),FALSE),VLOOKUP(G21,NGPREVPRICES,3,FALSE),HLOOKUP(D21,Correllate,VLOOKUP(G21,CorMove,2,FALSE),FALSE),Q21-$BC$3,R21,$BC$5)*H21-BI21</f>
        <v>5223.8712526167947</v>
      </c>
      <c r="BD21" s="238">
        <f>_xll.xSPRDOPT((VLOOKUP(G21,NGPREVPRICES,2,FALSE)+HLOOKUP(D21,PREVCURVES,VLOOKUP(G21,MOVE_DOWN2,2,FALSE),FALSE)),VLOOKUP(G21,NGPREVPRICES,2,FALSE),BJ21,VLOOKUP(G21,NGPrices,4,FALSE),HLOOKUP(D21,PREVVOLS,VLOOKUP(G21,MOVE_DOWN2,2,FALSE),FALSE),VLOOKUP(G21,NGPREVPRICES,3,FALSE),HLOOKUP(D21,Correllate,VLOOKUP(G21,CorMove,2,FALSE),FALSE),Q21-$BC$3,R21,$BI$5)*H21-BI21</f>
        <v>-0.24888693739558221</v>
      </c>
      <c r="BE21" s="10">
        <f t="shared" si="41"/>
        <v>-4.5395819683435548</v>
      </c>
      <c r="BF21" s="238">
        <f>_xll.xSPRDOPT((VLOOKUP(G21,NGPREVPRICES,2,FALSE)+HLOOKUP(D21,PREVCURVES,VLOOKUP(G21,MOVE_DOWN2,2,FALSE),FALSE)),VLOOKUP(G21,NGPREVPRICES,2,FALSE),BJ21,VLOOKUP(G21,NGPREVPRICES,4,FALSE),HLOOKUP(D21,VOLS,VLOOKUP(G21,move_down,2,FALSE),FALSE),VLOOKUP(G21,NGPrices,3,FALSE),HLOOKUP(D21,Correllate,VLOOKUP(G21,CorMove,2,FALSE),FALSE),Q21-$BC$3,R21,$BI$5)*H21-BI21</f>
        <v>469.24164709031902</v>
      </c>
      <c r="BG21" s="238">
        <f>_xll.xSPRDOPT((VLOOKUP(G21,NGPREVPRICES,2,FALSE)+HLOOKUP(D21,PREVCURVES,VLOOKUP(G21,MOVE_DOWN2,2,FALSE),FALSE)),VLOOKUP(G21,NGPREVPRICES,2,FALSE),BJ21,VLOOKUP(G21,NGPREVPRICES,4,FALSE),HLOOKUP(D21,PREVVOLS,VLOOKUP(G21,MOVE_DOWN2,2,FALSE),FALSE),VLOOKUP(G21,NGPREVPRICES,3,FALSE),HLOOKUP(D21,Correllate,VLOOKUP(G21,CorMove,2,FALSE),FALSE),Q21-$C$3,R21,$BI$5)*H21-BI21</f>
        <v>-321.77219825552675</v>
      </c>
      <c r="BH21" s="238">
        <f t="shared" si="42"/>
        <v>5366.5522325458478</v>
      </c>
      <c r="BI21" s="238">
        <f>_xll.xSPRDOPT((VLOOKUP(G21,NGPREVPRICES,2,FALSE)+HLOOKUP(D21,PREVCURVES,VLOOKUP(G21,MOVE_DOWN2,2,FALSE),FALSE)),VLOOKUP(G21,NGPREVPRICES,2,FALSE),BJ21,VLOOKUP(G21,NGPREVPRICES,4,FALSE),HLOOKUP(D21,PREVVOLS,VLOOKUP(G21,MOVE_DOWN2,2,FALSE),FALSE),VLOOKUP(G21,NGPREVPRICES,3,FALSE),HLOOKUP(D21,Correllate,VLOOKUP(G21,CorMove,2,FALSE),FALSE),Q21-$BC$3,R21,$BI$5)*H21</f>
        <v>26121.882616468112</v>
      </c>
      <c r="BJ21" s="239">
        <f t="shared" si="43"/>
        <v>0.3</v>
      </c>
      <c r="BK21" s="238"/>
      <c r="BL21" t="str">
        <f t="shared" si="44"/>
        <v>36708Curve Shift/Gamma</v>
      </c>
      <c r="BM21" t="str">
        <f t="shared" si="22"/>
        <v>36708Rho</v>
      </c>
      <c r="BN21" t="str">
        <f t="shared" si="23"/>
        <v>36708Drift</v>
      </c>
      <c r="BO21" t="str">
        <f t="shared" si="24"/>
        <v>36708Vega</v>
      </c>
      <c r="BP21" t="str">
        <f t="shared" si="25"/>
        <v>36708Theta</v>
      </c>
      <c r="BQ21" s="398">
        <f t="shared" si="36"/>
        <v>36982</v>
      </c>
      <c r="BR21" s="399">
        <f t="shared" si="26"/>
        <v>275.60003139112814</v>
      </c>
      <c r="BS21" s="243">
        <f t="shared" si="27"/>
        <v>15.905116120447929</v>
      </c>
      <c r="BT21" s="243">
        <f t="shared" si="28"/>
        <v>-10.043538894511585</v>
      </c>
      <c r="BU21" s="243">
        <f t="shared" si="29"/>
        <v>131.42425263263431</v>
      </c>
      <c r="BV21" s="253">
        <f t="shared" si="30"/>
        <v>-99.897770777941332</v>
      </c>
      <c r="BW21" s="244">
        <f t="shared" si="37"/>
        <v>312.98809047175746</v>
      </c>
    </row>
    <row r="22" spans="1:75" ht="12" customHeight="1" x14ac:dyDescent="0.25">
      <c r="A22" s="395" t="s">
        <v>282</v>
      </c>
      <c r="B22" s="156" t="s">
        <v>253</v>
      </c>
      <c r="C22" s="156" t="s">
        <v>112</v>
      </c>
      <c r="D22" s="4" t="s">
        <v>7</v>
      </c>
      <c r="E22" s="156" t="s">
        <v>20</v>
      </c>
      <c r="F22" s="156" t="s">
        <v>21</v>
      </c>
      <c r="G22" s="366">
        <v>36739</v>
      </c>
      <c r="H22" s="157">
        <v>300000</v>
      </c>
      <c r="I22" s="141">
        <v>0.25</v>
      </c>
      <c r="J22" s="53">
        <f t="shared" si="1"/>
        <v>3.1829999999999998</v>
      </c>
      <c r="K22" s="7">
        <f t="shared" si="2"/>
        <v>0.34499999999999997</v>
      </c>
      <c r="L22" s="4">
        <f t="shared" si="3"/>
        <v>3.5279999999999996</v>
      </c>
      <c r="M22" s="159">
        <f t="shared" si="4"/>
        <v>6.4500399973534003E-2</v>
      </c>
      <c r="N22" s="4">
        <f t="shared" si="5"/>
        <v>0.41249999999999998</v>
      </c>
      <c r="O22" s="4">
        <f t="shared" si="6"/>
        <v>0.40400000000000003</v>
      </c>
      <c r="P22" s="9">
        <f t="shared" si="45"/>
        <v>0.99</v>
      </c>
      <c r="Q22" s="5">
        <f t="shared" si="8"/>
        <v>36735</v>
      </c>
      <c r="R22" s="4">
        <f t="shared" si="9"/>
        <v>1</v>
      </c>
      <c r="S22" s="160">
        <f>_xll.xSPRDOPT($L22,$J22,$I22,$M22,$O22,$N22,$P22,$Q22-$C$3,$R22,0)</f>
        <v>0.10498892694260846</v>
      </c>
      <c r="T22" s="161">
        <f>_xll.xSPRDOPT($L22,$J22,$I22,$M22,$O22,$N22,$P22,$Q22-$C$3,$R22,1)*H22</f>
        <v>239019.78721478995</v>
      </c>
      <c r="U22" s="162">
        <f t="shared" si="46"/>
        <v>31496.678082782539</v>
      </c>
      <c r="V22" s="161">
        <f>_xll.xSPRDOPT($L22,$J22,$I22,$M22,$O22,$N22,$P22,$Q22-$C$3,$R22,2)*H22</f>
        <v>-236889.64694650308</v>
      </c>
      <c r="W22" s="161">
        <f t="shared" si="47"/>
        <v>2130.1402682868647</v>
      </c>
      <c r="X22" s="51" t="str">
        <f t="shared" si="12"/>
        <v>36739IF-TRANSCO/Z6</v>
      </c>
      <c r="Y22" s="431">
        <f t="shared" si="31"/>
        <v>30</v>
      </c>
      <c r="Z22" s="51"/>
      <c r="AA22" s="128">
        <f t="shared" si="32"/>
        <v>36647</v>
      </c>
      <c r="AB22" s="43">
        <f t="shared" si="48"/>
        <v>60.210445403224206</v>
      </c>
      <c r="AC22" s="43">
        <f t="shared" si="48"/>
        <v>53.489017006242463</v>
      </c>
      <c r="AD22" s="43">
        <f t="shared" si="48"/>
        <v>-49.07211727260195</v>
      </c>
      <c r="AE22" s="43">
        <f t="shared" si="48"/>
        <v>0</v>
      </c>
      <c r="AF22" s="44">
        <f t="shared" si="48"/>
        <v>0</v>
      </c>
      <c r="AG22" s="44">
        <f t="shared" si="48"/>
        <v>0</v>
      </c>
      <c r="AH22" s="128">
        <f t="shared" si="33"/>
        <v>36647</v>
      </c>
      <c r="AI22" s="44">
        <f t="shared" si="38"/>
        <v>64.627345136864705</v>
      </c>
      <c r="AJ22" s="51"/>
      <c r="AK22" s="128">
        <f t="shared" si="34"/>
        <v>36647</v>
      </c>
      <c r="AL22" s="43">
        <f t="shared" si="49"/>
        <v>-4275.1741145894048</v>
      </c>
      <c r="AM22" s="43">
        <f t="shared" si="49"/>
        <v>2142.6214886112139</v>
      </c>
      <c r="AN22" s="43">
        <f t="shared" si="49"/>
        <v>7792.7868478268538</v>
      </c>
      <c r="AO22" s="43">
        <f t="shared" si="49"/>
        <v>0</v>
      </c>
      <c r="AP22" s="44">
        <f t="shared" si="49"/>
        <v>0</v>
      </c>
      <c r="AQ22" s="44">
        <f t="shared" si="49"/>
        <v>0</v>
      </c>
      <c r="AR22" s="128">
        <f t="shared" si="35"/>
        <v>36647</v>
      </c>
      <c r="AS22" s="44">
        <f t="shared" si="39"/>
        <v>5660.2342218486629</v>
      </c>
      <c r="AT22" s="51"/>
      <c r="AU22" s="51"/>
      <c r="AV22" s="51"/>
      <c r="AW22" s="51"/>
      <c r="AX22" s="51"/>
      <c r="AY22" s="51"/>
      <c r="AZ22" s="51"/>
      <c r="BA22" s="51"/>
      <c r="BB22" s="142">
        <f t="shared" si="40"/>
        <v>36739</v>
      </c>
      <c r="BC22" s="238">
        <f>_xll.xSPRDOPT((VLOOKUP(G22,NGPrices,2,FALSE)+HLOOKUP(D22,Prices,VLOOKUP(G22,move_down,2,FALSE),FALSE)),VLOOKUP(G22,NGPrices,2,FALSE),I22,VLOOKUP(G22,NGPREVPRICES,4,FALSE),HLOOKUP(D22,PREVVOLS,VLOOKUP(G22,MOVE_DOWN2,2,FALSE),FALSE),VLOOKUP(G22,NGPREVPRICES,3,FALSE),HLOOKUP(D22,Correllate,VLOOKUP(G22,CorMove,2,FALSE),FALSE),Q22-$BC$3,R22,$BC$5)*H22-BI22</f>
        <v>3692.4220139821846</v>
      </c>
      <c r="BD22" s="238">
        <f>_xll.xSPRDOPT((VLOOKUP(G22,NGPREVPRICES,2,FALSE)+HLOOKUP(D22,PREVCURVES,VLOOKUP(G22,MOVE_DOWN2,2,FALSE),FALSE)),VLOOKUP(G22,NGPREVPRICES,2,FALSE),BJ22,VLOOKUP(G22,NGPrices,4,FALSE),HLOOKUP(D22,PREVVOLS,VLOOKUP(G22,MOVE_DOWN2,2,FALSE),FALSE),VLOOKUP(G22,NGPREVPRICES,3,FALSE),HLOOKUP(D22,Correllate,VLOOKUP(G22,CorMove,2,FALSE),FALSE),Q22-$BC$3,R22,$BI$5)*H22-BI22</f>
        <v>-0.20739235453220317</v>
      </c>
      <c r="BE22" s="10">
        <f t="shared" si="41"/>
        <v>-4.8996344012230111</v>
      </c>
      <c r="BF22" s="238">
        <f>_xll.xSPRDOPT((VLOOKUP(G22,NGPREVPRICES,2,FALSE)+HLOOKUP(D22,PREVCURVES,VLOOKUP(G22,MOVE_DOWN2,2,FALSE),FALSE)),VLOOKUP(G22,NGPREVPRICES,2,FALSE),BJ22,VLOOKUP(G22,NGPREVPRICES,4,FALSE),HLOOKUP(D22,VOLS,VLOOKUP(G22,move_down,2,FALSE),FALSE),VLOOKUP(G22,NGPrices,3,FALSE),HLOOKUP(D22,Correllate,VLOOKUP(G22,CorMove,2,FALSE),FALSE),Q22-$BC$3,R22,$BI$5)*H22-BI22</f>
        <v>253.35872725741137</v>
      </c>
      <c r="BG22" s="238">
        <f>_xll.xSPRDOPT((VLOOKUP(G22,NGPREVPRICES,2,FALSE)+HLOOKUP(D22,PREVCURVES,VLOOKUP(G22,MOVE_DOWN2,2,FALSE),FALSE)),VLOOKUP(G22,NGPREVPRICES,2,FALSE),BJ22,VLOOKUP(G22,NGPREVPRICES,4,FALSE),HLOOKUP(D22,PREVVOLS,VLOOKUP(G22,MOVE_DOWN2,2,FALSE),FALSE),VLOOKUP(G22,NGPREVPRICES,3,FALSE),HLOOKUP(D22,Correllate,VLOOKUP(G22,CorMove,2,FALSE),FALSE),Q22-$C$3,R22,$BI$5)*H22-BI22</f>
        <v>-121.62962266297836</v>
      </c>
      <c r="BH22" s="238">
        <f t="shared" si="42"/>
        <v>3819.0440918208624</v>
      </c>
      <c r="BI22" s="238">
        <f>_xll.xSPRDOPT((VLOOKUP(G22,NGPREVPRICES,2,FALSE)+HLOOKUP(D22,PREVCURVES,VLOOKUP(G22,MOVE_DOWN2,2,FALSE),FALSE)),VLOOKUP(G22,NGPREVPRICES,2,FALSE),BJ22,VLOOKUP(G22,NGPREVPRICES,4,FALSE),HLOOKUP(D22,PREVVOLS,VLOOKUP(G22,MOVE_DOWN2,2,FALSE),FALSE),VLOOKUP(G22,NGPREVPRICES,3,FALSE),HLOOKUP(D22,Correllate,VLOOKUP(G22,CorMove,2,FALSE),FALSE),Q22-$BC$3,R22,$BI$5)*H22</f>
        <v>27684.664846467389</v>
      </c>
      <c r="BJ22" s="239">
        <f t="shared" si="43"/>
        <v>0.25</v>
      </c>
      <c r="BK22" s="238"/>
      <c r="BL22" t="str">
        <f t="shared" si="44"/>
        <v>36739Curve Shift/Gamma</v>
      </c>
      <c r="BM22" t="str">
        <f t="shared" si="22"/>
        <v>36739Rho</v>
      </c>
      <c r="BN22" t="str">
        <f t="shared" si="23"/>
        <v>36739Drift</v>
      </c>
      <c r="BO22" t="str">
        <f t="shared" si="24"/>
        <v>36739Vega</v>
      </c>
      <c r="BP22" t="str">
        <f t="shared" si="25"/>
        <v>36739Theta</v>
      </c>
      <c r="BQ22" s="398">
        <f t="shared" si="36"/>
        <v>37012</v>
      </c>
      <c r="BR22" s="399">
        <f t="shared" si="26"/>
        <v>265.23018804535241</v>
      </c>
      <c r="BS22" s="243">
        <f t="shared" si="27"/>
        <v>7.063096390258579</v>
      </c>
      <c r="BT22" s="243">
        <f t="shared" si="28"/>
        <v>-3.6490679733506113</v>
      </c>
      <c r="BU22" s="243">
        <f t="shared" si="29"/>
        <v>401.94616985171888</v>
      </c>
      <c r="BV22" s="253">
        <f t="shared" si="30"/>
        <v>-96.691827463284426</v>
      </c>
      <c r="BW22" s="244">
        <f t="shared" si="37"/>
        <v>573.89855885069483</v>
      </c>
    </row>
    <row r="23" spans="1:75" ht="12" customHeight="1" x14ac:dyDescent="0.25">
      <c r="A23" s="141" t="s">
        <v>273</v>
      </c>
      <c r="B23" t="s">
        <v>132</v>
      </c>
      <c r="C23" t="s">
        <v>274</v>
      </c>
      <c r="D23" s="4" t="s">
        <v>10</v>
      </c>
      <c r="E23" s="4" t="s">
        <v>20</v>
      </c>
      <c r="F23" s="5" t="s">
        <v>21</v>
      </c>
      <c r="G23" s="5">
        <v>36739</v>
      </c>
      <c r="H23" s="130">
        <v>310000</v>
      </c>
      <c r="I23">
        <v>0.16</v>
      </c>
      <c r="J23" s="53">
        <f t="shared" si="1"/>
        <v>3.1829999999999998</v>
      </c>
      <c r="K23" s="7">
        <f t="shared" si="2"/>
        <v>0.16750000000000001</v>
      </c>
      <c r="L23" s="4">
        <f t="shared" si="3"/>
        <v>3.3504999999999998</v>
      </c>
      <c r="M23" s="159">
        <f t="shared" si="4"/>
        <v>6.4500399973534003E-2</v>
      </c>
      <c r="N23" s="4">
        <f t="shared" si="5"/>
        <v>0.41249999999999998</v>
      </c>
      <c r="O23" s="4">
        <f t="shared" si="6"/>
        <v>0.40400000000000003</v>
      </c>
      <c r="P23" s="9">
        <f t="shared" si="7"/>
        <v>0.995</v>
      </c>
      <c r="Q23" s="5">
        <f t="shared" si="8"/>
        <v>36735</v>
      </c>
      <c r="R23" s="4">
        <f t="shared" si="9"/>
        <v>1</v>
      </c>
      <c r="S23" s="160">
        <f>_xll.xSPRDOPT($L23,$J23,$I23,$M23,$O23,$N23,$P23,$Q23-$C$3,$R23,0)</f>
        <v>3.2583781358017379E-2</v>
      </c>
      <c r="T23" s="161">
        <f>_xll.xSPRDOPT($L23,$J23,$I23,$M23,$O23,$N23,$P23,$Q23-$C$3,$R23,1)*H23</f>
        <v>166284.19188996326</v>
      </c>
      <c r="U23" s="162">
        <f t="shared" si="46"/>
        <v>10100.972220985388</v>
      </c>
      <c r="V23" s="161">
        <f>_xll.xSPRDOPT($L23,$J23,$I23,$M23,$O23,$N23,$P23,$Q23-$C$3,$R23,2)*H23</f>
        <v>-163927.07270029848</v>
      </c>
      <c r="W23" s="161">
        <f t="shared" si="11"/>
        <v>2357.1191896647797</v>
      </c>
      <c r="X23" s="51" t="str">
        <f>CONCATENATE(G23,D23)</f>
        <v>36739IF-CGT/APPALAC</v>
      </c>
      <c r="Y23" s="431">
        <f t="shared" si="31"/>
        <v>31</v>
      </c>
      <c r="AA23" s="128">
        <f t="shared" si="32"/>
        <v>36678</v>
      </c>
      <c r="AB23" s="43">
        <f t="shared" si="48"/>
        <v>41.604703630691183</v>
      </c>
      <c r="AC23" s="43">
        <f t="shared" si="48"/>
        <v>50.987481447436245</v>
      </c>
      <c r="AD23" s="43">
        <f t="shared" si="48"/>
        <v>-70.270741985575256</v>
      </c>
      <c r="AE23" s="43">
        <f t="shared" si="48"/>
        <v>0</v>
      </c>
      <c r="AF23" s="44">
        <f t="shared" si="48"/>
        <v>0</v>
      </c>
      <c r="AG23" s="44">
        <f t="shared" si="48"/>
        <v>0</v>
      </c>
      <c r="AH23" s="128">
        <f t="shared" si="33"/>
        <v>36678</v>
      </c>
      <c r="AI23" s="44">
        <f t="shared" si="38"/>
        <v>22.321443092552173</v>
      </c>
      <c r="AJ23" s="51"/>
      <c r="AK23" s="128">
        <f t="shared" si="34"/>
        <v>36678</v>
      </c>
      <c r="AL23" s="43">
        <f t="shared" si="49"/>
        <v>-7728.9958118385985</v>
      </c>
      <c r="AM23" s="43">
        <f t="shared" si="49"/>
        <v>4118.2382158206019</v>
      </c>
      <c r="AN23" s="43">
        <f t="shared" si="49"/>
        <v>14230.009674688394</v>
      </c>
      <c r="AO23" s="43">
        <f t="shared" si="49"/>
        <v>0</v>
      </c>
      <c r="AP23" s="44">
        <f t="shared" si="49"/>
        <v>0</v>
      </c>
      <c r="AQ23" s="44">
        <f t="shared" si="49"/>
        <v>0</v>
      </c>
      <c r="AR23" s="128">
        <f t="shared" si="35"/>
        <v>36678</v>
      </c>
      <c r="AS23" s="44">
        <f t="shared" si="39"/>
        <v>10619.252078670397</v>
      </c>
      <c r="AT23" s="51"/>
      <c r="AU23" s="51"/>
      <c r="AV23" s="51"/>
      <c r="AW23" s="51"/>
      <c r="AX23" s="51"/>
      <c r="AY23" s="51"/>
      <c r="AZ23" s="51"/>
      <c r="BA23" s="51"/>
      <c r="BB23" s="142">
        <f t="shared" si="40"/>
        <v>36739</v>
      </c>
      <c r="BC23" s="238">
        <f>_xll.xSPRDOPT((VLOOKUP(G23,NGPrices,2,FALSE)+HLOOKUP(D23,Prices,VLOOKUP(G23,move_down,2,FALSE),FALSE)),VLOOKUP(G23,NGPrices,2,FALSE),I23,VLOOKUP(G23,NGPREVPRICES,4,FALSE),HLOOKUP(D23,PREVVOLS,VLOOKUP(G23,MOVE_DOWN2,2,FALSE),FALSE),VLOOKUP(G23,NGPREVPRICES,3,FALSE),HLOOKUP(D23,Correllate,VLOOKUP(G23,CorMove,2,FALSE),FALSE),Q23-$BC$3,R23,$BC$5)*H23-BI23</f>
        <v>181.47540762059907</v>
      </c>
      <c r="BD23" s="238">
        <f>_xll.xSPRDOPT((VLOOKUP(G23,NGPREVPRICES,2,FALSE)+HLOOKUP(D23,PREVCURVES,VLOOKUP(G23,MOVE_DOWN2,2,FALSE),FALSE)),VLOOKUP(G23,NGPREVPRICES,2,FALSE),BJ23,VLOOKUP(G23,NGPrices,4,FALSE),HLOOKUP(D23,PREVVOLS,VLOOKUP(G23,MOVE_DOWN2,2,FALSE),FALSE),VLOOKUP(G23,NGPREVPRICES,3,FALSE),HLOOKUP(D23,Correllate,VLOOKUP(G23,CorMove,2,FALSE),FALSE),Q23-$BC$3,R23,$BI$5)*H23-BI23</f>
        <v>-7.3497877758200048E-2</v>
      </c>
      <c r="BE23" s="10">
        <f t="shared" si="41"/>
        <v>-1.7363838271594432</v>
      </c>
      <c r="BF23" s="238">
        <f>_xll.xSPRDOPT((VLOOKUP(G23,NGPREVPRICES,2,FALSE)+HLOOKUP(D23,PREVCURVES,VLOOKUP(G23,MOVE_DOWN2,2,FALSE),FALSE)),VLOOKUP(G23,NGPREVPRICES,2,FALSE),BJ23,VLOOKUP(G23,NGPREVPRICES,4,FALSE),HLOOKUP(D23,VOLS,VLOOKUP(G23,move_down,2,FALSE),FALSE),VLOOKUP(G23,NGPrices,3,FALSE),HLOOKUP(D23,Correllate,VLOOKUP(G23,CorMove,2,FALSE),FALSE),Q23-$BC$3,R23,$BI$5)*H23-BI23</f>
        <v>228.55247770658389</v>
      </c>
      <c r="BG23" s="238">
        <f>_xll.xSPRDOPT((VLOOKUP(G23,NGPREVPRICES,2,FALSE)+HLOOKUP(D23,PREVCURVES,VLOOKUP(G23,MOVE_DOWN2,2,FALSE),FALSE)),VLOOKUP(G23,NGPREVPRICES,2,FALSE),BJ23,VLOOKUP(G23,NGPREVPRICES,4,FALSE),HLOOKUP(D23,PREVVOLS,VLOOKUP(G23,MOVE_DOWN2,2,FALSE),FALSE),VLOOKUP(G23,NGPREVPRICES,3,FALSE),HLOOKUP(D23,Correllate,VLOOKUP(G23,CorMove,2,FALSE),FALSE),Q23-$C$3,R23,$BI$5)*H23-BI23</f>
        <v>-118.74841167705745</v>
      </c>
      <c r="BH23" s="238">
        <f t="shared" si="42"/>
        <v>289.46959194520787</v>
      </c>
      <c r="BI23" s="238">
        <f>_xll.xSPRDOPT((VLOOKUP(G23,NGPREVPRICES,2,FALSE)+HLOOKUP(D23,PREVCURVES,VLOOKUP(G23,MOVE_DOWN2,2,FALSE),FALSE)),VLOOKUP(G23,NGPREVPRICES,2,FALSE),BJ23,VLOOKUP(G23,NGPREVPRICES,4,FALSE),HLOOKUP(D23,PREVVOLS,VLOOKUP(G23,MOVE_DOWN2,2,FALSE),FALSE),VLOOKUP(G23,NGPREVPRICES,3,FALSE),HLOOKUP(D23,Correllate,VLOOKUP(G23,CorMove,2,FALSE),FALSE),Q23-$BC$3,R23,$BI$5)*H23</f>
        <v>9811.1818889442093</v>
      </c>
      <c r="BJ23" s="239">
        <f t="shared" si="43"/>
        <v>0.16</v>
      </c>
      <c r="BK23" s="238"/>
      <c r="BL23" t="str">
        <f t="shared" si="44"/>
        <v>36739Curve Shift/Gamma</v>
      </c>
      <c r="BM23" t="str">
        <f t="shared" si="22"/>
        <v>36739Rho</v>
      </c>
      <c r="BN23" t="str">
        <f t="shared" si="23"/>
        <v>36739Drift</v>
      </c>
      <c r="BO23" t="str">
        <f t="shared" si="24"/>
        <v>36739Vega</v>
      </c>
      <c r="BP23" t="str">
        <f t="shared" si="25"/>
        <v>36739Theta</v>
      </c>
      <c r="BQ23" s="398">
        <f t="shared" si="36"/>
        <v>37043</v>
      </c>
      <c r="BR23" s="399">
        <f t="shared" si="26"/>
        <v>267.60493574593784</v>
      </c>
      <c r="BS23" s="243">
        <f t="shared" si="27"/>
        <v>8.8051825687580276</v>
      </c>
      <c r="BT23" s="243">
        <f t="shared" si="28"/>
        <v>-3.7510877761924348</v>
      </c>
      <c r="BU23" s="243">
        <f t="shared" si="29"/>
        <v>144.75899710502199</v>
      </c>
      <c r="BV23" s="253">
        <f t="shared" si="30"/>
        <v>-89.052380382923729</v>
      </c>
      <c r="BW23" s="244">
        <f t="shared" si="37"/>
        <v>328.36564726060169</v>
      </c>
    </row>
    <row r="24" spans="1:75" ht="12" customHeight="1" x14ac:dyDescent="0.25">
      <c r="A24" s="397" t="s">
        <v>271</v>
      </c>
      <c r="B24" s="4" t="s">
        <v>253</v>
      </c>
      <c r="C24" s="4" t="s">
        <v>94</v>
      </c>
      <c r="D24" s="4" t="s">
        <v>9</v>
      </c>
      <c r="E24" s="4" t="s">
        <v>20</v>
      </c>
      <c r="F24" s="4" t="s">
        <v>1</v>
      </c>
      <c r="G24" s="5">
        <v>36739</v>
      </c>
      <c r="H24" s="130">
        <f>10000*(EOMONTH(G24,0)-G24)+10000</f>
        <v>310000</v>
      </c>
      <c r="I24" s="4">
        <v>-0.4</v>
      </c>
      <c r="J24" s="53">
        <f t="shared" si="1"/>
        <v>3.1829999999999998</v>
      </c>
      <c r="K24" s="7">
        <f t="shared" si="2"/>
        <v>-0.32250000000000001</v>
      </c>
      <c r="L24" s="4">
        <f t="shared" si="3"/>
        <v>2.8605</v>
      </c>
      <c r="M24" s="159">
        <f t="shared" si="4"/>
        <v>6.4500399973534003E-2</v>
      </c>
      <c r="N24" s="4">
        <f t="shared" si="5"/>
        <v>0.41249999999999998</v>
      </c>
      <c r="O24" s="4">
        <f t="shared" si="6"/>
        <v>0.40400000000000003</v>
      </c>
      <c r="P24" s="9">
        <f t="shared" si="45"/>
        <v>0.96</v>
      </c>
      <c r="Q24" s="5">
        <f t="shared" si="8"/>
        <v>36735</v>
      </c>
      <c r="R24" s="4">
        <f t="shared" si="9"/>
        <v>0</v>
      </c>
      <c r="S24" s="160">
        <f>_xll.xSPRDOPT($L24,$J24,$I24,$M24,$O24,$N24,$P24,$Q24-$C$3,$R24,0)</f>
        <v>4.9324185810084888E-2</v>
      </c>
      <c r="T24" s="161">
        <f>_xll.xSPRDOPT($L24,$J24,$I24,$M24,$O24,$N24,$P24,$Q24-$C$3,$R24,1)*H24</f>
        <v>-105948.12300219067</v>
      </c>
      <c r="U24" s="162">
        <f t="shared" si="46"/>
        <v>15290.497601126315</v>
      </c>
      <c r="V24" s="161">
        <f>_xll.xSPRDOPT($L24,$J24,$I24,$M24,$O24,$N24,$P24,$Q24-$C$3,$R24,2)*H24</f>
        <v>112343.66643468848</v>
      </c>
      <c r="W24" s="161">
        <f t="shared" si="47"/>
        <v>6395.5434324978123</v>
      </c>
      <c r="X24" s="51" t="str">
        <f t="shared" si="12"/>
        <v>36739IF-NWPL_ROCKY_M</v>
      </c>
      <c r="Y24" s="431">
        <f t="shared" si="31"/>
        <v>31</v>
      </c>
      <c r="Z24" s="51"/>
      <c r="AA24" s="128">
        <f t="shared" si="32"/>
        <v>36708</v>
      </c>
      <c r="AB24" s="43">
        <f t="shared" si="48"/>
        <v>21.497107611943335</v>
      </c>
      <c r="AC24" s="43">
        <f t="shared" si="48"/>
        <v>51.317443160516305</v>
      </c>
      <c r="AD24" s="43">
        <f t="shared" si="48"/>
        <v>-76.360544634027292</v>
      </c>
      <c r="AE24" s="43">
        <f t="shared" si="48"/>
        <v>0</v>
      </c>
      <c r="AF24" s="44">
        <f t="shared" si="48"/>
        <v>0</v>
      </c>
      <c r="AG24" s="44">
        <f t="shared" si="48"/>
        <v>0</v>
      </c>
      <c r="AH24" s="128">
        <f t="shared" si="33"/>
        <v>36708</v>
      </c>
      <c r="AI24" s="44">
        <f t="shared" si="38"/>
        <v>-3.5459938615676521</v>
      </c>
      <c r="AJ24" s="51"/>
      <c r="AK24" s="128">
        <f t="shared" si="34"/>
        <v>36708</v>
      </c>
      <c r="AL24" s="43">
        <f t="shared" si="49"/>
        <v>-9238.425493187533</v>
      </c>
      <c r="AM24" s="43">
        <f t="shared" si="49"/>
        <v>5579.3172930431028</v>
      </c>
      <c r="AN24" s="43">
        <f t="shared" si="49"/>
        <v>18957.146776269175</v>
      </c>
      <c r="AO24" s="43">
        <f t="shared" si="49"/>
        <v>0</v>
      </c>
      <c r="AP24" s="44">
        <f t="shared" si="49"/>
        <v>0</v>
      </c>
      <c r="AQ24" s="44">
        <f t="shared" si="49"/>
        <v>0</v>
      </c>
      <c r="AR24" s="128">
        <f t="shared" si="35"/>
        <v>36708</v>
      </c>
      <c r="AS24" s="44">
        <f t="shared" si="39"/>
        <v>15298.038576124745</v>
      </c>
      <c r="AT24" s="51"/>
      <c r="AU24" s="51"/>
      <c r="AV24" s="51"/>
      <c r="AW24" s="51"/>
      <c r="AX24" s="51"/>
      <c r="AY24" s="51"/>
      <c r="AZ24" s="51"/>
      <c r="BA24" s="51"/>
      <c r="BB24" s="142">
        <f t="shared" si="40"/>
        <v>36739</v>
      </c>
      <c r="BC24" s="238">
        <f>_xll.xSPRDOPT((VLOOKUP(G24,NGPrices,2,FALSE)+HLOOKUP(D24,Prices,VLOOKUP(G24,move_down,2,FALSE),FALSE)),VLOOKUP(G24,NGPrices,2,FALSE),I24,VLOOKUP(G24,NGPREVPRICES,4,FALSE),HLOOKUP(D24,PREVVOLS,VLOOKUP(G24,MOVE_DOWN2,2,FALSE),FALSE),VLOOKUP(G24,NGPREVPRICES,3,FALSE),HLOOKUP(D24,Correllate,VLOOKUP(G24,CorMove,2,FALSE),FALSE),Q24-$BC$3,R24,$BC$5)*H24-BI24</f>
        <v>2000.3466740466338</v>
      </c>
      <c r="BD24" s="238">
        <f>_xll.xSPRDOPT((VLOOKUP(G24,NGPREVPRICES,2,FALSE)+HLOOKUP(D24,PREVCURVES,VLOOKUP(G24,MOVE_DOWN2,2,FALSE),FALSE)),VLOOKUP(G24,NGPREVPRICES,2,FALSE),BJ24,VLOOKUP(G24,NGPrices,4,FALSE),HLOOKUP(D24,PREVVOLS,VLOOKUP(G24,MOVE_DOWN2,2,FALSE),FALSE),VLOOKUP(G24,NGPREVPRICES,3,FALSE),HLOOKUP(D24,Correllate,VLOOKUP(G24,CorMove,2,FALSE),FALSE),Q24-$BC$3,R24,$BI$5)*H24-BI24</f>
        <v>-9.7813640351887443E-2</v>
      </c>
      <c r="BE24" s="10">
        <f t="shared" si="41"/>
        <v>-2.3108425489135698</v>
      </c>
      <c r="BF24" s="238">
        <f>_xll.xSPRDOPT((VLOOKUP(G24,NGPREVPRICES,2,FALSE)+HLOOKUP(D24,PREVCURVES,VLOOKUP(G24,MOVE_DOWN2,2,FALSE),FALSE)),VLOOKUP(G24,NGPREVPRICES,2,FALSE),BJ24,VLOOKUP(G24,NGPREVPRICES,4,FALSE),HLOOKUP(D24,VOLS,VLOOKUP(G24,move_down,2,FALSE),FALSE),VLOOKUP(G24,NGPrices,3,FALSE),HLOOKUP(D24,Correllate,VLOOKUP(G24,CorMove,2,FALSE),FALSE),Q24-$BC$3,R24,$BI$5)*H24-BI24</f>
        <v>541.77019562583337</v>
      </c>
      <c r="BG24" s="238">
        <f>_xll.xSPRDOPT((VLOOKUP(G24,NGPREVPRICES,2,FALSE)+HLOOKUP(D24,PREVCURVES,VLOOKUP(G24,MOVE_DOWN2,2,FALSE),FALSE)),VLOOKUP(G24,NGPREVPRICES,2,FALSE),BJ24,VLOOKUP(G24,NGPREVPRICES,4,FALSE),HLOOKUP(D24,PREVVOLS,VLOOKUP(G24,MOVE_DOWN2,2,FALSE),FALSE),VLOOKUP(G24,NGPREVPRICES,3,FALSE),HLOOKUP(D24,Correllate,VLOOKUP(G24,CorMove,2,FALSE),FALSE),Q24-$C$3,R24,$BI$5)*H24-BI24</f>
        <v>-312.33517151145679</v>
      </c>
      <c r="BH24" s="238">
        <f t="shared" si="42"/>
        <v>2227.3730419717449</v>
      </c>
      <c r="BI24" s="238">
        <f>_xll.xSPRDOPT((VLOOKUP(G24,NGPREVPRICES,2,FALSE)+HLOOKUP(D24,PREVCURVES,VLOOKUP(G24,MOVE_DOWN2,2,FALSE),FALSE)),VLOOKUP(G24,NGPREVPRICES,2,FALSE),BJ24,VLOOKUP(G24,NGPREVPRICES,4,FALSE),HLOOKUP(D24,PREVVOLS,VLOOKUP(G24,MOVE_DOWN2,2,FALSE),FALSE),VLOOKUP(G24,NGPREVPRICES,3,FALSE),HLOOKUP(D24,Correllate,VLOOKUP(G24,CorMove,2,FALSE),FALSE),Q24-$BC$3,R24,$BI$5)*H24</f>
        <v>13057.076557312392</v>
      </c>
      <c r="BJ24" s="239">
        <f t="shared" si="43"/>
        <v>-0.4</v>
      </c>
      <c r="BK24" s="238"/>
      <c r="BL24" t="str">
        <f t="shared" si="44"/>
        <v>36739Curve Shift/Gamma</v>
      </c>
      <c r="BM24" t="str">
        <f t="shared" si="22"/>
        <v>36739Rho</v>
      </c>
      <c r="BN24" t="str">
        <f t="shared" si="23"/>
        <v>36739Drift</v>
      </c>
      <c r="BO24" t="str">
        <f t="shared" si="24"/>
        <v>36739Vega</v>
      </c>
      <c r="BP24" t="str">
        <f t="shared" si="25"/>
        <v>36739Theta</v>
      </c>
      <c r="BQ24" s="398">
        <f t="shared" si="36"/>
        <v>37073</v>
      </c>
      <c r="BR24" s="399">
        <f t="shared" si="26"/>
        <v>275.04703333503858</v>
      </c>
      <c r="BS24" s="243">
        <f t="shared" si="27"/>
        <v>11.28577932087137</v>
      </c>
      <c r="BT24" s="243">
        <f t="shared" si="28"/>
        <v>-4.0541789781418629</v>
      </c>
      <c r="BU24" s="243">
        <f t="shared" si="29"/>
        <v>433.71169243607437</v>
      </c>
      <c r="BV24" s="253">
        <f t="shared" si="30"/>
        <v>-84.121052730301017</v>
      </c>
      <c r="BW24" s="244">
        <f t="shared" si="37"/>
        <v>631.86927338354144</v>
      </c>
    </row>
    <row r="25" spans="1:75" ht="12" customHeight="1" x14ac:dyDescent="0.25">
      <c r="A25" s="395" t="s">
        <v>270</v>
      </c>
      <c r="B25" t="s">
        <v>253</v>
      </c>
      <c r="C25" s="7" t="s">
        <v>269</v>
      </c>
      <c r="D25" s="4" t="s">
        <v>10</v>
      </c>
      <c r="E25" s="4" t="s">
        <v>20</v>
      </c>
      <c r="F25" s="5" t="s">
        <v>21</v>
      </c>
      <c r="G25" s="5">
        <v>36739</v>
      </c>
      <c r="H25" s="130">
        <v>600000</v>
      </c>
      <c r="I25" s="4">
        <v>0.16</v>
      </c>
      <c r="J25" s="53">
        <f t="shared" si="1"/>
        <v>3.1829999999999998</v>
      </c>
      <c r="K25" s="7">
        <f t="shared" si="2"/>
        <v>0.16750000000000001</v>
      </c>
      <c r="L25" s="4">
        <f t="shared" si="3"/>
        <v>3.3504999999999998</v>
      </c>
      <c r="M25" s="159">
        <f t="shared" si="4"/>
        <v>6.4500399973534003E-2</v>
      </c>
      <c r="N25" s="4">
        <f t="shared" si="5"/>
        <v>0.41249999999999998</v>
      </c>
      <c r="O25" s="4">
        <f t="shared" si="6"/>
        <v>0.40400000000000003</v>
      </c>
      <c r="P25" s="9">
        <f t="shared" si="45"/>
        <v>0.995</v>
      </c>
      <c r="Q25" s="5">
        <f t="shared" si="8"/>
        <v>36735</v>
      </c>
      <c r="R25" s="4">
        <f t="shared" si="9"/>
        <v>1</v>
      </c>
      <c r="S25" s="160">
        <f>_xll.xSPRDOPT($L25,$J25,$I25,$M25,$O25,$N25,$P25,$Q25-$C$3,$R25,0)</f>
        <v>3.2583781358017379E-2</v>
      </c>
      <c r="T25" s="161">
        <f>_xll.xSPRDOPT($L25,$J25,$I25,$M25,$O25,$N25,$P25,$Q25-$C$3,$R25,1)*H25</f>
        <v>321840.37139992887</v>
      </c>
      <c r="U25" s="162">
        <f t="shared" si="46"/>
        <v>19550.268814810428</v>
      </c>
      <c r="V25" s="161">
        <f>_xll.xSPRDOPT($L25,$J25,$I25,$M25,$O25,$N25,$P25,$Q25-$C$3,$R25,2)*H25</f>
        <v>-317278.20522638416</v>
      </c>
      <c r="W25" s="161">
        <f t="shared" si="47"/>
        <v>4562.1661735447124</v>
      </c>
      <c r="X25" s="51" t="str">
        <f t="shared" si="12"/>
        <v>36739IF-CGT/APPALAC</v>
      </c>
      <c r="Y25" s="431">
        <f t="shared" si="31"/>
        <v>60</v>
      </c>
      <c r="Z25" s="51"/>
      <c r="AA25" s="128">
        <f t="shared" si="32"/>
        <v>36739</v>
      </c>
      <c r="AB25" s="43">
        <f t="shared" si="48"/>
        <v>24.560092643678171</v>
      </c>
      <c r="AC25" s="43">
        <f t="shared" si="48"/>
        <v>48.812456328989214</v>
      </c>
      <c r="AD25" s="43">
        <f t="shared" si="48"/>
        <v>-82.465106457572034</v>
      </c>
      <c r="AE25" s="43">
        <f t="shared" si="48"/>
        <v>0</v>
      </c>
      <c r="AF25" s="44">
        <f t="shared" si="48"/>
        <v>0</v>
      </c>
      <c r="AG25" s="44">
        <f t="shared" si="48"/>
        <v>0</v>
      </c>
      <c r="AH25" s="128">
        <f t="shared" si="33"/>
        <v>36739</v>
      </c>
      <c r="AI25" s="44">
        <f t="shared" si="38"/>
        <v>-9.0925574849046455</v>
      </c>
      <c r="AJ25" s="51"/>
      <c r="AK25" s="128">
        <f t="shared" si="34"/>
        <v>36739</v>
      </c>
      <c r="AL25" s="43">
        <f t="shared" si="49"/>
        <v>-11520.479257523606</v>
      </c>
      <c r="AM25" s="43">
        <f t="shared" si="49"/>
        <v>6919.2853632094921</v>
      </c>
      <c r="AN25" s="43">
        <f t="shared" si="49"/>
        <v>24003.664389002399</v>
      </c>
      <c r="AO25" s="43">
        <f t="shared" si="49"/>
        <v>0</v>
      </c>
      <c r="AP25" s="44">
        <f t="shared" si="49"/>
        <v>0</v>
      </c>
      <c r="AQ25" s="44">
        <f t="shared" si="49"/>
        <v>0</v>
      </c>
      <c r="AR25" s="128">
        <f t="shared" si="35"/>
        <v>36739</v>
      </c>
      <c r="AS25" s="44">
        <f t="shared" si="39"/>
        <v>19402.470494688285</v>
      </c>
      <c r="AT25" s="51"/>
      <c r="AU25" s="51"/>
      <c r="AV25" s="51"/>
      <c r="AW25" s="51"/>
      <c r="AX25" s="51"/>
      <c r="AY25" s="51"/>
      <c r="AZ25" s="51"/>
      <c r="BA25" s="51"/>
      <c r="BB25" s="142">
        <f t="shared" si="40"/>
        <v>36739</v>
      </c>
      <c r="BC25" s="238">
        <f>_xll.xSPRDOPT((VLOOKUP(G25,NGPrices,2,FALSE)+HLOOKUP(D25,Prices,VLOOKUP(G25,move_down,2,FALSE),FALSE)),VLOOKUP(G25,NGPrices,2,FALSE),I25,VLOOKUP(G25,NGPREVPRICES,4,FALSE),HLOOKUP(D25,PREVVOLS,VLOOKUP(G25,MOVE_DOWN2,2,FALSE),FALSE),VLOOKUP(G25,NGPREVPRICES,3,FALSE),HLOOKUP(D25,Correllate,VLOOKUP(G25,CorMove,2,FALSE),FALSE),Q25-$BC$3,R25,$BC$5)*H25-BI25</f>
        <v>351.24272442696747</v>
      </c>
      <c r="BD25" s="238">
        <f>_xll.xSPRDOPT((VLOOKUP(G25,NGPREVPRICES,2,FALSE)+HLOOKUP(D25,PREVCURVES,VLOOKUP(G25,MOVE_DOWN2,2,FALSE),FALSE)),VLOOKUP(G25,NGPREVPRICES,2,FALSE),BJ25,VLOOKUP(G25,NGPrices,4,FALSE),HLOOKUP(D25,PREVVOLS,VLOOKUP(G25,MOVE_DOWN2,2,FALSE),FALSE),VLOOKUP(G25,NGPREVPRICES,3,FALSE),HLOOKUP(D25,Correllate,VLOOKUP(G25,CorMove,2,FALSE),FALSE),Q25-$BC$3,R25,$BI$5)*H25-BI25</f>
        <v>-0.14225395695393672</v>
      </c>
      <c r="BE25" s="10">
        <f t="shared" si="41"/>
        <v>-3.360742891276459</v>
      </c>
      <c r="BF25" s="238">
        <f>_xll.xSPRDOPT((VLOOKUP(G25,NGPREVPRICES,2,FALSE)+HLOOKUP(D25,PREVCURVES,VLOOKUP(G25,MOVE_DOWN2,2,FALSE),FALSE)),VLOOKUP(G25,NGPREVPRICES,2,FALSE),BJ25,VLOOKUP(G25,NGPREVPRICES,4,FALSE),HLOOKUP(D25,VOLS,VLOOKUP(G25,move_down,2,FALSE),FALSE),VLOOKUP(G25,NGPrices,3,FALSE),HLOOKUP(D25,Correllate,VLOOKUP(G25,CorMove,2,FALSE),FALSE),Q25-$BC$3,R25,$BI$5)*H25-BI25</f>
        <v>442.35963427080424</v>
      </c>
      <c r="BG25" s="238">
        <f>_xll.xSPRDOPT((VLOOKUP(G25,NGPREVPRICES,2,FALSE)+HLOOKUP(D25,PREVCURVES,VLOOKUP(G25,MOVE_DOWN2,2,FALSE),FALSE)),VLOOKUP(G25,NGPREVPRICES,2,FALSE),BJ25,VLOOKUP(G25,NGPREVPRICES,4,FALSE),HLOOKUP(D25,PREVVOLS,VLOOKUP(G25,MOVE_DOWN2,2,FALSE),FALSE),VLOOKUP(G25,NGPREVPRICES,3,FALSE),HLOOKUP(D25,Correllate,VLOOKUP(G25,CorMove,2,FALSE),FALSE),Q25-$C$3,R25,$BI$5)*H25-BI25</f>
        <v>-229.83563550398321</v>
      </c>
      <c r="BH25" s="238">
        <f t="shared" si="42"/>
        <v>560.2637263455581</v>
      </c>
      <c r="BI25" s="238">
        <f>_xll.xSPRDOPT((VLOOKUP(G25,NGPREVPRICES,2,FALSE)+HLOOKUP(D25,PREVCURVES,VLOOKUP(G25,MOVE_DOWN2,2,FALSE),FALSE)),VLOOKUP(G25,NGPREVPRICES,2,FALSE),BJ25,VLOOKUP(G25,NGPREVPRICES,4,FALSE),HLOOKUP(D25,PREVVOLS,VLOOKUP(G25,MOVE_DOWN2,2,FALSE),FALSE),VLOOKUP(G25,NGPREVPRICES,3,FALSE),HLOOKUP(D25,Correllate,VLOOKUP(G25,CorMove,2,FALSE),FALSE),Q25-$BC$3,R25,$BI$5)*H25</f>
        <v>18989.384301182341</v>
      </c>
      <c r="BJ25" s="239">
        <f t="shared" si="43"/>
        <v>0.16</v>
      </c>
      <c r="BK25" s="238"/>
      <c r="BL25" t="str">
        <f t="shared" si="44"/>
        <v>36739Curve Shift/Gamma</v>
      </c>
      <c r="BM25" t="str">
        <f t="shared" si="22"/>
        <v>36739Rho</v>
      </c>
      <c r="BN25" t="str">
        <f t="shared" si="23"/>
        <v>36739Drift</v>
      </c>
      <c r="BO25" t="str">
        <f t="shared" si="24"/>
        <v>36739Vega</v>
      </c>
      <c r="BP25" t="str">
        <f t="shared" si="25"/>
        <v>36739Theta</v>
      </c>
      <c r="BQ25" s="398">
        <f t="shared" si="36"/>
        <v>37104</v>
      </c>
      <c r="BR25" s="399">
        <f t="shared" si="26"/>
        <v>268.06089985037761</v>
      </c>
      <c r="BS25" s="243">
        <f t="shared" si="27"/>
        <v>14.221635680525651</v>
      </c>
      <c r="BT25" s="243">
        <f t="shared" si="28"/>
        <v>-4.2720138823715388</v>
      </c>
      <c r="BU25" s="243">
        <f t="shared" si="29"/>
        <v>447.63292489535525</v>
      </c>
      <c r="BV25" s="253">
        <f t="shared" si="30"/>
        <v>-80.027983940930426</v>
      </c>
      <c r="BW25" s="244">
        <f t="shared" si="37"/>
        <v>645.61546260295654</v>
      </c>
    </row>
    <row r="26" spans="1:75" ht="12" customHeight="1" x14ac:dyDescent="0.25">
      <c r="A26" s="395" t="s">
        <v>270</v>
      </c>
      <c r="B26" s="7" t="s">
        <v>253</v>
      </c>
      <c r="C26" s="7" t="s">
        <v>93</v>
      </c>
      <c r="D26" s="4" t="s">
        <v>7</v>
      </c>
      <c r="E26" s="4" t="s">
        <v>20</v>
      </c>
      <c r="F26" s="5" t="s">
        <v>21</v>
      </c>
      <c r="G26" s="5">
        <v>36739</v>
      </c>
      <c r="H26" s="130">
        <v>500000</v>
      </c>
      <c r="I26" s="4">
        <v>0.3</v>
      </c>
      <c r="J26" s="53">
        <f t="shared" si="1"/>
        <v>3.1829999999999998</v>
      </c>
      <c r="K26" s="7">
        <f t="shared" si="2"/>
        <v>0.34499999999999997</v>
      </c>
      <c r="L26" s="4">
        <f t="shared" si="3"/>
        <v>3.5279999999999996</v>
      </c>
      <c r="M26" s="159">
        <f t="shared" si="4"/>
        <v>6.4500399973534003E-2</v>
      </c>
      <c r="N26" s="4">
        <f t="shared" si="5"/>
        <v>0.41249999999999998</v>
      </c>
      <c r="O26" s="4">
        <f t="shared" si="6"/>
        <v>0.40400000000000003</v>
      </c>
      <c r="P26" s="9">
        <f t="shared" si="45"/>
        <v>0.99</v>
      </c>
      <c r="Q26" s="5">
        <f t="shared" si="8"/>
        <v>36735</v>
      </c>
      <c r="R26" s="4">
        <f t="shared" si="9"/>
        <v>1</v>
      </c>
      <c r="S26" s="160">
        <f>_xll.xSPRDOPT($L26,$J26,$I26,$M26,$O26,$N26,$P26,$Q26-$C$3,$R26,0)</f>
        <v>7.0370105649823031E-2</v>
      </c>
      <c r="T26" s="161">
        <f>_xll.xSPRDOPT($L26,$J26,$I26,$M26,$O26,$N26,$P26,$Q26-$C$3,$R26,1)*H26</f>
        <v>325189.22765374812</v>
      </c>
      <c r="U26" s="162">
        <f t="shared" si="46"/>
        <v>35185.052824911516</v>
      </c>
      <c r="V26" s="161">
        <f>_xll.xSPRDOPT($L26,$J26,$I26,$M26,$O26,$N26,$P26,$Q26-$C$3,$R26,2)*H26</f>
        <v>-320639.02114514465</v>
      </c>
      <c r="W26" s="161">
        <f t="shared" si="47"/>
        <v>4550.2065086034709</v>
      </c>
      <c r="X26" s="51" t="str">
        <f t="shared" si="12"/>
        <v>36739IF-TRANSCO/Z6</v>
      </c>
      <c r="Y26" s="431">
        <f t="shared" si="31"/>
        <v>50</v>
      </c>
      <c r="Z26" s="51"/>
      <c r="AA26" s="128">
        <f t="shared" si="32"/>
        <v>36770</v>
      </c>
      <c r="AB26" s="43">
        <f t="shared" si="48"/>
        <v>36.69663313709944</v>
      </c>
      <c r="AC26" s="43">
        <f t="shared" si="48"/>
        <v>47.554943477789251</v>
      </c>
      <c r="AD26" s="43">
        <f t="shared" si="48"/>
        <v>-85.581676029805578</v>
      </c>
      <c r="AE26" s="43">
        <f t="shared" si="48"/>
        <v>0</v>
      </c>
      <c r="AF26" s="44">
        <f t="shared" si="48"/>
        <v>0</v>
      </c>
      <c r="AG26" s="44">
        <f t="shared" si="48"/>
        <v>0</v>
      </c>
      <c r="AH26" s="128">
        <f t="shared" si="33"/>
        <v>36770</v>
      </c>
      <c r="AI26" s="44">
        <f t="shared" si="38"/>
        <v>-1.3300994149168872</v>
      </c>
      <c r="AJ26" s="51"/>
      <c r="AK26" s="128">
        <f t="shared" si="34"/>
        <v>36770</v>
      </c>
      <c r="AL26" s="43">
        <f t="shared" si="49"/>
        <v>-14069.662139814318</v>
      </c>
      <c r="AM26" s="43">
        <f t="shared" si="49"/>
        <v>7956.8741642971581</v>
      </c>
      <c r="AN26" s="43">
        <f t="shared" si="49"/>
        <v>26564.834385037568</v>
      </c>
      <c r="AO26" s="43">
        <f t="shared" si="49"/>
        <v>0</v>
      </c>
      <c r="AP26" s="44">
        <f t="shared" si="49"/>
        <v>0</v>
      </c>
      <c r="AQ26" s="44">
        <f t="shared" si="49"/>
        <v>0</v>
      </c>
      <c r="AR26" s="128">
        <f t="shared" si="35"/>
        <v>36770</v>
      </c>
      <c r="AS26" s="44">
        <f t="shared" si="39"/>
        <v>20452.046409520408</v>
      </c>
      <c r="AT26" s="51"/>
      <c r="AU26" s="51"/>
      <c r="AV26" s="51"/>
      <c r="AW26" s="51"/>
      <c r="AX26" s="51"/>
      <c r="AY26" s="51"/>
      <c r="AZ26" s="51"/>
      <c r="BA26" s="51"/>
      <c r="BB26" s="142">
        <f t="shared" si="40"/>
        <v>36739</v>
      </c>
      <c r="BC26" s="238">
        <f>_xll.xSPRDOPT((VLOOKUP(G26,NGPrices,2,FALSE)+HLOOKUP(D26,Prices,VLOOKUP(G26,move_down,2,FALSE),FALSE)),VLOOKUP(G26,NGPrices,2,FALSE),I26,VLOOKUP(G26,NGPREVPRICES,4,FALSE),HLOOKUP(D26,PREVVOLS,VLOOKUP(G26,MOVE_DOWN2,2,FALSE),FALSE),VLOOKUP(G26,NGPREVPRICES,3,FALSE),HLOOKUP(D26,Correllate,VLOOKUP(G26,CorMove,2,FALSE),FALSE),Q26-$BC$3,R26,$BC$5)*H26-BI26</f>
        <v>5072.9306126128904</v>
      </c>
      <c r="BD26" s="238">
        <f>_xll.xSPRDOPT((VLOOKUP(G26,NGPREVPRICES,2,FALSE)+HLOOKUP(D26,PREVCURVES,VLOOKUP(G26,MOVE_DOWN2,2,FALSE),FALSE)),VLOOKUP(G26,NGPREVPRICES,2,FALSE),BJ26,VLOOKUP(G26,NGPrices,4,FALSE),HLOOKUP(D26,PREVVOLS,VLOOKUP(G26,MOVE_DOWN2,2,FALSE),FALSE),VLOOKUP(G26,NGPREVPRICES,3,FALSE),HLOOKUP(D26,Correllate,VLOOKUP(G26,CorMove,2,FALSE),FALSE),Q26-$BC$3,R26,$BI$5)*H26-BI26</f>
        <v>-0.22361496476878528</v>
      </c>
      <c r="BE26" s="10">
        <f t="shared" si="41"/>
        <v>-5.2828927878654213</v>
      </c>
      <c r="BF26" s="238">
        <f>_xll.xSPRDOPT((VLOOKUP(G26,NGPREVPRICES,2,FALSE)+HLOOKUP(D26,PREVCURVES,VLOOKUP(G26,MOVE_DOWN2,2,FALSE),FALSE)),VLOOKUP(G26,NGPREVPRICES,2,FALSE),BJ26,VLOOKUP(G26,NGPREVPRICES,4,FALSE),HLOOKUP(D26,VOLS,VLOOKUP(G26,move_down,2,FALSE),FALSE),VLOOKUP(G26,NGPrices,3,FALSE),HLOOKUP(D26,Correllate,VLOOKUP(G26,CorMove,2,FALSE),FALSE),Q26-$BC$3,R26,$BI$5)*H26-BI26</f>
        <v>559.8593128795801</v>
      </c>
      <c r="BG26" s="238">
        <f>_xll.xSPRDOPT((VLOOKUP(G26,NGPREVPRICES,2,FALSE)+HLOOKUP(D26,PREVCURVES,VLOOKUP(G26,MOVE_DOWN2,2,FALSE),FALSE)),VLOOKUP(G26,NGPREVPRICES,2,FALSE),BJ26,VLOOKUP(G26,NGPREVPRICES,4,FALSE),HLOOKUP(D26,PREVVOLS,VLOOKUP(G26,MOVE_DOWN2,2,FALSE),FALSE),VLOOKUP(G26,NGPREVPRICES,3,FALSE),HLOOKUP(D26,Correllate,VLOOKUP(G26,CorMove,2,FALSE),FALSE),Q26-$C$3,R26,$BI$5)*H26-BI26</f>
        <v>-286.3774815523866</v>
      </c>
      <c r="BH26" s="238">
        <f t="shared" si="42"/>
        <v>5340.9059361874497</v>
      </c>
      <c r="BI26" s="238">
        <f>_xll.xSPRDOPT((VLOOKUP(G26,NGPREVPRICES,2,FALSE)+HLOOKUP(D26,PREVCURVES,VLOOKUP(G26,MOVE_DOWN2,2,FALSE),FALSE)),VLOOKUP(G26,NGPREVPRICES,2,FALSE),BJ26,VLOOKUP(G26,NGPREVPRICES,4,FALSE),HLOOKUP(D26,PREVVOLS,VLOOKUP(G26,MOVE_DOWN2,2,FALSE),FALSE),VLOOKUP(G26,NGPREVPRICES,3,FALSE),HLOOKUP(D26,Correllate,VLOOKUP(G26,CorMove,2,FALSE),FALSE),Q26-$BC$3,R26,$BI$5)*H26</f>
        <v>29850.210092264348</v>
      </c>
      <c r="BJ26" s="239">
        <f t="shared" si="43"/>
        <v>0.3</v>
      </c>
      <c r="BK26" s="238"/>
      <c r="BL26" t="str">
        <f t="shared" si="44"/>
        <v>36739Curve Shift/Gamma</v>
      </c>
      <c r="BM26" t="str">
        <f t="shared" si="22"/>
        <v>36739Rho</v>
      </c>
      <c r="BN26" t="str">
        <f t="shared" si="23"/>
        <v>36739Drift</v>
      </c>
      <c r="BO26" t="str">
        <f t="shared" si="24"/>
        <v>36739Vega</v>
      </c>
      <c r="BP26" t="str">
        <f t="shared" si="25"/>
        <v>36739Theta</v>
      </c>
      <c r="BQ26" s="398">
        <f t="shared" si="36"/>
        <v>37135</v>
      </c>
      <c r="BR26" s="399">
        <f t="shared" si="26"/>
        <v>244.51633217011477</v>
      </c>
      <c r="BS26" s="243">
        <f t="shared" si="27"/>
        <v>17.13321655753316</v>
      </c>
      <c r="BT26" s="243">
        <f t="shared" si="28"/>
        <v>-4.3865403257404978</v>
      </c>
      <c r="BU26" s="243">
        <f t="shared" si="29"/>
        <v>160.06932525827142</v>
      </c>
      <c r="BV26" s="253">
        <f t="shared" si="30"/>
        <v>-77.347885133178352</v>
      </c>
      <c r="BW26" s="244">
        <f t="shared" si="37"/>
        <v>339.9844485270005</v>
      </c>
    </row>
    <row r="27" spans="1:75" ht="12" customHeight="1" x14ac:dyDescent="0.25">
      <c r="A27" s="395" t="s">
        <v>282</v>
      </c>
      <c r="B27" s="156" t="s">
        <v>253</v>
      </c>
      <c r="C27" s="154" t="s">
        <v>112</v>
      </c>
      <c r="D27" s="4" t="s">
        <v>7</v>
      </c>
      <c r="E27" s="154" t="s">
        <v>20</v>
      </c>
      <c r="F27" s="154" t="s">
        <v>21</v>
      </c>
      <c r="G27" s="365">
        <v>36770</v>
      </c>
      <c r="H27" s="155">
        <v>300000</v>
      </c>
      <c r="I27">
        <v>0.25</v>
      </c>
      <c r="J27" s="53">
        <f t="shared" si="1"/>
        <v>3.173</v>
      </c>
      <c r="K27" s="7">
        <f t="shared" si="2"/>
        <v>0.315</v>
      </c>
      <c r="L27" s="51">
        <f t="shared" si="3"/>
        <v>3.488</v>
      </c>
      <c r="M27" s="52">
        <f t="shared" si="4"/>
        <v>6.5221012015626995E-2</v>
      </c>
      <c r="N27" s="51">
        <f t="shared" si="5"/>
        <v>0.42</v>
      </c>
      <c r="O27" s="51">
        <f t="shared" si="6"/>
        <v>0.41199999999999998</v>
      </c>
      <c r="P27" s="9">
        <f t="shared" si="45"/>
        <v>0.99</v>
      </c>
      <c r="Q27" s="5">
        <f t="shared" si="8"/>
        <v>36768</v>
      </c>
      <c r="R27" s="51">
        <f t="shared" si="9"/>
        <v>1</v>
      </c>
      <c r="S27" s="77">
        <f>_xll.xSPRDOPT($L27,$J27,$I27,$M27,$O27,$N27,$P27,$Q27-$C$3,$R27,0)</f>
        <v>8.8175682757920329E-2</v>
      </c>
      <c r="T27" s="126">
        <f>_xll.xSPRDOPT($L27,$J27,$I27,$M27,$O27,$N27,$P27,$Q27-$C$3,$R27,1)*H27</f>
        <v>205520.27114083315</v>
      </c>
      <c r="U27" s="162">
        <f t="shared" si="46"/>
        <v>26452.704827376099</v>
      </c>
      <c r="V27" s="126">
        <f>_xll.xSPRDOPT($L27,$J27,$I27,$M27,$O27,$N27,$P27,$Q27-$C$3,$R27,2)*H27</f>
        <v>-202335.11186054387</v>
      </c>
      <c r="W27" s="126">
        <f t="shared" si="47"/>
        <v>3185.1592802892847</v>
      </c>
      <c r="X27" s="51" t="str">
        <f t="shared" si="12"/>
        <v>36770IF-TRANSCO/Z6</v>
      </c>
      <c r="Y27" s="431">
        <f t="shared" si="31"/>
        <v>30</v>
      </c>
      <c r="Z27" s="51"/>
      <c r="AA27" s="128">
        <f t="shared" si="32"/>
        <v>36800</v>
      </c>
      <c r="AB27" s="43">
        <f t="shared" ref="AB27:AG36" si="50">SUMIF($X:$X,CONCATENATE($AA27,AB$6),$T:$T)/10000</f>
        <v>27.137160678862443</v>
      </c>
      <c r="AC27" s="43">
        <f t="shared" si="50"/>
        <v>46.660478259193049</v>
      </c>
      <c r="AD27" s="43">
        <f t="shared" si="50"/>
        <v>-84.188570997834674</v>
      </c>
      <c r="AE27" s="43">
        <f t="shared" si="50"/>
        <v>0</v>
      </c>
      <c r="AF27" s="44">
        <f t="shared" si="50"/>
        <v>0</v>
      </c>
      <c r="AG27" s="44">
        <f t="shared" si="50"/>
        <v>0</v>
      </c>
      <c r="AH27" s="128">
        <f t="shared" si="33"/>
        <v>36800</v>
      </c>
      <c r="AI27" s="44">
        <f t="shared" si="38"/>
        <v>-10.390932059779189</v>
      </c>
      <c r="AJ27" s="51"/>
      <c r="AK27" s="128">
        <f t="shared" si="34"/>
        <v>36800</v>
      </c>
      <c r="AL27" s="43">
        <f t="shared" ref="AL27:AQ36" si="51">SUMIF($X:$X,CONCATENATE($AA27,AL$6),$W:$W)</f>
        <v>-14930.053170524625</v>
      </c>
      <c r="AM27" s="43">
        <f t="shared" si="51"/>
        <v>8912.9254498301307</v>
      </c>
      <c r="AN27" s="43">
        <f t="shared" si="51"/>
        <v>30001.596354942609</v>
      </c>
      <c r="AO27" s="43">
        <f t="shared" si="51"/>
        <v>0</v>
      </c>
      <c r="AP27" s="44">
        <f t="shared" si="51"/>
        <v>0</v>
      </c>
      <c r="AQ27" s="44">
        <f t="shared" si="51"/>
        <v>0</v>
      </c>
      <c r="AR27" s="128">
        <f t="shared" si="35"/>
        <v>36800</v>
      </c>
      <c r="AS27" s="44">
        <f t="shared" si="39"/>
        <v>23984.468634248115</v>
      </c>
      <c r="AT27" s="51"/>
      <c r="AU27" s="51"/>
      <c r="AV27" s="51"/>
      <c r="AW27" s="51"/>
      <c r="AX27" s="51"/>
      <c r="AY27" s="51"/>
      <c r="AZ27" s="51"/>
      <c r="BA27" s="51"/>
      <c r="BB27" s="142">
        <f t="shared" si="40"/>
        <v>36770</v>
      </c>
      <c r="BC27" s="238">
        <f>_xll.xSPRDOPT((VLOOKUP(G27,NGPrices,2,FALSE)+HLOOKUP(D27,Prices,VLOOKUP(G27,move_down,2,FALSE),FALSE)),VLOOKUP(G27,NGPrices,2,FALSE),I27,VLOOKUP(G27,NGPREVPRICES,4,FALSE),HLOOKUP(D27,PREVVOLS,VLOOKUP(G27,MOVE_DOWN2,2,FALSE),FALSE),VLOOKUP(G27,NGPREVPRICES,3,FALSE),HLOOKUP(D27,Correllate,VLOOKUP(G27,CorMove,2,FALSE),FALSE),Q27-$BC$3,R27,$BC$5)*H27-BI27</f>
        <v>3739.2910209071742</v>
      </c>
      <c r="BD27" s="238">
        <f>_xll.xSPRDOPT((VLOOKUP(G27,NGPREVPRICES,2,FALSE)+HLOOKUP(D27,PREVCURVES,VLOOKUP(G27,MOVE_DOWN2,2,FALSE),FALSE)),VLOOKUP(G27,NGPREVPRICES,2,FALSE),BJ27,VLOOKUP(G27,NGPrices,4,FALSE),HLOOKUP(D27,PREVVOLS,VLOOKUP(G27,MOVE_DOWN2,2,FALSE),FALSE),VLOOKUP(G27,NGPREVPRICES,3,FALSE),HLOOKUP(D27,Correllate,VLOOKUP(G27,CorMove,2,FALSE),FALSE),Q27-$BC$3,R27,$BI$5)*H27-BI27</f>
        <v>3.760378374136053E-2</v>
      </c>
      <c r="BE27" s="10">
        <f t="shared" si="41"/>
        <v>-4.0519367874148884</v>
      </c>
      <c r="BF27" s="238">
        <f>_xll.xSPRDOPT((VLOOKUP(G27,NGPREVPRICES,2,FALSE)+HLOOKUP(D27,PREVCURVES,VLOOKUP(G27,MOVE_DOWN2,2,FALSE),FALSE)),VLOOKUP(G27,NGPREVPRICES,2,FALSE),BJ27,VLOOKUP(G27,NGPREVPRICES,4,FALSE),HLOOKUP(D27,VOLS,VLOOKUP(G27,move_down,2,FALSE),FALSE),VLOOKUP(G27,NGPrices,3,FALSE),HLOOKUP(D27,Correllate,VLOOKUP(G27,CorMove,2,FALSE),FALSE),Q27-$BC$3,R27,$BI$5)*H27-BI27</f>
        <v>351.04759727367127</v>
      </c>
      <c r="BG27" s="238">
        <f>_xll.xSPRDOPT((VLOOKUP(G27,NGPREVPRICES,2,FALSE)+HLOOKUP(D27,PREVCURVES,VLOOKUP(G27,MOVE_DOWN2,2,FALSE),FALSE)),VLOOKUP(G27,NGPREVPRICES,2,FALSE),BJ27,VLOOKUP(G27,NGPREVPRICES,4,FALSE),HLOOKUP(D27,PREVVOLS,VLOOKUP(G27,MOVE_DOWN2,2,FALSE),FALSE),VLOOKUP(G27,NGPREVPRICES,3,FALSE),HLOOKUP(D27,Correllate,VLOOKUP(G27,CorMove,2,FALSE),FALSE),Q27-$C$3,R27,$BI$5)*H27-BI27</f>
        <v>-136.05433614068534</v>
      </c>
      <c r="BH27" s="238">
        <f t="shared" si="42"/>
        <v>3950.2699490364867</v>
      </c>
      <c r="BI27" s="238">
        <f>_xll.xSPRDOPT((VLOOKUP(G27,NGPREVPRICES,2,FALSE)+HLOOKUP(D27,PREVCURVES,VLOOKUP(G27,MOVE_DOWN2,2,FALSE),FALSE)),VLOOKUP(G27,NGPREVPRICES,2,FALSE),BJ27,VLOOKUP(G27,NGPREVPRICES,4,FALSE),HLOOKUP(D27,PREVVOLS,VLOOKUP(G27,MOVE_DOWN2,2,FALSE),FALSE),VLOOKUP(G27,NGPREVPRICES,3,FALSE),HLOOKUP(D27,Correllate,VLOOKUP(G27,CorMove,2,FALSE),FALSE),Q27-$BC$3,R27,$BI$5)*H27</f>
        <v>22507.623099357726</v>
      </c>
      <c r="BJ27" s="239">
        <f t="shared" si="43"/>
        <v>0.25</v>
      </c>
      <c r="BK27" s="238"/>
      <c r="BL27" t="str">
        <f t="shared" si="44"/>
        <v>36770Curve Shift/Gamma</v>
      </c>
      <c r="BM27" t="str">
        <f t="shared" si="22"/>
        <v>36770Rho</v>
      </c>
      <c r="BN27" t="str">
        <f t="shared" si="23"/>
        <v>36770Drift</v>
      </c>
      <c r="BO27" t="str">
        <f t="shared" si="24"/>
        <v>36770Vega</v>
      </c>
      <c r="BP27" t="str">
        <f t="shared" si="25"/>
        <v>36770Theta</v>
      </c>
      <c r="BQ27" s="398">
        <f t="shared" si="36"/>
        <v>37165</v>
      </c>
      <c r="BR27" s="399">
        <f t="shared" si="26"/>
        <v>256.98871808232434</v>
      </c>
      <c r="BS27" s="243">
        <f t="shared" si="27"/>
        <v>21.319496905249252</v>
      </c>
      <c r="BT27" s="243">
        <f t="shared" si="28"/>
        <v>-4.8330606923191226</v>
      </c>
      <c r="BU27" s="243">
        <f t="shared" si="29"/>
        <v>166.26363249805217</v>
      </c>
      <c r="BV27" s="253">
        <f t="shared" si="30"/>
        <v>-76.355410002259305</v>
      </c>
      <c r="BW27" s="244">
        <f t="shared" si="37"/>
        <v>363.38337679104734</v>
      </c>
    </row>
    <row r="28" spans="1:75" ht="12" customHeight="1" x14ac:dyDescent="0.25">
      <c r="A28" s="396" t="s">
        <v>273</v>
      </c>
      <c r="B28" t="s">
        <v>132</v>
      </c>
      <c r="C28" t="s">
        <v>274</v>
      </c>
      <c r="D28" s="4" t="s">
        <v>10</v>
      </c>
      <c r="E28" s="4" t="s">
        <v>20</v>
      </c>
      <c r="F28" s="5" t="s">
        <v>21</v>
      </c>
      <c r="G28" s="5">
        <v>36770</v>
      </c>
      <c r="H28" s="130">
        <v>300000</v>
      </c>
      <c r="I28">
        <v>0.16</v>
      </c>
      <c r="J28" s="53">
        <f t="shared" si="1"/>
        <v>3.173</v>
      </c>
      <c r="K28" s="7">
        <f t="shared" si="2"/>
        <v>0.16750000000000001</v>
      </c>
      <c r="L28" s="4">
        <f t="shared" si="3"/>
        <v>3.3405</v>
      </c>
      <c r="M28" s="159">
        <f t="shared" si="4"/>
        <v>6.5221012015626995E-2</v>
      </c>
      <c r="N28" s="4">
        <f t="shared" si="5"/>
        <v>0.42</v>
      </c>
      <c r="O28" s="4">
        <f t="shared" si="6"/>
        <v>0.41199999999999998</v>
      </c>
      <c r="P28" s="9">
        <f t="shared" si="45"/>
        <v>0.995</v>
      </c>
      <c r="Q28" s="5">
        <f t="shared" si="8"/>
        <v>36768</v>
      </c>
      <c r="R28" s="4">
        <f t="shared" si="9"/>
        <v>1</v>
      </c>
      <c r="S28" s="160">
        <f>_xll.xSPRDOPT($L28,$J28,$I28,$M28,$O28,$N28,$P28,$Q28-$C$3,$R28,0)</f>
        <v>3.7365572021734531E-2</v>
      </c>
      <c r="T28" s="161">
        <f>_xll.xSPRDOPT($L28,$J28,$I28,$M28,$O28,$N28,$P28,$Q28-$C$3,$R28,1)*H28</f>
        <v>158516.47825929752</v>
      </c>
      <c r="U28" s="162">
        <f t="shared" si="46"/>
        <v>11209.67160652036</v>
      </c>
      <c r="V28" s="161">
        <f>_xll.xSPRDOPT($L28,$J28,$I28,$M28,$O28,$N28,$P28,$Q28-$C$3,$R28,2)*H28</f>
        <v>-155864.18687119847</v>
      </c>
      <c r="W28" s="161">
        <f t="shared" si="47"/>
        <v>2652.2913880990527</v>
      </c>
      <c r="X28" s="51" t="str">
        <f t="shared" si="12"/>
        <v>36770IF-CGT/APPALAC</v>
      </c>
      <c r="Y28" s="431">
        <f t="shared" si="31"/>
        <v>30</v>
      </c>
      <c r="Z28" s="51"/>
      <c r="AA28" s="128">
        <f t="shared" si="32"/>
        <v>36831</v>
      </c>
      <c r="AB28" s="43">
        <f t="shared" si="50"/>
        <v>-56.720716401177491</v>
      </c>
      <c r="AC28" s="43">
        <f t="shared" si="50"/>
        <v>9.9842334907653214</v>
      </c>
      <c r="AD28" s="43">
        <f t="shared" si="50"/>
        <v>0</v>
      </c>
      <c r="AE28" s="43">
        <f t="shared" si="50"/>
        <v>0</v>
      </c>
      <c r="AF28" s="44">
        <f t="shared" si="50"/>
        <v>0</v>
      </c>
      <c r="AG28" s="44">
        <f t="shared" si="50"/>
        <v>0</v>
      </c>
      <c r="AH28" s="128">
        <f t="shared" si="33"/>
        <v>36831</v>
      </c>
      <c r="AI28" s="44">
        <f t="shared" si="38"/>
        <v>-46.736482910412171</v>
      </c>
      <c r="AJ28" s="51"/>
      <c r="AK28" s="128">
        <f t="shared" si="34"/>
        <v>36831</v>
      </c>
      <c r="AL28" s="43">
        <f t="shared" si="51"/>
        <v>94537.540315526057</v>
      </c>
      <c r="AM28" s="43">
        <f t="shared" si="51"/>
        <v>8426.9770266553533</v>
      </c>
      <c r="AN28" s="43">
        <f t="shared" si="51"/>
        <v>0</v>
      </c>
      <c r="AO28" s="43">
        <f t="shared" si="51"/>
        <v>0</v>
      </c>
      <c r="AP28" s="44">
        <f t="shared" si="51"/>
        <v>0</v>
      </c>
      <c r="AQ28" s="44">
        <f t="shared" si="51"/>
        <v>0</v>
      </c>
      <c r="AR28" s="128">
        <f t="shared" si="35"/>
        <v>36831</v>
      </c>
      <c r="AS28" s="44">
        <f t="shared" si="39"/>
        <v>102964.51734218141</v>
      </c>
      <c r="AT28" s="51"/>
      <c r="AU28" s="51"/>
      <c r="AV28" s="51"/>
      <c r="AW28" s="51"/>
      <c r="AX28" s="51"/>
      <c r="AY28" s="51"/>
      <c r="AZ28" s="51"/>
      <c r="BA28" s="51"/>
      <c r="BB28" s="142">
        <f t="shared" si="40"/>
        <v>36770</v>
      </c>
      <c r="BC28" s="238">
        <f>_xll.xSPRDOPT((VLOOKUP(G28,NGPrices,2,FALSE)+HLOOKUP(D28,Prices,VLOOKUP(G28,move_down,2,FALSE),FALSE)),VLOOKUP(G28,NGPrices,2,FALSE),I28,VLOOKUP(G28,NGPREVPRICES,4,FALSE),HLOOKUP(D28,PREVVOLS,VLOOKUP(G28,MOVE_DOWN2,2,FALSE),FALSE),VLOOKUP(G28,NGPREVPRICES,3,FALSE),HLOOKUP(D28,Correllate,VLOOKUP(G28,CorMove,2,FALSE),FALSE),Q28-$BC$3,R28,$BC$5)*H28-BI28</f>
        <v>200.94807057768594</v>
      </c>
      <c r="BD28" s="238">
        <f>_xll.xSPRDOPT((VLOOKUP(G28,NGPREVPRICES,2,FALSE)+HLOOKUP(D28,PREVCURVES,VLOOKUP(G28,MOVE_DOWN2,2,FALSE),FALSE)),VLOOKUP(G28,NGPREVPRICES,2,FALSE),BJ28,VLOOKUP(G28,NGPrices,4,FALSE),HLOOKUP(D28,PREVVOLS,VLOOKUP(G28,MOVE_DOWN2,2,FALSE),FALSE),VLOOKUP(G28,NGPREVPRICES,3,FALSE),HLOOKUP(D28,Correllate,VLOOKUP(G28,CorMove,2,FALSE),FALSE),Q28-$BC$3,R28,$BI$5)*H28-BI28</f>
        <v>1.8137936986022396E-2</v>
      </c>
      <c r="BE28" s="10">
        <f t="shared" si="41"/>
        <v>-1.9544249756745558</v>
      </c>
      <c r="BF28" s="238">
        <f>_xll.xSPRDOPT((VLOOKUP(G28,NGPREVPRICES,2,FALSE)+HLOOKUP(D28,PREVCURVES,VLOOKUP(G28,MOVE_DOWN2,2,FALSE),FALSE)),VLOOKUP(G28,NGPREVPRICES,2,FALSE),BJ28,VLOOKUP(G28,NGPREVPRICES,4,FALSE),HLOOKUP(D28,VOLS,VLOOKUP(G28,move_down,2,FALSE),FALSE),VLOOKUP(G28,NGPrices,3,FALSE),HLOOKUP(D28,Correllate,VLOOKUP(G28,CorMove,2,FALSE),FALSE),Q28-$BC$3,R28,$BI$5)*H28-BI28</f>
        <v>252.92579549052243</v>
      </c>
      <c r="BG28" s="238">
        <f>_xll.xSPRDOPT((VLOOKUP(G28,NGPREVPRICES,2,FALSE)+HLOOKUP(D28,PREVCURVES,VLOOKUP(G28,MOVE_DOWN2,2,FALSE),FALSE)),VLOOKUP(G28,NGPREVPRICES,2,FALSE),BJ28,VLOOKUP(G28,NGPREVPRICES,4,FALSE),HLOOKUP(D28,PREVVOLS,VLOOKUP(G28,MOVE_DOWN2,2,FALSE),FALSE),VLOOKUP(G28,NGPREVPRICES,3,FALSE),HLOOKUP(D28,Correllate,VLOOKUP(G28,CorMove,2,FALSE),FALSE),Q28-$C$3,R28,$BI$5)*H28-BI28</f>
        <v>-100.61243781240046</v>
      </c>
      <c r="BH28" s="238">
        <f t="shared" si="42"/>
        <v>351.32514121711938</v>
      </c>
      <c r="BI28" s="238">
        <f>_xll.xSPRDOPT((VLOOKUP(G28,NGPREVPRICES,2,FALSE)+HLOOKUP(D28,PREVCURVES,VLOOKUP(G28,MOVE_DOWN2,2,FALSE),FALSE)),VLOOKUP(G28,NGPREVPRICES,2,FALSE),BJ28,VLOOKUP(G28,NGPREVPRICES,4,FALSE),HLOOKUP(D28,PREVVOLS,VLOOKUP(G28,MOVE_DOWN2,2,FALSE),FALSE),VLOOKUP(G28,NGPREVPRICES,3,FALSE),HLOOKUP(D28,Correllate,VLOOKUP(G28,CorMove,2,FALSE),FALSE),Q28-$BC$3,R28,$BI$5)*H28</f>
        <v>10856.403501917805</v>
      </c>
      <c r="BJ28" s="239">
        <f t="shared" si="43"/>
        <v>0.16</v>
      </c>
      <c r="BK28" s="238"/>
      <c r="BL28" t="str">
        <f t="shared" si="44"/>
        <v>36770Curve Shift/Gamma</v>
      </c>
      <c r="BM28" t="str">
        <f t="shared" si="22"/>
        <v>36770Rho</v>
      </c>
      <c r="BN28" t="str">
        <f t="shared" si="23"/>
        <v>36770Drift</v>
      </c>
      <c r="BO28" t="str">
        <f t="shared" si="24"/>
        <v>36770Vega</v>
      </c>
      <c r="BP28" t="str">
        <f t="shared" si="25"/>
        <v>36770Theta</v>
      </c>
      <c r="BQ28" s="398">
        <f t="shared" si="36"/>
        <v>37196</v>
      </c>
      <c r="BR28" s="399">
        <f t="shared" si="26"/>
        <v>-973.13960607150511</v>
      </c>
      <c r="BS28" s="243">
        <f t="shared" si="27"/>
        <v>-108.31357999616012</v>
      </c>
      <c r="BT28" s="243">
        <f t="shared" si="28"/>
        <v>22.22820439923089</v>
      </c>
      <c r="BU28" s="243">
        <f t="shared" si="29"/>
        <v>0</v>
      </c>
      <c r="BV28" s="253">
        <f t="shared" si="30"/>
        <v>408.76884148968384</v>
      </c>
      <c r="BW28" s="244">
        <f t="shared" si="37"/>
        <v>-650.4561401787505</v>
      </c>
    </row>
    <row r="29" spans="1:75" ht="12" customHeight="1" x14ac:dyDescent="0.25">
      <c r="A29" s="397" t="s">
        <v>271</v>
      </c>
      <c r="B29" s="4" t="s">
        <v>253</v>
      </c>
      <c r="C29" s="4" t="s">
        <v>94</v>
      </c>
      <c r="D29" s="4" t="s">
        <v>9</v>
      </c>
      <c r="E29" s="4" t="s">
        <v>20</v>
      </c>
      <c r="F29" s="4" t="s">
        <v>1</v>
      </c>
      <c r="G29" s="5">
        <v>36770</v>
      </c>
      <c r="H29" s="130">
        <f>10000*(EOMONTH(G29,0)-G29)+10000</f>
        <v>300000</v>
      </c>
      <c r="I29" s="4">
        <v>-0.4</v>
      </c>
      <c r="J29" s="53">
        <f t="shared" si="1"/>
        <v>3.173</v>
      </c>
      <c r="K29" s="7">
        <f t="shared" si="2"/>
        <v>-0.32250000000000001</v>
      </c>
      <c r="L29" s="4">
        <f t="shared" si="3"/>
        <v>2.8505000000000003</v>
      </c>
      <c r="M29" s="159">
        <f t="shared" si="4"/>
        <v>6.5221012015626995E-2</v>
      </c>
      <c r="N29" s="4">
        <f t="shared" si="5"/>
        <v>0.42</v>
      </c>
      <c r="O29" s="4">
        <f t="shared" si="6"/>
        <v>0.41199999999999998</v>
      </c>
      <c r="P29" s="9">
        <f t="shared" si="45"/>
        <v>0.96</v>
      </c>
      <c r="Q29" s="5">
        <f t="shared" si="8"/>
        <v>36768</v>
      </c>
      <c r="R29" s="4">
        <f t="shared" si="9"/>
        <v>0</v>
      </c>
      <c r="S29" s="160">
        <f>_xll.xSPRDOPT($L29,$J29,$I29,$M29,$O29,$N29,$P29,$Q29-$C$3,$R29,0)</f>
        <v>6.1806484886073036E-2</v>
      </c>
      <c r="T29" s="161">
        <f>_xll.xSPRDOPT($L29,$J29,$I29,$M29,$O29,$N29,$P29,$Q29-$C$3,$R29,1)*H29</f>
        <v>-107334.00197715068</v>
      </c>
      <c r="U29" s="162">
        <f t="shared" si="46"/>
        <v>18541.945465821911</v>
      </c>
      <c r="V29" s="161">
        <f>_xll.xSPRDOPT($L29,$J29,$I29,$M29,$O29,$N29,$P29,$Q29-$C$3,$R29,2)*H29</f>
        <v>114669.21786075036</v>
      </c>
      <c r="W29" s="161">
        <f t="shared" si="47"/>
        <v>7335.2158835996815</v>
      </c>
      <c r="X29" s="51" t="str">
        <f t="shared" si="12"/>
        <v>36770IF-NWPL_ROCKY_M</v>
      </c>
      <c r="Y29" s="431">
        <f t="shared" si="31"/>
        <v>30</v>
      </c>
      <c r="Z29" s="51"/>
      <c r="AA29" s="128">
        <f t="shared" si="32"/>
        <v>36861</v>
      </c>
      <c r="AB29" s="43">
        <f t="shared" si="50"/>
        <v>-57.633378266780426</v>
      </c>
      <c r="AC29" s="43">
        <f t="shared" si="50"/>
        <v>13.439675131451867</v>
      </c>
      <c r="AD29" s="43">
        <f t="shared" si="50"/>
        <v>0</v>
      </c>
      <c r="AE29" s="43">
        <f t="shared" si="50"/>
        <v>0</v>
      </c>
      <c r="AF29" s="44">
        <f t="shared" si="50"/>
        <v>0</v>
      </c>
      <c r="AG29" s="44">
        <f t="shared" si="50"/>
        <v>0</v>
      </c>
      <c r="AH29" s="128">
        <f t="shared" si="33"/>
        <v>36861</v>
      </c>
      <c r="AI29" s="44">
        <f t="shared" si="38"/>
        <v>-44.193703135328562</v>
      </c>
      <c r="AJ29" s="51"/>
      <c r="AK29" s="128">
        <f t="shared" si="34"/>
        <v>36861</v>
      </c>
      <c r="AL29" s="43">
        <f t="shared" si="51"/>
        <v>-5853.7222900281777</v>
      </c>
      <c r="AM29" s="43">
        <f t="shared" si="51"/>
        <v>10160.923910770405</v>
      </c>
      <c r="AN29" s="43">
        <f t="shared" si="51"/>
        <v>0</v>
      </c>
      <c r="AO29" s="43">
        <f t="shared" si="51"/>
        <v>0</v>
      </c>
      <c r="AP29" s="44">
        <f t="shared" si="51"/>
        <v>0</v>
      </c>
      <c r="AQ29" s="44">
        <f t="shared" si="51"/>
        <v>0</v>
      </c>
      <c r="AR29" s="128">
        <f t="shared" si="35"/>
        <v>36861</v>
      </c>
      <c r="AS29" s="44">
        <f t="shared" si="39"/>
        <v>4307.2016207422275</v>
      </c>
      <c r="AT29" s="51"/>
      <c r="AU29" s="51"/>
      <c r="AV29" s="51"/>
      <c r="AW29" s="51"/>
      <c r="AX29" s="51"/>
      <c r="AY29" s="51"/>
      <c r="AZ29" s="51"/>
      <c r="BA29" s="51"/>
      <c r="BB29" s="142">
        <f t="shared" si="40"/>
        <v>36770</v>
      </c>
      <c r="BC29" s="238">
        <f>_xll.xSPRDOPT((VLOOKUP(G29,NGPrices,2,FALSE)+HLOOKUP(D29,Prices,VLOOKUP(G29,move_down,2,FALSE),FALSE)),VLOOKUP(G29,NGPrices,2,FALSE),I29,VLOOKUP(G29,NGPREVPRICES,4,FALSE),HLOOKUP(D29,PREVVOLS,VLOOKUP(G29,MOVE_DOWN2,2,FALSE),FALSE),VLOOKUP(G29,NGPREVPRICES,3,FALSE),HLOOKUP(D29,Correllate,VLOOKUP(G29,CorMove,2,FALSE),FALSE),Q29-$BC$3,R29,$BC$5)*H29-BI29</f>
        <v>2095.8977933943443</v>
      </c>
      <c r="BD29" s="238">
        <f>_xll.xSPRDOPT((VLOOKUP(G29,NGPREVPRICES,2,FALSE)+HLOOKUP(D29,PREVCURVES,VLOOKUP(G29,MOVE_DOWN2,2,FALSE),FALSE)),VLOOKUP(G29,NGPREVPRICES,2,FALSE),BJ29,VLOOKUP(G29,NGPrices,4,FALSE),HLOOKUP(D29,PREVVOLS,VLOOKUP(G29,MOVE_DOWN2,2,FALSE),FALSE),VLOOKUP(G29,NGPREVPRICES,3,FALSE),HLOOKUP(D29,Correllate,VLOOKUP(G29,CorMove,2,FALSE),FALSE),Q29-$BC$3,R29,$BI$5)*H29-BI29</f>
        <v>2.6890671899309382E-2</v>
      </c>
      <c r="BE29" s="10">
        <f t="shared" si="41"/>
        <v>-2.8975622096586449</v>
      </c>
      <c r="BF29" s="238">
        <f>_xll.xSPRDOPT((VLOOKUP(G29,NGPREVPRICES,2,FALSE)+HLOOKUP(D29,PREVCURVES,VLOOKUP(G29,MOVE_DOWN2,2,FALSE),FALSE)),VLOOKUP(G29,NGPREVPRICES,2,FALSE),BJ29,VLOOKUP(G29,NGPREVPRICES,4,FALSE),HLOOKUP(D29,VOLS,VLOOKUP(G29,move_down,2,FALSE),FALSE),VLOOKUP(G29,NGPrices,3,FALSE),HLOOKUP(D29,Correllate,VLOOKUP(G29,CorMove,2,FALSE),FALSE),Q29-$BC$3,R29,$BI$5)*H29-BI29</f>
        <v>612.59573883233497</v>
      </c>
      <c r="BG29" s="238">
        <f>_xll.xSPRDOPT((VLOOKUP(G29,NGPREVPRICES,2,FALSE)+HLOOKUP(D29,PREVCURVES,VLOOKUP(G29,MOVE_DOWN2,2,FALSE),FALSE)),VLOOKUP(G29,NGPREVPRICES,2,FALSE),BJ29,VLOOKUP(G29,NGPREVPRICES,4,FALSE),HLOOKUP(D29,PREVVOLS,VLOOKUP(G29,MOVE_DOWN2,2,FALSE),FALSE),VLOOKUP(G29,NGPREVPRICES,3,FALSE),HLOOKUP(D29,Correllate,VLOOKUP(G29,CorMove,2,FALSE),FALSE),Q29-$C$3,R29,$BI$5)*H29-BI29</f>
        <v>-270.51658656210384</v>
      </c>
      <c r="BH29" s="238">
        <f t="shared" si="42"/>
        <v>2435.1062741268161</v>
      </c>
      <c r="BI29" s="238">
        <f>_xll.xSPRDOPT((VLOOKUP(G29,NGPREVPRICES,2,FALSE)+HLOOKUP(D29,PREVCURVES,VLOOKUP(G29,MOVE_DOWN2,2,FALSE),FALSE)),VLOOKUP(G29,NGPREVPRICES,2,FALSE),BJ29,VLOOKUP(G29,NGPREVPRICES,4,FALSE),HLOOKUP(D29,PREVVOLS,VLOOKUP(G29,MOVE_DOWN2,2,FALSE),FALSE),VLOOKUP(G29,NGPREVPRICES,3,FALSE),HLOOKUP(D29,Correllate,VLOOKUP(G29,CorMove,2,FALSE),FALSE),Q29-$BC$3,R29,$BI$5)*H29</f>
        <v>16095.324666579954</v>
      </c>
      <c r="BJ29" s="239">
        <f t="shared" si="43"/>
        <v>-0.4</v>
      </c>
      <c r="BK29" s="238"/>
      <c r="BL29" t="str">
        <f t="shared" si="44"/>
        <v>36770Curve Shift/Gamma</v>
      </c>
      <c r="BM29" t="str">
        <f t="shared" si="22"/>
        <v>36770Rho</v>
      </c>
      <c r="BN29" t="str">
        <f t="shared" si="23"/>
        <v>36770Drift</v>
      </c>
      <c r="BO29" t="str">
        <f t="shared" si="24"/>
        <v>36770Vega</v>
      </c>
      <c r="BP29" t="str">
        <f t="shared" si="25"/>
        <v>36770Theta</v>
      </c>
      <c r="BQ29" s="398">
        <f t="shared" si="36"/>
        <v>37226</v>
      </c>
      <c r="BR29" s="399">
        <f t="shared" si="26"/>
        <v>-962.38809295115061</v>
      </c>
      <c r="BS29" s="243">
        <f t="shared" si="27"/>
        <v>-396.56722096534213</v>
      </c>
      <c r="BT29" s="243">
        <f t="shared" si="28"/>
        <v>74.549587064131629</v>
      </c>
      <c r="BU29" s="243">
        <f t="shared" si="29"/>
        <v>0</v>
      </c>
      <c r="BV29" s="253">
        <f t="shared" si="30"/>
        <v>320.15130061405944</v>
      </c>
      <c r="BW29" s="244">
        <f t="shared" si="37"/>
        <v>-964.25442623830168</v>
      </c>
    </row>
    <row r="30" spans="1:75" ht="12" customHeight="1" x14ac:dyDescent="0.25">
      <c r="A30" s="395" t="s">
        <v>270</v>
      </c>
      <c r="B30" t="s">
        <v>253</v>
      </c>
      <c r="C30" s="7" t="s">
        <v>269</v>
      </c>
      <c r="D30" s="4" t="s">
        <v>10</v>
      </c>
      <c r="E30" s="4" t="s">
        <v>20</v>
      </c>
      <c r="F30" s="5" t="s">
        <v>21</v>
      </c>
      <c r="G30" s="5">
        <v>36770</v>
      </c>
      <c r="H30" s="130">
        <v>600000</v>
      </c>
      <c r="I30" s="4">
        <v>0.16</v>
      </c>
      <c r="J30" s="53">
        <f t="shared" si="1"/>
        <v>3.173</v>
      </c>
      <c r="K30" s="7">
        <f t="shared" si="2"/>
        <v>0.16750000000000001</v>
      </c>
      <c r="L30" s="4">
        <f t="shared" si="3"/>
        <v>3.3405</v>
      </c>
      <c r="M30" s="159">
        <f t="shared" si="4"/>
        <v>6.5221012015626995E-2</v>
      </c>
      <c r="N30" s="4">
        <f t="shared" si="5"/>
        <v>0.42</v>
      </c>
      <c r="O30" s="4">
        <f t="shared" si="6"/>
        <v>0.41199999999999998</v>
      </c>
      <c r="P30" s="9">
        <f t="shared" si="45"/>
        <v>0.995</v>
      </c>
      <c r="Q30" s="5">
        <f t="shared" si="8"/>
        <v>36768</v>
      </c>
      <c r="R30" s="4">
        <f t="shared" si="9"/>
        <v>1</v>
      </c>
      <c r="S30" s="160">
        <f>_xll.xSPRDOPT($L30,$J30,$I30,$M30,$O30,$N30,$P30,$Q30-$C$3,$R30,0)</f>
        <v>3.7365572021734531E-2</v>
      </c>
      <c r="T30" s="161">
        <f>_xll.xSPRDOPT($L30,$J30,$I30,$M30,$O30,$N30,$P30,$Q30-$C$3,$R30,1)*H30</f>
        <v>317032.95651859505</v>
      </c>
      <c r="U30" s="162">
        <f t="shared" si="46"/>
        <v>22419.34321304072</v>
      </c>
      <c r="V30" s="161">
        <f>_xll.xSPRDOPT($L30,$J30,$I30,$M30,$O30,$N30,$P30,$Q30-$C$3,$R30,2)*H30</f>
        <v>-311728.37374239694</v>
      </c>
      <c r="W30" s="161">
        <f t="shared" si="47"/>
        <v>5304.5827761981054</v>
      </c>
      <c r="X30" s="51" t="str">
        <f t="shared" si="12"/>
        <v>36770IF-CGT/APPALAC</v>
      </c>
      <c r="Y30" s="431">
        <f t="shared" si="31"/>
        <v>60</v>
      </c>
      <c r="Z30" s="51"/>
      <c r="AA30" s="128">
        <f t="shared" si="32"/>
        <v>36892</v>
      </c>
      <c r="AB30" s="43">
        <f t="shared" si="50"/>
        <v>-59.648438291089342</v>
      </c>
      <c r="AC30" s="43">
        <f t="shared" si="50"/>
        <v>14.760970879612056</v>
      </c>
      <c r="AD30" s="43">
        <f t="shared" si="50"/>
        <v>0</v>
      </c>
      <c r="AE30" s="43">
        <f t="shared" si="50"/>
        <v>0</v>
      </c>
      <c r="AF30" s="44">
        <f t="shared" si="50"/>
        <v>0</v>
      </c>
      <c r="AG30" s="44">
        <f t="shared" si="50"/>
        <v>0</v>
      </c>
      <c r="AH30" s="128">
        <f t="shared" si="33"/>
        <v>36892</v>
      </c>
      <c r="AI30" s="44">
        <f t="shared" si="38"/>
        <v>-44.887467411477289</v>
      </c>
      <c r="AJ30" s="51"/>
      <c r="AK30" s="128">
        <f t="shared" si="34"/>
        <v>36892</v>
      </c>
      <c r="AL30" s="43">
        <f t="shared" si="51"/>
        <v>-8256.9098749726181</v>
      </c>
      <c r="AM30" s="43">
        <f t="shared" si="51"/>
        <v>10933.070800806396</v>
      </c>
      <c r="AN30" s="43">
        <f t="shared" si="51"/>
        <v>0</v>
      </c>
      <c r="AO30" s="43">
        <f t="shared" si="51"/>
        <v>0</v>
      </c>
      <c r="AP30" s="44">
        <f t="shared" si="51"/>
        <v>0</v>
      </c>
      <c r="AQ30" s="44">
        <f t="shared" si="51"/>
        <v>0</v>
      </c>
      <c r="AR30" s="128">
        <f t="shared" si="35"/>
        <v>36892</v>
      </c>
      <c r="AS30" s="44">
        <f t="shared" si="39"/>
        <v>2676.1609258337776</v>
      </c>
      <c r="AT30" s="51"/>
      <c r="AU30" s="51"/>
      <c r="AV30" s="51"/>
      <c r="AW30" s="51"/>
      <c r="AX30" s="51"/>
      <c r="AY30" s="51"/>
      <c r="AZ30" s="51"/>
      <c r="BA30" s="51"/>
      <c r="BB30" s="142">
        <f t="shared" si="40"/>
        <v>36770</v>
      </c>
      <c r="BC30" s="238">
        <f>_xll.xSPRDOPT((VLOOKUP(G30,NGPrices,2,FALSE)+HLOOKUP(D30,Prices,VLOOKUP(G30,move_down,2,FALSE),FALSE)),VLOOKUP(G30,NGPrices,2,FALSE),I30,VLOOKUP(G30,NGPREVPRICES,4,FALSE),HLOOKUP(D30,PREVVOLS,VLOOKUP(G30,MOVE_DOWN2,2,FALSE),FALSE),VLOOKUP(G30,NGPREVPRICES,3,FALSE),HLOOKUP(D30,Correllate,VLOOKUP(G30,CorMove,2,FALSE),FALSE),Q30-$BC$3,R30,$BC$5)*H30-BI30</f>
        <v>401.89614115537188</v>
      </c>
      <c r="BD30" s="238">
        <f>_xll.xSPRDOPT((VLOOKUP(G30,NGPREVPRICES,2,FALSE)+HLOOKUP(D30,PREVCURVES,VLOOKUP(G30,MOVE_DOWN2,2,FALSE),FALSE)),VLOOKUP(G30,NGPREVPRICES,2,FALSE),BJ30,VLOOKUP(G30,NGPrices,4,FALSE),HLOOKUP(D30,PREVVOLS,VLOOKUP(G30,MOVE_DOWN2,2,FALSE),FALSE),VLOOKUP(G30,NGPREVPRICES,3,FALSE),HLOOKUP(D30,Correllate,VLOOKUP(G30,CorMove,2,FALSE),FALSE),Q30-$BC$3,R30,$BI$5)*H30-BI30</f>
        <v>3.6275873972044792E-2</v>
      </c>
      <c r="BE30" s="10">
        <f t="shared" si="41"/>
        <v>-3.9088499513491115</v>
      </c>
      <c r="BF30" s="238">
        <f>_xll.xSPRDOPT((VLOOKUP(G30,NGPREVPRICES,2,FALSE)+HLOOKUP(D30,PREVCURVES,VLOOKUP(G30,MOVE_DOWN2,2,FALSE),FALSE)),VLOOKUP(G30,NGPREVPRICES,2,FALSE),BJ30,VLOOKUP(G30,NGPREVPRICES,4,FALSE),HLOOKUP(D30,VOLS,VLOOKUP(G30,move_down,2,FALSE),FALSE),VLOOKUP(G30,NGPrices,3,FALSE),HLOOKUP(D30,Correllate,VLOOKUP(G30,CorMove,2,FALSE),FALSE),Q30-$BC$3,R30,$BI$5)*H30-BI30</f>
        <v>505.85159098104486</v>
      </c>
      <c r="BG30" s="238">
        <f>_xll.xSPRDOPT((VLOOKUP(G30,NGPREVPRICES,2,FALSE)+HLOOKUP(D30,PREVCURVES,VLOOKUP(G30,MOVE_DOWN2,2,FALSE),FALSE)),VLOOKUP(G30,NGPREVPRICES,2,FALSE),BJ30,VLOOKUP(G30,NGPREVPRICES,4,FALSE),HLOOKUP(D30,PREVVOLS,VLOOKUP(G30,MOVE_DOWN2,2,FALSE),FALSE),VLOOKUP(G30,NGPREVPRICES,3,FALSE),HLOOKUP(D30,Correllate,VLOOKUP(G30,CorMove,2,FALSE),FALSE),Q30-$C$3,R30,$BI$5)*H30-BI30</f>
        <v>-201.22487562480092</v>
      </c>
      <c r="BH30" s="238">
        <f t="shared" si="42"/>
        <v>702.65028243423876</v>
      </c>
      <c r="BI30" s="238">
        <f>_xll.xSPRDOPT((VLOOKUP(G30,NGPREVPRICES,2,FALSE)+HLOOKUP(D30,PREVCURVES,VLOOKUP(G30,MOVE_DOWN2,2,FALSE),FALSE)),VLOOKUP(G30,NGPREVPRICES,2,FALSE),BJ30,VLOOKUP(G30,NGPREVPRICES,4,FALSE),HLOOKUP(D30,PREVVOLS,VLOOKUP(G30,MOVE_DOWN2,2,FALSE),FALSE),VLOOKUP(G30,NGPREVPRICES,3,FALSE),HLOOKUP(D30,Correllate,VLOOKUP(G30,CorMove,2,FALSE),FALSE),Q30-$BC$3,R30,$BI$5)*H30</f>
        <v>21712.807003835609</v>
      </c>
      <c r="BJ30" s="239">
        <f t="shared" si="43"/>
        <v>0.16</v>
      </c>
      <c r="BK30" s="238"/>
      <c r="BL30" t="str">
        <f t="shared" si="44"/>
        <v>36770Curve Shift/Gamma</v>
      </c>
      <c r="BM30" t="str">
        <f t="shared" si="22"/>
        <v>36770Rho</v>
      </c>
      <c r="BN30" t="str">
        <f t="shared" si="23"/>
        <v>36770Drift</v>
      </c>
      <c r="BO30" t="str">
        <f t="shared" si="24"/>
        <v>36770Vega</v>
      </c>
      <c r="BP30" t="str">
        <f t="shared" si="25"/>
        <v>36770Theta</v>
      </c>
      <c r="BQ30" s="398">
        <f t="shared" si="36"/>
        <v>37257</v>
      </c>
      <c r="BR30" s="399">
        <f t="shared" si="26"/>
        <v>-33478.430681908387</v>
      </c>
      <c r="BS30" s="243">
        <f t="shared" si="27"/>
        <v>-557.73884869122412</v>
      </c>
      <c r="BT30" s="243">
        <f t="shared" si="28"/>
        <v>97.326392550487071</v>
      </c>
      <c r="BU30" s="243">
        <f t="shared" si="29"/>
        <v>0</v>
      </c>
      <c r="BV30" s="253">
        <f t="shared" si="30"/>
        <v>80.62050041242037</v>
      </c>
      <c r="BW30" s="244">
        <f t="shared" si="37"/>
        <v>-33858.222637636703</v>
      </c>
    </row>
    <row r="31" spans="1:75" ht="12" customHeight="1" x14ac:dyDescent="0.25">
      <c r="A31" s="395" t="s">
        <v>270</v>
      </c>
      <c r="B31" s="7" t="s">
        <v>253</v>
      </c>
      <c r="C31" s="7" t="s">
        <v>93</v>
      </c>
      <c r="D31" s="4" t="s">
        <v>7</v>
      </c>
      <c r="E31" s="4" t="s">
        <v>20</v>
      </c>
      <c r="F31" s="5" t="s">
        <v>21</v>
      </c>
      <c r="G31" s="5">
        <v>36770</v>
      </c>
      <c r="H31" s="130">
        <v>500000</v>
      </c>
      <c r="I31" s="4">
        <v>0.3</v>
      </c>
      <c r="J31" s="53">
        <f t="shared" si="1"/>
        <v>3.173</v>
      </c>
      <c r="K31" s="7">
        <f t="shared" si="2"/>
        <v>0.315</v>
      </c>
      <c r="L31" s="4">
        <f t="shared" si="3"/>
        <v>3.488</v>
      </c>
      <c r="M31" s="159">
        <f t="shared" si="4"/>
        <v>6.5221012015626995E-2</v>
      </c>
      <c r="N31" s="4">
        <f t="shared" si="5"/>
        <v>0.42</v>
      </c>
      <c r="O31" s="4">
        <f t="shared" si="6"/>
        <v>0.41199999999999998</v>
      </c>
      <c r="P31" s="9">
        <f t="shared" si="45"/>
        <v>0.99</v>
      </c>
      <c r="Q31" s="5">
        <f t="shared" si="8"/>
        <v>36768</v>
      </c>
      <c r="R31" s="4">
        <f t="shared" si="9"/>
        <v>1</v>
      </c>
      <c r="S31" s="160">
        <f>_xll.xSPRDOPT($L31,$J31,$I31,$M31,$O31,$N31,$P31,$Q31-$C$3,$R31,0)</f>
        <v>5.9717690015039612E-2</v>
      </c>
      <c r="T31" s="161">
        <f>_xll.xSPRDOPT($L31,$J31,$I31,$M31,$O31,$N31,$P31,$Q31-$C$3,$R31,1)*H31</f>
        <v>271578.61589461216</v>
      </c>
      <c r="U31" s="162">
        <f t="shared" si="46"/>
        <v>29858.845007519805</v>
      </c>
      <c r="V31" s="161">
        <f>_xll.xSPRDOPT($L31,$J31,$I31,$M31,$O31,$N31,$P31,$Q31-$C$3,$R31,2)*H31</f>
        <v>-265827.00875457766</v>
      </c>
      <c r="W31" s="161">
        <f t="shared" si="47"/>
        <v>5751.6071400344954</v>
      </c>
      <c r="X31" s="51" t="str">
        <f t="shared" si="12"/>
        <v>36770IF-TRANSCO/Z6</v>
      </c>
      <c r="Y31" s="431">
        <f t="shared" si="31"/>
        <v>50</v>
      </c>
      <c r="Z31" s="51"/>
      <c r="AA31" s="128">
        <f t="shared" si="32"/>
        <v>36923</v>
      </c>
      <c r="AB31" s="43">
        <f t="shared" si="50"/>
        <v>-59.762209734738562</v>
      </c>
      <c r="AC31" s="43">
        <f t="shared" si="50"/>
        <v>13.272650265804955</v>
      </c>
      <c r="AD31" s="43">
        <f t="shared" si="50"/>
        <v>0</v>
      </c>
      <c r="AE31" s="43">
        <f t="shared" si="50"/>
        <v>0</v>
      </c>
      <c r="AF31" s="44">
        <f t="shared" si="50"/>
        <v>0</v>
      </c>
      <c r="AG31" s="44">
        <f t="shared" si="50"/>
        <v>0</v>
      </c>
      <c r="AH31" s="128">
        <f t="shared" si="33"/>
        <v>36923</v>
      </c>
      <c r="AI31" s="44">
        <f t="shared" si="38"/>
        <v>-46.489559468933606</v>
      </c>
      <c r="AJ31" s="51"/>
      <c r="AK31" s="128">
        <f t="shared" si="34"/>
        <v>36923</v>
      </c>
      <c r="AL31" s="43">
        <f t="shared" si="51"/>
        <v>-8215.4018213864983</v>
      </c>
      <c r="AM31" s="43">
        <f t="shared" si="51"/>
        <v>10134.257489568932</v>
      </c>
      <c r="AN31" s="43">
        <f t="shared" si="51"/>
        <v>0</v>
      </c>
      <c r="AO31" s="43">
        <f t="shared" si="51"/>
        <v>0</v>
      </c>
      <c r="AP31" s="44">
        <f t="shared" si="51"/>
        <v>0</v>
      </c>
      <c r="AQ31" s="44">
        <f t="shared" si="51"/>
        <v>0</v>
      </c>
      <c r="AR31" s="128">
        <f t="shared" si="35"/>
        <v>36923</v>
      </c>
      <c r="AS31" s="44">
        <f t="shared" si="39"/>
        <v>1918.8556681824339</v>
      </c>
      <c r="AT31" s="51"/>
      <c r="AU31" s="51"/>
      <c r="AV31" s="51"/>
      <c r="AW31" s="51"/>
      <c r="AX31" s="51"/>
      <c r="AY31" s="51"/>
      <c r="AZ31" s="51"/>
      <c r="BA31" s="51"/>
      <c r="BB31" s="142">
        <f t="shared" si="40"/>
        <v>36770</v>
      </c>
      <c r="BC31" s="238">
        <f>_xll.xSPRDOPT((VLOOKUP(G31,NGPrices,2,FALSE)+HLOOKUP(D31,Prices,VLOOKUP(G31,move_down,2,FALSE),FALSE)),VLOOKUP(G31,NGPrices,2,FALSE),I31,VLOOKUP(G31,NGPREVPRICES,4,FALSE),HLOOKUP(D31,PREVVOLS,VLOOKUP(G31,MOVE_DOWN2,2,FALSE),FALSE),VLOOKUP(G31,NGPREVPRICES,3,FALSE),HLOOKUP(D31,Correllate,VLOOKUP(G31,CorMove,2,FALSE),FALSE),Q31-$BC$3,R31,$BC$5)*H31-BI31</f>
        <v>4968.8389082008762</v>
      </c>
      <c r="BD31" s="238">
        <f>_xll.xSPRDOPT((VLOOKUP(G31,NGPREVPRICES,2,FALSE)+HLOOKUP(D31,PREVCURVES,VLOOKUP(G31,MOVE_DOWN2,2,FALSE),FALSE)),VLOOKUP(G31,NGPREVPRICES,2,FALSE),BJ31,VLOOKUP(G31,NGPrices,4,FALSE),HLOOKUP(D31,PREVVOLS,VLOOKUP(G31,MOVE_DOWN2,2,FALSE),FALSE),VLOOKUP(G31,NGPREVPRICES,3,FALSE),HLOOKUP(D31,Correllate,VLOOKUP(G31,CorMove,2,FALSE),FALSE),Q31-$BC$3,R31,$BI$5)*H31-BI31</f>
        <v>4.0925329361925833E-2</v>
      </c>
      <c r="BE31" s="10">
        <f t="shared" si="41"/>
        <v>-4.4098447312790086</v>
      </c>
      <c r="BF31" s="238">
        <f>_xll.xSPRDOPT((VLOOKUP(G31,NGPREVPRICES,2,FALSE)+HLOOKUP(D31,PREVCURVES,VLOOKUP(G31,MOVE_DOWN2,2,FALSE),FALSE)),VLOOKUP(G31,NGPREVPRICES,2,FALSE),BJ31,VLOOKUP(G31,NGPREVPRICES,4,FALSE),HLOOKUP(D31,VOLS,VLOOKUP(G31,move_down,2,FALSE),FALSE),VLOOKUP(G31,NGPrices,3,FALSE),HLOOKUP(D31,Correllate,VLOOKUP(G31,CorMove,2,FALSE),FALSE),Q31-$BC$3,R31,$BI$5)*H31-BI31</f>
        <v>655.80277617221509</v>
      </c>
      <c r="BG31" s="238">
        <f>_xll.xSPRDOPT((VLOOKUP(G31,NGPREVPRICES,2,FALSE)+HLOOKUP(D31,PREVCURVES,VLOOKUP(G31,MOVE_DOWN2,2,FALSE),FALSE)),VLOOKUP(G31,NGPREVPRICES,2,FALSE),BJ31,VLOOKUP(G31,NGPREVPRICES,4,FALSE),HLOOKUP(D31,PREVVOLS,VLOOKUP(G31,MOVE_DOWN2,2,FALSE),FALSE),VLOOKUP(G31,NGPREVPRICES,3,FALSE),HLOOKUP(D31,Correllate,VLOOKUP(G31,CorMove,2,FALSE),FALSE),Q31-$C$3,R31,$BI$5)*H31-BI31</f>
        <v>-262.71127711005101</v>
      </c>
      <c r="BH31" s="238">
        <f t="shared" si="42"/>
        <v>5357.5614878611232</v>
      </c>
      <c r="BI31" s="238">
        <f>_xll.xSPRDOPT((VLOOKUP(G31,NGPREVPRICES,2,FALSE)+HLOOKUP(D31,PREVCURVES,VLOOKUP(G31,MOVE_DOWN2,2,FALSE),FALSE)),VLOOKUP(G31,NGPREVPRICES,2,FALSE),BJ31,VLOOKUP(G31,NGPREVPRICES,4,FALSE),HLOOKUP(D31,PREVVOLS,VLOOKUP(G31,MOVE_DOWN2,2,FALSE),FALSE),VLOOKUP(G31,NGPREVPRICES,3,FALSE),HLOOKUP(D31,Correllate,VLOOKUP(G31,CorMove,2,FALSE),FALSE),Q31-$BC$3,R31,$BI$5)*H31</f>
        <v>24495.723488723543</v>
      </c>
      <c r="BJ31" s="239">
        <f t="shared" si="43"/>
        <v>0.3</v>
      </c>
      <c r="BK31" s="238"/>
      <c r="BL31" t="str">
        <f t="shared" si="44"/>
        <v>36770Curve Shift/Gamma</v>
      </c>
      <c r="BM31" t="str">
        <f t="shared" si="22"/>
        <v>36770Rho</v>
      </c>
      <c r="BN31" t="str">
        <f t="shared" si="23"/>
        <v>36770Drift</v>
      </c>
      <c r="BO31" t="str">
        <f t="shared" si="24"/>
        <v>36770Vega</v>
      </c>
      <c r="BP31" t="str">
        <f t="shared" si="25"/>
        <v>36770Theta</v>
      </c>
      <c r="BQ31" s="398">
        <f t="shared" si="36"/>
        <v>37288</v>
      </c>
      <c r="BR31" s="399">
        <f t="shared" si="26"/>
        <v>-4207.9629907914205</v>
      </c>
      <c r="BS31" s="243">
        <f t="shared" si="27"/>
        <v>-649.16050430032192</v>
      </c>
      <c r="BT31" s="243">
        <f t="shared" si="28"/>
        <v>106.05387570359744</v>
      </c>
      <c r="BU31" s="243">
        <f t="shared" si="29"/>
        <v>0</v>
      </c>
      <c r="BV31" s="253">
        <f t="shared" si="30"/>
        <v>135.97568056068849</v>
      </c>
      <c r="BW31" s="244">
        <f t="shared" si="37"/>
        <v>-4615.0939388274564</v>
      </c>
    </row>
    <row r="32" spans="1:75" ht="12" customHeight="1" x14ac:dyDescent="0.25">
      <c r="A32" s="395" t="s">
        <v>282</v>
      </c>
      <c r="B32" s="141" t="s">
        <v>253</v>
      </c>
      <c r="C32" s="141" t="s">
        <v>112</v>
      </c>
      <c r="D32" s="4" t="s">
        <v>7</v>
      </c>
      <c r="E32" s="141" t="s">
        <v>20</v>
      </c>
      <c r="F32" s="141" t="s">
        <v>21</v>
      </c>
      <c r="G32" s="364">
        <v>36800</v>
      </c>
      <c r="H32" s="158">
        <v>300000</v>
      </c>
      <c r="I32" s="141">
        <v>0.25</v>
      </c>
      <c r="J32" s="53">
        <f t="shared" si="1"/>
        <v>3.18</v>
      </c>
      <c r="K32" s="7">
        <f t="shared" si="2"/>
        <v>0.34499999999999997</v>
      </c>
      <c r="L32" s="4">
        <f t="shared" si="3"/>
        <v>3.5250000000000004</v>
      </c>
      <c r="M32" s="159">
        <f t="shared" si="4"/>
        <v>6.5817989695161006E-2</v>
      </c>
      <c r="N32" s="4">
        <f t="shared" si="5"/>
        <v>0.42249999999999999</v>
      </c>
      <c r="O32" s="4">
        <f t="shared" si="6"/>
        <v>0.41399999999999998</v>
      </c>
      <c r="P32" s="9">
        <f t="shared" si="45"/>
        <v>0.99</v>
      </c>
      <c r="Q32" s="5">
        <f t="shared" si="8"/>
        <v>36797</v>
      </c>
      <c r="R32" s="4">
        <f t="shared" si="9"/>
        <v>1</v>
      </c>
      <c r="S32" s="160">
        <f>_xll.xSPRDOPT($L32,$J32,$I32,$M32,$O32,$N32,$P32,$Q32-$C$3,$R32,0)</f>
        <v>0.11348864631317983</v>
      </c>
      <c r="T32" s="161">
        <f>_xll.xSPRDOPT($L32,$J32,$I32,$M32,$O32,$N32,$P32,$Q32-$C$3,$R32,1)*H32</f>
        <v>219847.8372168366</v>
      </c>
      <c r="U32" s="162">
        <f t="shared" si="46"/>
        <v>34046.593893953948</v>
      </c>
      <c r="V32" s="161">
        <f>_xll.xSPRDOPT($L32,$J32,$I32,$M32,$O32,$N32,$P32,$Q32-$C$3,$R32,2)*H32</f>
        <v>-216664.85667343764</v>
      </c>
      <c r="W32" s="161">
        <f t="shared" si="47"/>
        <v>3182.9805433989677</v>
      </c>
      <c r="X32" s="51" t="str">
        <f t="shared" si="12"/>
        <v>36800IF-TRANSCO/Z6</v>
      </c>
      <c r="Y32" s="431">
        <f t="shared" si="31"/>
        <v>30</v>
      </c>
      <c r="AA32" s="128">
        <f t="shared" si="32"/>
        <v>36951</v>
      </c>
      <c r="AB32" s="43">
        <f t="shared" si="50"/>
        <v>-1.3115143004364624</v>
      </c>
      <c r="AC32" s="43">
        <f t="shared" si="50"/>
        <v>11.848217357328874</v>
      </c>
      <c r="AD32" s="43">
        <f t="shared" si="50"/>
        <v>0</v>
      </c>
      <c r="AE32" s="43">
        <f t="shared" si="50"/>
        <v>0</v>
      </c>
      <c r="AF32" s="44">
        <f t="shared" si="50"/>
        <v>0</v>
      </c>
      <c r="AG32" s="44">
        <f t="shared" si="50"/>
        <v>0</v>
      </c>
      <c r="AH32" s="128">
        <f t="shared" si="33"/>
        <v>36951</v>
      </c>
      <c r="AI32" s="44">
        <f t="shared" si="38"/>
        <v>10.536703056892412</v>
      </c>
      <c r="AJ32" s="51"/>
      <c r="AK32" s="128">
        <f t="shared" si="34"/>
        <v>36951</v>
      </c>
      <c r="AL32" s="43">
        <f t="shared" si="51"/>
        <v>14848.529464058724</v>
      </c>
      <c r="AM32" s="43">
        <f t="shared" si="51"/>
        <v>9929.290275049585</v>
      </c>
      <c r="AN32" s="43">
        <f t="shared" si="51"/>
        <v>0</v>
      </c>
      <c r="AO32" s="43">
        <f t="shared" si="51"/>
        <v>0</v>
      </c>
      <c r="AP32" s="44">
        <f t="shared" si="51"/>
        <v>0</v>
      </c>
      <c r="AQ32" s="44">
        <f t="shared" si="51"/>
        <v>0</v>
      </c>
      <c r="AR32" s="128">
        <f t="shared" si="35"/>
        <v>36951</v>
      </c>
      <c r="AS32" s="44">
        <f t="shared" si="39"/>
        <v>24777.819739108309</v>
      </c>
      <c r="AT32" s="51"/>
      <c r="AU32" s="51"/>
      <c r="AV32" s="51"/>
      <c r="AW32" s="51"/>
      <c r="AX32" s="51"/>
      <c r="AY32" s="51"/>
      <c r="AZ32" s="51"/>
      <c r="BA32" s="51"/>
      <c r="BB32" s="142">
        <f t="shared" si="40"/>
        <v>36800</v>
      </c>
      <c r="BC32" s="238">
        <f>_xll.xSPRDOPT((VLOOKUP(G32,NGPrices,2,FALSE)+HLOOKUP(D32,Prices,VLOOKUP(G32,move_down,2,FALSE),FALSE)),VLOOKUP(G32,NGPrices,2,FALSE),I32,VLOOKUP(G32,NGPREVPRICES,4,FALSE),HLOOKUP(D32,PREVVOLS,VLOOKUP(G32,MOVE_DOWN2,2,FALSE),FALSE),VLOOKUP(G32,NGPREVPRICES,3,FALSE),HLOOKUP(D32,Correllate,VLOOKUP(G32,CorMove,2,FALSE),FALSE),Q32-$BC$3,R32,$BC$5)*H32-BI32</f>
        <v>5051.5071134678692</v>
      </c>
      <c r="BD32" s="238">
        <f>_xll.xSPRDOPT((VLOOKUP(G32,NGPREVPRICES,2,FALSE)+HLOOKUP(D32,PREVCURVES,VLOOKUP(G32,MOVE_DOWN2,2,FALSE),FALSE)),VLOOKUP(G32,NGPREVPRICES,2,FALSE),BJ32,VLOOKUP(G32,NGPrices,4,FALSE),HLOOKUP(D32,PREVVOLS,VLOOKUP(G32,MOVE_DOWN2,2,FALSE),FALSE),VLOOKUP(G32,NGPREVPRICES,3,FALSE),HLOOKUP(D32,Correllate,VLOOKUP(G32,CorMove,2,FALSE),FALSE),Q32-$BC$3,R32,$BI$5)*H32-BI32</f>
        <v>0.47497852140440955</v>
      </c>
      <c r="BE32" s="10">
        <f t="shared" si="41"/>
        <v>-5.2553631058253814</v>
      </c>
      <c r="BF32" s="238">
        <f>_xll.xSPRDOPT((VLOOKUP(G32,NGPREVPRICES,2,FALSE)+HLOOKUP(D32,PREVCURVES,VLOOKUP(G32,MOVE_DOWN2,2,FALSE),FALSE)),VLOOKUP(G32,NGPREVPRICES,2,FALSE),BJ32,VLOOKUP(G32,NGPREVPRICES,4,FALSE),HLOOKUP(D32,VOLS,VLOOKUP(G32,move_down,2,FALSE),FALSE),VLOOKUP(G32,NGPrices,3,FALSE),HLOOKUP(D32,Correllate,VLOOKUP(G32,CorMove,2,FALSE),FALSE),Q32-$BC$3,R32,$BI$5)*H32-BI32</f>
        <v>363.87635484806015</v>
      </c>
      <c r="BG32" s="238">
        <f>_xll.xSPRDOPT((VLOOKUP(G32,NGPREVPRICES,2,FALSE)+HLOOKUP(D32,PREVCURVES,VLOOKUP(G32,MOVE_DOWN2,2,FALSE),FALSE)),VLOOKUP(G32,NGPREVPRICES,2,FALSE),BJ32,VLOOKUP(G32,NGPREVPRICES,4,FALSE),HLOOKUP(D32,PREVVOLS,VLOOKUP(G32,MOVE_DOWN2,2,FALSE),FALSE),VLOOKUP(G32,NGPREVPRICES,3,FALSE),HLOOKUP(D32,Correllate,VLOOKUP(G32,CorMove,2,FALSE),FALSE),Q32-$C$3,R32,$BI$5)*H32-BI32</f>
        <v>-111.33504646472647</v>
      </c>
      <c r="BH32" s="238">
        <f t="shared" si="42"/>
        <v>5299.2680372667819</v>
      </c>
      <c r="BI32" s="238">
        <f>_xll.xSPRDOPT((VLOOKUP(G32,NGPREVPRICES,2,FALSE)+HLOOKUP(D32,PREVCURVES,VLOOKUP(G32,MOVE_DOWN2,2,FALSE),FALSE)),VLOOKUP(G32,NGPREVPRICES,2,FALSE),BJ32,VLOOKUP(G32,NGPREVPRICES,4,FALSE),HLOOKUP(D32,PREVVOLS,VLOOKUP(G32,MOVE_DOWN2,2,FALSE),FALSE),VLOOKUP(G32,NGPREVPRICES,3,FALSE),HLOOKUP(D32,Correllate,VLOOKUP(G32,CorMove,2,FALSE),FALSE),Q32-$BC$3,R32,$BI$5)*H32</f>
        <v>28758.051859252406</v>
      </c>
      <c r="BJ32" s="239">
        <f t="shared" si="43"/>
        <v>0.25</v>
      </c>
      <c r="BK32" s="238"/>
      <c r="BL32" t="str">
        <f t="shared" si="44"/>
        <v>36800Curve Shift/Gamma</v>
      </c>
      <c r="BM32" t="str">
        <f t="shared" si="22"/>
        <v>36800Rho</v>
      </c>
      <c r="BN32" t="str">
        <f t="shared" si="23"/>
        <v>36800Drift</v>
      </c>
      <c r="BO32" t="str">
        <f t="shared" si="24"/>
        <v>36800Vega</v>
      </c>
      <c r="BP32" t="str">
        <f t="shared" si="25"/>
        <v>36800Theta</v>
      </c>
      <c r="BQ32" s="398">
        <f t="shared" si="36"/>
        <v>37316</v>
      </c>
      <c r="BR32" s="399">
        <f t="shared" si="26"/>
        <v>-916.00490455198451</v>
      </c>
      <c r="BS32" s="243">
        <f t="shared" si="27"/>
        <v>-228.0449023807887</v>
      </c>
      <c r="BT32" s="243">
        <f t="shared" si="28"/>
        <v>35.287729029369075</v>
      </c>
      <c r="BU32" s="243">
        <f t="shared" si="29"/>
        <v>0</v>
      </c>
      <c r="BV32" s="253">
        <f t="shared" si="30"/>
        <v>327.32214720075717</v>
      </c>
      <c r="BW32" s="244">
        <f t="shared" si="37"/>
        <v>-781.43993070264696</v>
      </c>
    </row>
    <row r="33" spans="1:75" ht="12" customHeight="1" x14ac:dyDescent="0.25">
      <c r="A33" s="396" t="s">
        <v>273</v>
      </c>
      <c r="B33" t="s">
        <v>132</v>
      </c>
      <c r="C33" t="s">
        <v>274</v>
      </c>
      <c r="D33" s="4" t="s">
        <v>10</v>
      </c>
      <c r="E33" s="4" t="s">
        <v>20</v>
      </c>
      <c r="F33" s="5" t="s">
        <v>21</v>
      </c>
      <c r="G33" s="5">
        <v>36800</v>
      </c>
      <c r="H33" s="130">
        <v>310000</v>
      </c>
      <c r="I33">
        <v>0.16</v>
      </c>
      <c r="J33" s="53">
        <f t="shared" si="1"/>
        <v>3.18</v>
      </c>
      <c r="K33" s="7">
        <f t="shared" si="2"/>
        <v>0.16500000000000001</v>
      </c>
      <c r="L33" s="4">
        <f t="shared" si="3"/>
        <v>3.3450000000000002</v>
      </c>
      <c r="M33" s="159">
        <f t="shared" si="4"/>
        <v>6.5817989695161006E-2</v>
      </c>
      <c r="N33" s="4">
        <f t="shared" si="5"/>
        <v>0.42249999999999999</v>
      </c>
      <c r="O33" s="4">
        <f t="shared" si="6"/>
        <v>0.41399999999999998</v>
      </c>
      <c r="P33" s="9">
        <f t="shared" si="45"/>
        <v>0.995</v>
      </c>
      <c r="Q33" s="5">
        <f t="shared" si="8"/>
        <v>36797</v>
      </c>
      <c r="R33" s="4">
        <f t="shared" si="9"/>
        <v>1</v>
      </c>
      <c r="S33" s="160">
        <f>_xll.xSPRDOPT($L33,$J33,$I33,$M33,$O33,$N33,$P33,$Q33-$C$3,$R33,0)</f>
        <v>3.9452006381696478E-2</v>
      </c>
      <c r="T33" s="161">
        <f>_xll.xSPRDOPT($L33,$J33,$I33,$M33,$O33,$N33,$P33,$Q33-$C$3,$R33,1)*H33</f>
        <v>158953.27758626203</v>
      </c>
      <c r="U33" s="162">
        <f t="shared" si="46"/>
        <v>12230.121978325908</v>
      </c>
      <c r="V33" s="161">
        <f>_xll.xSPRDOPT($L33,$J33,$I33,$M33,$O33,$N33,$P33,$Q33-$C$3,$R33,2)*H33</f>
        <v>-155917.00627917703</v>
      </c>
      <c r="W33" s="161">
        <f t="shared" si="47"/>
        <v>3036.2713070850004</v>
      </c>
      <c r="X33" s="51" t="str">
        <f t="shared" si="12"/>
        <v>36800IF-CGT/APPALAC</v>
      </c>
      <c r="Y33" s="431">
        <f t="shared" si="31"/>
        <v>31</v>
      </c>
      <c r="AA33" s="128">
        <f t="shared" si="32"/>
        <v>36982</v>
      </c>
      <c r="AB33" s="43">
        <f t="shared" si="50"/>
        <v>31.370265938994883</v>
      </c>
      <c r="AC33" s="43">
        <f t="shared" si="50"/>
        <v>0</v>
      </c>
      <c r="AD33" s="43">
        <f t="shared" si="50"/>
        <v>0</v>
      </c>
      <c r="AE33" s="43">
        <f t="shared" si="50"/>
        <v>0</v>
      </c>
      <c r="AF33" s="44">
        <f t="shared" si="50"/>
        <v>0</v>
      </c>
      <c r="AG33" s="44">
        <f t="shared" si="50"/>
        <v>0</v>
      </c>
      <c r="AH33" s="128">
        <f t="shared" si="33"/>
        <v>36982</v>
      </c>
      <c r="AI33" s="44">
        <f t="shared" si="38"/>
        <v>31.370265938994883</v>
      </c>
      <c r="AJ33" s="51"/>
      <c r="AK33" s="128">
        <f t="shared" si="34"/>
        <v>36982</v>
      </c>
      <c r="AL33" s="43">
        <f t="shared" si="51"/>
        <v>7709.770660074777</v>
      </c>
      <c r="AM33" s="43">
        <f t="shared" si="51"/>
        <v>0</v>
      </c>
      <c r="AN33" s="43">
        <f t="shared" si="51"/>
        <v>0</v>
      </c>
      <c r="AO33" s="43">
        <f t="shared" si="51"/>
        <v>0</v>
      </c>
      <c r="AP33" s="44">
        <f t="shared" si="51"/>
        <v>0</v>
      </c>
      <c r="AQ33" s="44">
        <f t="shared" si="51"/>
        <v>0</v>
      </c>
      <c r="AR33" s="128">
        <f t="shared" si="35"/>
        <v>36982</v>
      </c>
      <c r="AS33" s="44">
        <f t="shared" si="39"/>
        <v>7709.770660074777</v>
      </c>
      <c r="AT33" s="51"/>
      <c r="AU33" s="51"/>
      <c r="AV33" s="51"/>
      <c r="AW33" s="51"/>
      <c r="AX33" s="51"/>
      <c r="AY33" s="51"/>
      <c r="AZ33" s="51"/>
      <c r="BA33" s="51"/>
      <c r="BB33" s="142">
        <f t="shared" si="40"/>
        <v>36800</v>
      </c>
      <c r="BC33" s="238">
        <f>_xll.xSPRDOPT((VLOOKUP(G33,NGPrices,2,FALSE)+HLOOKUP(D33,Prices,VLOOKUP(G33,move_down,2,FALSE),FALSE)),VLOOKUP(G33,NGPrices,2,FALSE),I33,VLOOKUP(G33,NGPREVPRICES,4,FALSE),HLOOKUP(D33,PREVVOLS,VLOOKUP(G33,MOVE_DOWN2,2,FALSE),FALSE),VLOOKUP(G33,NGPREVPRICES,3,FALSE),HLOOKUP(D33,Correllate,VLOOKUP(G33,CorMove,2,FALSE),FALSE),Q33-$BC$3,R33,$BC$5)*H33-BI33</f>
        <v>220.75977000989587</v>
      </c>
      <c r="BD33" s="238">
        <f>_xll.xSPRDOPT((VLOOKUP(G33,NGPREVPRICES,2,FALSE)+HLOOKUP(D33,PREVCURVES,VLOOKUP(G33,MOVE_DOWN2,2,FALSE),FALSE)),VLOOKUP(G33,NGPREVPRICES,2,FALSE),BJ33,VLOOKUP(G33,NGPrices,4,FALSE),HLOOKUP(D33,PREVVOLS,VLOOKUP(G33,MOVE_DOWN2,2,FALSE),FALSE),VLOOKUP(G33,NGPREVPRICES,3,FALSE),HLOOKUP(D33,Correllate,VLOOKUP(G33,CorMove,2,FALSE),FALSE),Q33-$BC$3,R33,$BI$5)*H33-BI33</f>
        <v>0.19514162829182169</v>
      </c>
      <c r="BE33" s="10">
        <f t="shared" si="41"/>
        <v>-2.1591294501304219</v>
      </c>
      <c r="BF33" s="238">
        <f>_xll.xSPRDOPT((VLOOKUP(G33,NGPREVPRICES,2,FALSE)+HLOOKUP(D33,PREVCURVES,VLOOKUP(G33,MOVE_DOWN2,2,FALSE),FALSE)),VLOOKUP(G33,NGPREVPRICES,2,FALSE),BJ33,VLOOKUP(G33,NGPREVPRICES,4,FALSE),HLOOKUP(D33,VOLS,VLOOKUP(G33,move_down,2,FALSE),FALSE),VLOOKUP(G33,NGPrices,3,FALSE),HLOOKUP(D33,Correllate,VLOOKUP(G33,CorMove,2,FALSE),FALSE),Q33-$BC$3,R33,$BI$5)*H33-BI33</f>
        <v>287.16105229854838</v>
      </c>
      <c r="BG33" s="238">
        <f>_xll.xSPRDOPT((VLOOKUP(G33,NGPREVPRICES,2,FALSE)+HLOOKUP(D33,PREVCURVES,VLOOKUP(G33,MOVE_DOWN2,2,FALSE),FALSE)),VLOOKUP(G33,NGPREVPRICES,2,FALSE),BJ33,VLOOKUP(G33,NGPREVPRICES,4,FALSE),HLOOKUP(D33,PREVVOLS,VLOOKUP(G33,MOVE_DOWN2,2,FALSE),FALSE),VLOOKUP(G33,NGPREVPRICES,3,FALSE),HLOOKUP(D33,Correllate,VLOOKUP(G33,CorMove,2,FALSE),FALSE),Q33-$C$3,R33,$BI$5)*H33-BI33</f>
        <v>-93.863509316695854</v>
      </c>
      <c r="BH33" s="238">
        <f t="shared" si="42"/>
        <v>412.0933251699098</v>
      </c>
      <c r="BI33" s="238">
        <f>_xll.xSPRDOPT((VLOOKUP(G33,NGPREVPRICES,2,FALSE)+HLOOKUP(D33,PREVCURVES,VLOOKUP(G33,MOVE_DOWN2,2,FALSE),FALSE)),VLOOKUP(G33,NGPREVPRICES,2,FALSE),BJ33,VLOOKUP(G33,NGPREVPRICES,4,FALSE),HLOOKUP(D33,PREVVOLS,VLOOKUP(G33,MOVE_DOWN2,2,FALSE),FALSE),VLOOKUP(G33,NGPREVPRICES,3,FALSE),HLOOKUP(D33,Correllate,VLOOKUP(G33,CorMove,2,FALSE),FALSE),Q33-$BC$3,R33,$BI$5)*H33</f>
        <v>11815.045972537144</v>
      </c>
      <c r="BJ33" s="239">
        <f t="shared" si="43"/>
        <v>0.16</v>
      </c>
      <c r="BK33" s="238"/>
      <c r="BL33" t="str">
        <f t="shared" si="44"/>
        <v>36800Curve Shift/Gamma</v>
      </c>
      <c r="BM33" t="str">
        <f t="shared" si="22"/>
        <v>36800Rho</v>
      </c>
      <c r="BN33" t="str">
        <f t="shared" si="23"/>
        <v>36800Drift</v>
      </c>
      <c r="BO33" t="str">
        <f t="shared" si="24"/>
        <v>36800Vega</v>
      </c>
      <c r="BP33" t="str">
        <f t="shared" si="25"/>
        <v>36800Theta</v>
      </c>
      <c r="BQ33" s="398">
        <f t="shared" si="36"/>
        <v>37347</v>
      </c>
      <c r="BR33" s="399">
        <f t="shared" si="26"/>
        <v>0</v>
      </c>
      <c r="BS33" s="243">
        <f t="shared" si="27"/>
        <v>0</v>
      </c>
      <c r="BT33" s="243">
        <f t="shared" si="28"/>
        <v>0</v>
      </c>
      <c r="BU33" s="243">
        <f t="shared" si="29"/>
        <v>0</v>
      </c>
      <c r="BV33" s="253">
        <f t="shared" si="30"/>
        <v>0</v>
      </c>
      <c r="BW33" s="244">
        <f t="shared" si="37"/>
        <v>0</v>
      </c>
    </row>
    <row r="34" spans="1:75" ht="12" customHeight="1" x14ac:dyDescent="0.25">
      <c r="A34" s="397" t="s">
        <v>271</v>
      </c>
      <c r="B34" s="4" t="s">
        <v>253</v>
      </c>
      <c r="C34" s="51" t="s">
        <v>94</v>
      </c>
      <c r="D34" s="4" t="s">
        <v>9</v>
      </c>
      <c r="E34" s="4" t="s">
        <v>20</v>
      </c>
      <c r="F34" s="51" t="s">
        <v>1</v>
      </c>
      <c r="G34" s="5">
        <v>36800</v>
      </c>
      <c r="H34" s="129">
        <f>10000*(EOMONTH(G34,0)-G34)+10000</f>
        <v>310000</v>
      </c>
      <c r="I34" s="51">
        <v>-0.4</v>
      </c>
      <c r="J34" s="53">
        <f t="shared" si="1"/>
        <v>3.18</v>
      </c>
      <c r="K34" s="7">
        <f t="shared" si="2"/>
        <v>-0.29749999999999999</v>
      </c>
      <c r="L34" s="51">
        <f t="shared" si="3"/>
        <v>2.8825000000000003</v>
      </c>
      <c r="M34" s="52">
        <f t="shared" si="4"/>
        <v>6.5817989695161006E-2</v>
      </c>
      <c r="N34" s="51">
        <f t="shared" si="5"/>
        <v>0.42249999999999999</v>
      </c>
      <c r="O34" s="51">
        <f t="shared" si="6"/>
        <v>0.41399999999999998</v>
      </c>
      <c r="P34" s="9">
        <f t="shared" si="45"/>
        <v>0.96</v>
      </c>
      <c r="Q34" s="5">
        <f t="shared" si="8"/>
        <v>36797</v>
      </c>
      <c r="R34" s="51">
        <f t="shared" si="9"/>
        <v>0</v>
      </c>
      <c r="S34" s="77">
        <f>_xll.xSPRDOPT($L34,$J34,$I34,$M34,$O34,$N34,$P34,$Q34-$C$3,$R34,0)</f>
        <v>6.2840081894201927E-2</v>
      </c>
      <c r="T34" s="126">
        <f>_xll.xSPRDOPT($L34,$J34,$I34,$M34,$O34,$N34,$P34,$Q34-$C$3,$R34,1)*H34</f>
        <v>-103350.10759202309</v>
      </c>
      <c r="U34" s="162">
        <f t="shared" si="46"/>
        <v>19480.425387202598</v>
      </c>
      <c r="V34" s="126">
        <f>_xll.xSPRDOPT($L34,$J34,$I34,$M34,$O34,$N34,$P34,$Q34-$C$3,$R34,2)*H34</f>
        <v>111568.35230856734</v>
      </c>
      <c r="W34" s="126">
        <f t="shared" si="47"/>
        <v>8218.2447165442427</v>
      </c>
      <c r="X34" s="51" t="str">
        <f t="shared" si="12"/>
        <v>36800IF-NWPL_ROCKY_M</v>
      </c>
      <c r="Y34" s="431">
        <f t="shared" si="31"/>
        <v>31</v>
      </c>
      <c r="AA34" s="128">
        <f t="shared" si="32"/>
        <v>37012</v>
      </c>
      <c r="AB34" s="43">
        <f t="shared" si="50"/>
        <v>18.249843069092275</v>
      </c>
      <c r="AC34" s="43">
        <f t="shared" si="50"/>
        <v>0</v>
      </c>
      <c r="AD34" s="43">
        <f t="shared" si="50"/>
        <v>0</v>
      </c>
      <c r="AE34" s="43">
        <f t="shared" si="50"/>
        <v>0</v>
      </c>
      <c r="AF34" s="44">
        <f t="shared" si="50"/>
        <v>0</v>
      </c>
      <c r="AG34" s="44">
        <f t="shared" si="50"/>
        <v>0</v>
      </c>
      <c r="AH34" s="128">
        <f t="shared" si="33"/>
        <v>37012</v>
      </c>
      <c r="AI34" s="44">
        <f t="shared" si="38"/>
        <v>18.249843069092275</v>
      </c>
      <c r="AJ34" s="51"/>
      <c r="AK34" s="128">
        <f t="shared" si="34"/>
        <v>37012</v>
      </c>
      <c r="AL34" s="43">
        <f t="shared" si="51"/>
        <v>7445.2120027244091</v>
      </c>
      <c r="AM34" s="43">
        <f t="shared" si="51"/>
        <v>0</v>
      </c>
      <c r="AN34" s="43">
        <f t="shared" si="51"/>
        <v>0</v>
      </c>
      <c r="AO34" s="43">
        <f t="shared" si="51"/>
        <v>0</v>
      </c>
      <c r="AP34" s="44">
        <f t="shared" si="51"/>
        <v>0</v>
      </c>
      <c r="AQ34" s="44">
        <f t="shared" si="51"/>
        <v>0</v>
      </c>
      <c r="AR34" s="128">
        <f t="shared" si="35"/>
        <v>37012</v>
      </c>
      <c r="AS34" s="44">
        <f t="shared" si="39"/>
        <v>7445.2120027244091</v>
      </c>
      <c r="AT34" s="51"/>
      <c r="AU34" s="51"/>
      <c r="AV34" s="51"/>
      <c r="AW34" s="51"/>
      <c r="AX34" s="51"/>
      <c r="AY34" s="51"/>
      <c r="AZ34" s="51"/>
      <c r="BA34" s="51"/>
      <c r="BB34" s="142">
        <f t="shared" si="40"/>
        <v>36800</v>
      </c>
      <c r="BC34" s="238">
        <f>_xll.xSPRDOPT((VLOOKUP(G34,NGPrices,2,FALSE)+HLOOKUP(D34,Prices,VLOOKUP(G34,move_down,2,FALSE),FALSE)),VLOOKUP(G34,NGPrices,2,FALSE),I34,VLOOKUP(G34,NGPREVPRICES,4,FALSE),HLOOKUP(D34,PREVVOLS,VLOOKUP(G34,MOVE_DOWN2,2,FALSE),FALSE),VLOOKUP(G34,NGPREVPRICES,3,FALSE),HLOOKUP(D34,Correllate,VLOOKUP(G34,CorMove,2,FALSE),FALSE),Q34-$BC$3,R34,$BC$5)*H34-BI34</f>
        <v>2078.4790587148673</v>
      </c>
      <c r="BD34" s="238">
        <f>_xll.xSPRDOPT((VLOOKUP(G34,NGPREVPRICES,2,FALSE)+HLOOKUP(D34,PREVCURVES,VLOOKUP(G34,MOVE_DOWN2,2,FALSE),FALSE)),VLOOKUP(G34,NGPREVPRICES,2,FALSE),BJ34,VLOOKUP(G34,NGPrices,4,FALSE),HLOOKUP(D34,PREVVOLS,VLOOKUP(G34,MOVE_DOWN2,2,FALSE),FALSE),VLOOKUP(G34,NGPREVPRICES,3,FALSE),HLOOKUP(D34,Correllate,VLOOKUP(G34,CorMove,2,FALSE),FALSE),Q34-$BC$3,R34,$BI$5)*H34-BI34</f>
        <v>0.28004810468337382</v>
      </c>
      <c r="BE34" s="10">
        <f t="shared" si="41"/>
        <v>-3.098570589798328</v>
      </c>
      <c r="BF34" s="238">
        <f>_xll.xSPRDOPT((VLOOKUP(G34,NGPREVPRICES,2,FALSE)+HLOOKUP(D34,PREVCURVES,VLOOKUP(G34,MOVE_DOWN2,2,FALSE),FALSE)),VLOOKUP(G34,NGPREVPRICES,2,FALSE),BJ34,VLOOKUP(G34,NGPREVPRICES,4,FALSE),HLOOKUP(D34,VOLS,VLOOKUP(G34,move_down,2,FALSE),FALSE),VLOOKUP(G34,NGPrices,3,FALSE),HLOOKUP(D34,Correllate,VLOOKUP(G34,CorMove,2,FALSE),FALSE),Q34-$BC$3,R34,$BI$5)*H34-BI34</f>
        <v>681.05031763796796</v>
      </c>
      <c r="BG34" s="238">
        <f>_xll.xSPRDOPT((VLOOKUP(G34,NGPREVPRICES,2,FALSE)+HLOOKUP(D34,PREVCURVES,VLOOKUP(G34,MOVE_DOWN2,2,FALSE),FALSE)),VLOOKUP(G34,NGPREVPRICES,2,FALSE),BJ34,VLOOKUP(G34,NGPREVPRICES,4,FALSE),HLOOKUP(D34,PREVVOLS,VLOOKUP(G34,MOVE_DOWN2,2,FALSE),FALSE),VLOOKUP(G34,NGPREVPRICES,3,FALSE),HLOOKUP(D34,Correllate,VLOOKUP(G34,CorMove,2,FALSE),FALSE),Q34-$C$3,R34,$BI$5)*H34-BI34</f>
        <v>-248.65320669773791</v>
      </c>
      <c r="BH34" s="238">
        <f t="shared" si="42"/>
        <v>2508.0576471699824</v>
      </c>
      <c r="BI34" s="238">
        <f>_xll.xSPRDOPT((VLOOKUP(G34,NGPREVPRICES,2,FALSE)+HLOOKUP(D34,PREVCURVES,VLOOKUP(G34,MOVE_DOWN2,2,FALSE),FALSE)),VLOOKUP(G34,NGPREVPRICES,2,FALSE),BJ34,VLOOKUP(G34,NGPREVPRICES,4,FALSE),HLOOKUP(D34,PREVVOLS,VLOOKUP(G34,MOVE_DOWN2,2,FALSE),FALSE),VLOOKUP(G34,NGPREVPRICES,3,FALSE),HLOOKUP(D34,Correllate,VLOOKUP(G34,CorMove,2,FALSE),FALSE),Q34-$BC$3,R34,$BI$5)*H34</f>
        <v>16955.793903606478</v>
      </c>
      <c r="BJ34" s="239">
        <f t="shared" si="43"/>
        <v>-0.4</v>
      </c>
      <c r="BK34" s="238"/>
      <c r="BL34" t="str">
        <f t="shared" si="44"/>
        <v>36800Curve Shift/Gamma</v>
      </c>
      <c r="BM34" t="str">
        <f t="shared" si="22"/>
        <v>36800Rho</v>
      </c>
      <c r="BN34" t="str">
        <f t="shared" si="23"/>
        <v>36800Drift</v>
      </c>
      <c r="BO34" t="str">
        <f t="shared" si="24"/>
        <v>36800Vega</v>
      </c>
      <c r="BP34" t="str">
        <f t="shared" si="25"/>
        <v>36800Theta</v>
      </c>
      <c r="BQ34" s="398">
        <f t="shared" si="36"/>
        <v>37377</v>
      </c>
      <c r="BR34" s="399">
        <f t="shared" si="26"/>
        <v>0</v>
      </c>
      <c r="BS34" s="243">
        <f t="shared" si="27"/>
        <v>0</v>
      </c>
      <c r="BT34" s="243">
        <f t="shared" si="28"/>
        <v>0</v>
      </c>
      <c r="BU34" s="243">
        <f t="shared" si="29"/>
        <v>0</v>
      </c>
      <c r="BV34" s="253">
        <f t="shared" si="30"/>
        <v>0</v>
      </c>
      <c r="BW34" s="244">
        <f t="shared" si="37"/>
        <v>0</v>
      </c>
    </row>
    <row r="35" spans="1:75" ht="12" customHeight="1" x14ac:dyDescent="0.25">
      <c r="A35" s="395" t="s">
        <v>270</v>
      </c>
      <c r="B35" t="s">
        <v>253</v>
      </c>
      <c r="C35" s="7" t="s">
        <v>269</v>
      </c>
      <c r="D35" s="4" t="s">
        <v>10</v>
      </c>
      <c r="E35" s="4" t="s">
        <v>20</v>
      </c>
      <c r="F35" s="5" t="s">
        <v>21</v>
      </c>
      <c r="G35" s="5">
        <v>36800</v>
      </c>
      <c r="H35" s="130">
        <v>600000</v>
      </c>
      <c r="I35" s="4">
        <v>0.16</v>
      </c>
      <c r="J35" s="53">
        <f t="shared" si="1"/>
        <v>3.18</v>
      </c>
      <c r="K35" s="7">
        <f t="shared" si="2"/>
        <v>0.16500000000000001</v>
      </c>
      <c r="L35" s="4">
        <f t="shared" si="3"/>
        <v>3.3450000000000002</v>
      </c>
      <c r="M35" s="159">
        <f t="shared" si="4"/>
        <v>6.5817989695161006E-2</v>
      </c>
      <c r="N35" s="4">
        <f t="shared" si="5"/>
        <v>0.42249999999999999</v>
      </c>
      <c r="O35" s="4">
        <f t="shared" si="6"/>
        <v>0.41399999999999998</v>
      </c>
      <c r="P35" s="9">
        <f t="shared" si="45"/>
        <v>0.995</v>
      </c>
      <c r="Q35" s="5">
        <f t="shared" si="8"/>
        <v>36797</v>
      </c>
      <c r="R35" s="4">
        <f t="shared" si="9"/>
        <v>1</v>
      </c>
      <c r="S35" s="160">
        <f>_xll.xSPRDOPT($L35,$J35,$I35,$M35,$O35,$N35,$P35,$Q35-$C$3,$R35,0)</f>
        <v>3.9452006381696478E-2</v>
      </c>
      <c r="T35" s="161">
        <f>_xll.xSPRDOPT($L35,$J35,$I35,$M35,$O35,$N35,$P35,$Q35-$C$3,$R35,1)*H35</f>
        <v>307651.50500566844</v>
      </c>
      <c r="U35" s="162">
        <f t="shared" si="46"/>
        <v>23671.203829017886</v>
      </c>
      <c r="V35" s="161">
        <f>_xll.xSPRDOPT($L35,$J35,$I35,$M35,$O35,$N35,$P35,$Q35-$C$3,$R35,2)*H35</f>
        <v>-301774.85086292331</v>
      </c>
      <c r="W35" s="161">
        <f t="shared" si="47"/>
        <v>5876.6541427451302</v>
      </c>
      <c r="X35" s="51" t="str">
        <f t="shared" si="12"/>
        <v>36800IF-CGT/APPALAC</v>
      </c>
      <c r="Y35" s="431">
        <f t="shared" si="31"/>
        <v>60</v>
      </c>
      <c r="AA35" s="128">
        <f t="shared" si="32"/>
        <v>37043</v>
      </c>
      <c r="AB35" s="43">
        <f t="shared" si="50"/>
        <v>18.173912572114908</v>
      </c>
      <c r="AC35" s="43">
        <f t="shared" si="50"/>
        <v>0</v>
      </c>
      <c r="AD35" s="43">
        <f t="shared" si="50"/>
        <v>0</v>
      </c>
      <c r="AE35" s="43">
        <f t="shared" si="50"/>
        <v>0</v>
      </c>
      <c r="AF35" s="44">
        <f t="shared" si="50"/>
        <v>0</v>
      </c>
      <c r="AG35" s="44">
        <f t="shared" si="50"/>
        <v>0</v>
      </c>
      <c r="AH35" s="128">
        <f t="shared" si="33"/>
        <v>37043</v>
      </c>
      <c r="AI35" s="44">
        <f t="shared" si="38"/>
        <v>18.173912572114908</v>
      </c>
      <c r="AJ35" s="51"/>
      <c r="AK35" s="128">
        <f t="shared" si="34"/>
        <v>37043</v>
      </c>
      <c r="AL35" s="43">
        <f t="shared" si="51"/>
        <v>7495.2118483608065</v>
      </c>
      <c r="AM35" s="43">
        <f t="shared" si="51"/>
        <v>0</v>
      </c>
      <c r="AN35" s="43">
        <f t="shared" si="51"/>
        <v>0</v>
      </c>
      <c r="AO35" s="43">
        <f t="shared" si="51"/>
        <v>0</v>
      </c>
      <c r="AP35" s="44">
        <f t="shared" si="51"/>
        <v>0</v>
      </c>
      <c r="AQ35" s="44">
        <f t="shared" si="51"/>
        <v>0</v>
      </c>
      <c r="AR35" s="128">
        <f t="shared" si="35"/>
        <v>37043</v>
      </c>
      <c r="AS35" s="44">
        <f t="shared" si="39"/>
        <v>7495.2118483608065</v>
      </c>
      <c r="AT35" s="51"/>
      <c r="AU35" s="51"/>
      <c r="AV35" s="51"/>
      <c r="AW35" s="51"/>
      <c r="AX35" s="51"/>
      <c r="AY35" s="51"/>
      <c r="AZ35" s="51"/>
      <c r="BA35" s="51"/>
      <c r="BB35" s="142">
        <f t="shared" si="40"/>
        <v>36800</v>
      </c>
      <c r="BC35" s="238">
        <f>_xll.xSPRDOPT((VLOOKUP(G35,NGPrices,2,FALSE)+HLOOKUP(D35,Prices,VLOOKUP(G35,move_down,2,FALSE),FALSE)),VLOOKUP(G35,NGPrices,2,FALSE),I35,VLOOKUP(G35,NGPREVPRICES,4,FALSE),HLOOKUP(D35,PREVVOLS,VLOOKUP(G35,MOVE_DOWN2,2,FALSE),FALSE),VLOOKUP(G35,NGPREVPRICES,3,FALSE),HLOOKUP(D35,Correllate,VLOOKUP(G35,CorMove,2,FALSE),FALSE),Q35-$BC$3,R35,$BC$5)*H35-BI35</f>
        <v>427.27697421270204</v>
      </c>
      <c r="BD35" s="238">
        <f>_xll.xSPRDOPT((VLOOKUP(G35,NGPREVPRICES,2,FALSE)+HLOOKUP(D35,PREVCURVES,VLOOKUP(G35,MOVE_DOWN2,2,FALSE),FALSE)),VLOOKUP(G35,NGPREVPRICES,2,FALSE),BJ35,VLOOKUP(G35,NGPrices,4,FALSE),HLOOKUP(D35,PREVVOLS,VLOOKUP(G35,MOVE_DOWN2,2,FALSE),FALSE),VLOOKUP(G35,NGPREVPRICES,3,FALSE),HLOOKUP(D35,Correllate,VLOOKUP(G35,CorMove,2,FALSE),FALSE),Q35-$BC$3,R35,$BI$5)*H35-BI35</f>
        <v>0.37769347411449417</v>
      </c>
      <c r="BE35" s="10">
        <f t="shared" si="41"/>
        <v>-4.1789602260578249</v>
      </c>
      <c r="BF35" s="238">
        <f>_xll.xSPRDOPT((VLOOKUP(G35,NGPREVPRICES,2,FALSE)+HLOOKUP(D35,PREVCURVES,VLOOKUP(G35,MOVE_DOWN2,2,FALSE),FALSE)),VLOOKUP(G35,NGPREVPRICES,2,FALSE),BJ35,VLOOKUP(G35,NGPREVPRICES,4,FALSE),HLOOKUP(D35,VOLS,VLOOKUP(G35,move_down,2,FALSE),FALSE),VLOOKUP(G35,NGPrices,3,FALSE),HLOOKUP(D35,Correllate,VLOOKUP(G35,CorMove,2,FALSE),FALSE),Q35-$BC$3,R35,$BI$5)*H35-BI35</f>
        <v>555.7955850939652</v>
      </c>
      <c r="BG35" s="238">
        <f>_xll.xSPRDOPT((VLOOKUP(G35,NGPREVPRICES,2,FALSE)+HLOOKUP(D35,PREVCURVES,VLOOKUP(G35,MOVE_DOWN2,2,FALSE),FALSE)),VLOOKUP(G35,NGPREVPRICES,2,FALSE),BJ35,VLOOKUP(G35,NGPREVPRICES,4,FALSE),HLOOKUP(D35,PREVVOLS,VLOOKUP(G35,MOVE_DOWN2,2,FALSE),FALSE),VLOOKUP(G35,NGPREVPRICES,3,FALSE),HLOOKUP(D35,Correllate,VLOOKUP(G35,CorMove,2,FALSE),FALSE),Q35-$C$3,R35,$BI$5)*H35-BI35</f>
        <v>-181.67130835489661</v>
      </c>
      <c r="BH35" s="238">
        <f t="shared" si="42"/>
        <v>797.5999841998273</v>
      </c>
      <c r="BI35" s="238">
        <f>_xll.xSPRDOPT((VLOOKUP(G35,NGPREVPRICES,2,FALSE)+HLOOKUP(D35,PREVCURVES,VLOOKUP(G35,MOVE_DOWN2,2,FALSE),FALSE)),VLOOKUP(G35,NGPREVPRICES,2,FALSE),BJ35,VLOOKUP(G35,NGPREVPRICES,4,FALSE),HLOOKUP(D35,PREVVOLS,VLOOKUP(G35,MOVE_DOWN2,2,FALSE),FALSE),VLOOKUP(G35,NGPREVPRICES,3,FALSE),HLOOKUP(D35,Correllate,VLOOKUP(G35,CorMove,2,FALSE),FALSE),Q35-$BC$3,R35,$BI$5)*H35</f>
        <v>22867.830914588019</v>
      </c>
      <c r="BJ35" s="239">
        <f t="shared" si="43"/>
        <v>0.16</v>
      </c>
      <c r="BK35" s="238"/>
      <c r="BL35" t="str">
        <f t="shared" si="44"/>
        <v>36800Curve Shift/Gamma</v>
      </c>
      <c r="BM35" t="str">
        <f t="shared" si="22"/>
        <v>36800Rho</v>
      </c>
      <c r="BN35" t="str">
        <f t="shared" si="23"/>
        <v>36800Drift</v>
      </c>
      <c r="BO35" t="str">
        <f t="shared" si="24"/>
        <v>36800Vega</v>
      </c>
      <c r="BP35" t="str">
        <f t="shared" si="25"/>
        <v>36800Theta</v>
      </c>
      <c r="BQ35" s="398">
        <f t="shared" si="36"/>
        <v>37408</v>
      </c>
      <c r="BR35" s="399">
        <f t="shared" si="26"/>
        <v>0</v>
      </c>
      <c r="BS35" s="243">
        <f t="shared" si="27"/>
        <v>0</v>
      </c>
      <c r="BT35" s="243">
        <f t="shared" si="28"/>
        <v>0</v>
      </c>
      <c r="BU35" s="243">
        <f t="shared" si="29"/>
        <v>0</v>
      </c>
      <c r="BV35" s="253">
        <f t="shared" si="30"/>
        <v>0</v>
      </c>
      <c r="BW35" s="244">
        <f t="shared" si="37"/>
        <v>0</v>
      </c>
    </row>
    <row r="36" spans="1:75" ht="12" customHeight="1" x14ac:dyDescent="0.25">
      <c r="A36" s="394" t="s">
        <v>270</v>
      </c>
      <c r="B36" s="7" t="s">
        <v>253</v>
      </c>
      <c r="C36" s="7" t="s">
        <v>93</v>
      </c>
      <c r="D36" s="4" t="s">
        <v>7</v>
      </c>
      <c r="E36" s="4" t="s">
        <v>20</v>
      </c>
      <c r="F36" s="5" t="s">
        <v>21</v>
      </c>
      <c r="G36" s="5">
        <v>36800</v>
      </c>
      <c r="H36" s="130">
        <v>500000</v>
      </c>
      <c r="I36" s="4">
        <v>0.3</v>
      </c>
      <c r="J36" s="53">
        <f t="shared" si="1"/>
        <v>3.18</v>
      </c>
      <c r="K36" s="7">
        <f t="shared" si="2"/>
        <v>0.34499999999999997</v>
      </c>
      <c r="L36" s="4">
        <f t="shared" si="3"/>
        <v>3.5250000000000004</v>
      </c>
      <c r="M36" s="159">
        <f t="shared" si="4"/>
        <v>6.5817989695161006E-2</v>
      </c>
      <c r="N36" s="4">
        <f t="shared" si="5"/>
        <v>0.42249999999999999</v>
      </c>
      <c r="O36" s="4">
        <f t="shared" si="6"/>
        <v>0.41399999999999998</v>
      </c>
      <c r="P36" s="9">
        <f t="shared" si="45"/>
        <v>0.99</v>
      </c>
      <c r="Q36" s="5">
        <f t="shared" si="8"/>
        <v>36797</v>
      </c>
      <c r="R36" s="4">
        <f t="shared" si="9"/>
        <v>1</v>
      </c>
      <c r="S36" s="160">
        <f>_xll.xSPRDOPT($L36,$J36,$I36,$M36,$O36,$N36,$P36,$Q36-$C$3,$R36,0)</f>
        <v>8.2175162078058181E-2</v>
      </c>
      <c r="T36" s="161">
        <f>_xll.xSPRDOPT($L36,$J36,$I36,$M36,$O36,$N36,$P36,$Q36-$C$3,$R36,1)*H36</f>
        <v>306451.95685375604</v>
      </c>
      <c r="U36" s="162">
        <f t="shared" si="46"/>
        <v>41087.581039029094</v>
      </c>
      <c r="V36" s="161">
        <f>_xll.xSPRDOPT($L36,$J36,$I36,$M36,$O36,$N36,$P36,$Q36-$C$3,$R36,2)*H36</f>
        <v>-300414.27894911484</v>
      </c>
      <c r="W36" s="161">
        <f t="shared" si="47"/>
        <v>6037.6779046411975</v>
      </c>
      <c r="X36" s="51" t="str">
        <f t="shared" si="12"/>
        <v>36800IF-TRANSCO/Z6</v>
      </c>
      <c r="Y36" s="431">
        <f t="shared" si="31"/>
        <v>50</v>
      </c>
      <c r="Z36" s="51"/>
      <c r="AA36" s="128">
        <f t="shared" si="32"/>
        <v>37073</v>
      </c>
      <c r="AB36" s="43">
        <f t="shared" si="50"/>
        <v>18.810474847317835</v>
      </c>
      <c r="AC36" s="43">
        <f t="shared" si="50"/>
        <v>0</v>
      </c>
      <c r="AD36" s="43">
        <f t="shared" si="50"/>
        <v>0</v>
      </c>
      <c r="AE36" s="43">
        <f t="shared" si="50"/>
        <v>0</v>
      </c>
      <c r="AF36" s="44">
        <f t="shared" si="50"/>
        <v>0</v>
      </c>
      <c r="AG36" s="44">
        <f t="shared" si="50"/>
        <v>0</v>
      </c>
      <c r="AH36" s="128">
        <f t="shared" si="33"/>
        <v>37073</v>
      </c>
      <c r="AI36" s="44">
        <f t="shared" si="38"/>
        <v>18.810474847317835</v>
      </c>
      <c r="AJ36" s="51"/>
      <c r="AK36" s="128">
        <f t="shared" si="34"/>
        <v>37073</v>
      </c>
      <c r="AL36" s="43">
        <f t="shared" si="51"/>
        <v>7726.9247668574972</v>
      </c>
      <c r="AM36" s="43">
        <f t="shared" si="51"/>
        <v>0</v>
      </c>
      <c r="AN36" s="43">
        <f t="shared" si="51"/>
        <v>0</v>
      </c>
      <c r="AO36" s="43">
        <f t="shared" si="51"/>
        <v>0</v>
      </c>
      <c r="AP36" s="44">
        <f t="shared" si="51"/>
        <v>0</v>
      </c>
      <c r="AQ36" s="44">
        <f t="shared" si="51"/>
        <v>0</v>
      </c>
      <c r="AR36" s="128">
        <f t="shared" si="35"/>
        <v>37073</v>
      </c>
      <c r="AS36" s="44">
        <f t="shared" si="39"/>
        <v>7726.9247668574972</v>
      </c>
      <c r="AT36" s="51"/>
      <c r="AU36" s="51"/>
      <c r="AV36" s="51"/>
      <c r="AW36" s="51"/>
      <c r="AX36" s="51"/>
      <c r="AY36" s="51"/>
      <c r="AZ36" s="51"/>
      <c r="BA36" s="51"/>
      <c r="BB36" s="142">
        <f t="shared" si="40"/>
        <v>36800</v>
      </c>
      <c r="BC36" s="238">
        <f>_xll.xSPRDOPT((VLOOKUP(G36,NGPrices,2,FALSE)+HLOOKUP(D36,Prices,VLOOKUP(G36,move_down,2,FALSE),FALSE)),VLOOKUP(G36,NGPrices,2,FALSE),I36,VLOOKUP(G36,NGPREVPRICES,4,FALSE),HLOOKUP(D36,PREVVOLS,VLOOKUP(G36,MOVE_DOWN2,2,FALSE),FALSE),VLOOKUP(G36,NGPREVPRICES,3,FALSE),HLOOKUP(D36,Correllate,VLOOKUP(G36,CorMove,2,FALSE),FALSE),Q36-$BC$3,R36,$BC$5)*H36-BI36</f>
        <v>7046.6387359602086</v>
      </c>
      <c r="BD36" s="238">
        <f>_xll.xSPRDOPT((VLOOKUP(G36,NGPREVPRICES,2,FALSE)+HLOOKUP(D36,PREVCURVES,VLOOKUP(G36,MOVE_DOWN2,2,FALSE),FALSE)),VLOOKUP(G36,NGPREVPRICES,2,FALSE),BJ36,VLOOKUP(G36,NGPrices,4,FALSE),HLOOKUP(D36,PREVVOLS,VLOOKUP(G36,MOVE_DOWN2,2,FALSE),FALSE),VLOOKUP(G36,NGPREVPRICES,3,FALSE),HLOOKUP(D36,Correllate,VLOOKUP(G36,CorMove,2,FALSE),FALSE),Q36-$BC$3,R36,$BI$5)*H36-BI36</f>
        <v>0.55435489768569823</v>
      </c>
      <c r="BE36" s="10">
        <f t="shared" si="41"/>
        <v>-6.1336168805646594</v>
      </c>
      <c r="BF36" s="238">
        <f>_xll.xSPRDOPT((VLOOKUP(G36,NGPREVPRICES,2,FALSE)+HLOOKUP(D36,PREVCURVES,VLOOKUP(G36,MOVE_DOWN2,2,FALSE),FALSE)),VLOOKUP(G36,NGPREVPRICES,2,FALSE),BJ36,VLOOKUP(G36,NGPREVPRICES,4,FALSE),HLOOKUP(D36,VOLS,VLOOKUP(G36,move_down,2,FALSE),FALSE),VLOOKUP(G36,NGPrices,3,FALSE),HLOOKUP(D36,Correllate,VLOOKUP(G36,CorMove,2,FALSE),FALSE),Q36-$BC$3,R36,$BI$5)*H36-BI36</f>
        <v>715.84968406334519</v>
      </c>
      <c r="BG36" s="238">
        <f>_xll.xSPRDOPT((VLOOKUP(G36,NGPREVPRICES,2,FALSE)+HLOOKUP(D36,PREVCURVES,VLOOKUP(G36,MOVE_DOWN2,2,FALSE),FALSE)),VLOOKUP(G36,NGPREVPRICES,2,FALSE),BJ36,VLOOKUP(G36,NGPREVPRICES,4,FALSE),HLOOKUP(D36,PREVVOLS,VLOOKUP(G36,MOVE_DOWN2,2,FALSE),FALSE),VLOOKUP(G36,NGPREVPRICES,3,FALSE),HLOOKUP(D36,Correllate,VLOOKUP(G36,CorMove,2,FALSE),FALSE),Q36-$C$3,R36,$BI$5)*H36-BI36</f>
        <v>-231.00676043966087</v>
      </c>
      <c r="BH36" s="238">
        <f t="shared" si="42"/>
        <v>7525.9023976010139</v>
      </c>
      <c r="BI36" s="238">
        <f>_xll.xSPRDOPT((VLOOKUP(G36,NGPREVPRICES,2,FALSE)+HLOOKUP(D36,PREVCURVES,VLOOKUP(G36,MOVE_DOWN2,2,FALSE),FALSE)),VLOOKUP(G36,NGPREVPRICES,2,FALSE),BJ36,VLOOKUP(G36,NGPREVPRICES,4,FALSE),HLOOKUP(D36,PREVVOLS,VLOOKUP(G36,MOVE_DOWN2,2,FALSE),FALSE),VLOOKUP(G36,NGPREVPRICES,3,FALSE),HLOOKUP(D36,Correllate,VLOOKUP(G36,CorMove,2,FALSE),FALSE),Q36-$BC$3,R36,$BI$5)*H36</f>
        <v>33563.97432189207</v>
      </c>
      <c r="BJ36" s="239">
        <f t="shared" si="43"/>
        <v>0.3</v>
      </c>
      <c r="BK36" s="238"/>
      <c r="BL36" t="str">
        <f t="shared" si="44"/>
        <v>36800Curve Shift/Gamma</v>
      </c>
      <c r="BM36" t="str">
        <f t="shared" si="22"/>
        <v>36800Rho</v>
      </c>
      <c r="BN36" t="str">
        <f t="shared" si="23"/>
        <v>36800Drift</v>
      </c>
      <c r="BO36" t="str">
        <f t="shared" si="24"/>
        <v>36800Vega</v>
      </c>
      <c r="BP36" t="str">
        <f t="shared" si="25"/>
        <v>36800Theta</v>
      </c>
      <c r="BQ36" s="398">
        <f t="shared" si="36"/>
        <v>37438</v>
      </c>
      <c r="BR36" s="399">
        <f t="shared" si="26"/>
        <v>0</v>
      </c>
      <c r="BS36" s="243">
        <f t="shared" si="27"/>
        <v>0</v>
      </c>
      <c r="BT36" s="243">
        <f t="shared" si="28"/>
        <v>0</v>
      </c>
      <c r="BU36" s="243">
        <f t="shared" si="29"/>
        <v>0</v>
      </c>
      <c r="BV36" s="253">
        <f t="shared" si="30"/>
        <v>0</v>
      </c>
      <c r="BW36" s="244">
        <f t="shared" si="37"/>
        <v>0</v>
      </c>
    </row>
    <row r="37" spans="1:75" ht="12" customHeight="1" x14ac:dyDescent="0.25">
      <c r="A37" t="s">
        <v>280</v>
      </c>
      <c r="B37" t="s">
        <v>253</v>
      </c>
      <c r="C37" t="s">
        <v>281</v>
      </c>
      <c r="D37" s="4" t="s">
        <v>10</v>
      </c>
      <c r="E37" t="s">
        <v>20</v>
      </c>
      <c r="F37" t="s">
        <v>21</v>
      </c>
      <c r="G37" s="5">
        <v>36831</v>
      </c>
      <c r="H37" s="130">
        <v>300000</v>
      </c>
      <c r="I37">
        <v>0.33</v>
      </c>
      <c r="J37" s="53">
        <f>VLOOKUP(G37,NGPrices,2,FALSE)</f>
        <v>3.2650000000000001</v>
      </c>
      <c r="K37" s="7">
        <f>HLOOKUP(D37,Prices,VLOOKUP(G37,move_down,2,FALSE),FALSE)</f>
        <v>0.19500000000000001</v>
      </c>
      <c r="L37" s="4">
        <f>K37+J37</f>
        <v>3.46</v>
      </c>
      <c r="M37" s="159">
        <f>VLOOKUP(G37,NGPrices,4,FALSE)</f>
        <v>6.6244373635737999E-2</v>
      </c>
      <c r="N37" s="4">
        <f>VLOOKUP(G37,NGPrices,3,FALSE)</f>
        <v>0.42749999999999999</v>
      </c>
      <c r="O37" s="4">
        <f>HLOOKUP(D37,VOLS,VLOOKUP(G37,move_down,2,FALSE),FALSE)</f>
        <v>0.42799999999999999</v>
      </c>
      <c r="P37" s="9">
        <f>HLOOKUP(D37,Correllate,VLOOKUP(G37,CorMove,2,FALSE),FALSE)</f>
        <v>0.96323267464099116</v>
      </c>
      <c r="Q37" s="5">
        <f t="shared" si="8"/>
        <v>36829</v>
      </c>
      <c r="R37" s="4">
        <f>IF(F37="P",0,1)</f>
        <v>1</v>
      </c>
      <c r="S37" s="160">
        <f>_xll.xSPRDOPT($L37,$J37,$I37,$M37,$O37,$N37,$P37,$Q37-$C$3,$R37,0)</f>
        <v>6.3153828353019345E-2</v>
      </c>
      <c r="T37" s="161">
        <f>_xll.xSPRDOPT($L37,$J37,$I37,$M37,$O37,$N37,$P37,$Q37-$C$3,$R37,1)*H37</f>
        <v>99842.334907653218</v>
      </c>
      <c r="U37" s="162">
        <f>S37*H37</f>
        <v>18946.148505905803</v>
      </c>
      <c r="V37" s="161">
        <f>_xll.xSPRDOPT($L37,$J37,$I37,$M37,$O37,$N37,$P37,$Q37-$C$3,$R37,2)*H37</f>
        <v>-91415.357880997864</v>
      </c>
      <c r="W37" s="161">
        <f>+V37+T37</f>
        <v>8426.9770266553533</v>
      </c>
      <c r="X37" s="51" t="str">
        <f t="shared" si="12"/>
        <v>36831IF-CGT/APPALAC</v>
      </c>
      <c r="Y37" s="431">
        <f t="shared" si="31"/>
        <v>30</v>
      </c>
      <c r="Z37" s="51"/>
      <c r="AA37" s="128">
        <f t="shared" si="32"/>
        <v>37104</v>
      </c>
      <c r="AB37" s="43">
        <f t="shared" ref="AB37:AG46" si="52">SUMIF($X:$X,CONCATENATE($AA37,AB$6),$T:$T)/10000</f>
        <v>18.879636862810418</v>
      </c>
      <c r="AC37" s="43">
        <f t="shared" si="52"/>
        <v>0</v>
      </c>
      <c r="AD37" s="43">
        <f t="shared" si="52"/>
        <v>0</v>
      </c>
      <c r="AE37" s="43">
        <f t="shared" si="52"/>
        <v>0</v>
      </c>
      <c r="AF37" s="44">
        <f t="shared" si="52"/>
        <v>0</v>
      </c>
      <c r="AG37" s="44">
        <f t="shared" si="52"/>
        <v>0</v>
      </c>
      <c r="AH37" s="128">
        <f t="shared" si="33"/>
        <v>37104</v>
      </c>
      <c r="AI37" s="44">
        <f t="shared" si="38"/>
        <v>18.879636862810418</v>
      </c>
      <c r="AJ37" s="51"/>
      <c r="AK37" s="128">
        <f t="shared" si="34"/>
        <v>37104</v>
      </c>
      <c r="AL37" s="43">
        <f t="shared" ref="AL37:AQ46" si="53">SUMIF($X:$X,CONCATENATE($AA37,AL$6),$W:$W)</f>
        <v>7975.1296652134624</v>
      </c>
      <c r="AM37" s="43">
        <f t="shared" si="53"/>
        <v>0</v>
      </c>
      <c r="AN37" s="43">
        <f t="shared" si="53"/>
        <v>0</v>
      </c>
      <c r="AO37" s="43">
        <f t="shared" si="53"/>
        <v>0</v>
      </c>
      <c r="AP37" s="44">
        <f t="shared" si="53"/>
        <v>0</v>
      </c>
      <c r="AQ37" s="44">
        <f t="shared" si="53"/>
        <v>0</v>
      </c>
      <c r="AR37" s="128">
        <f t="shared" si="35"/>
        <v>37104</v>
      </c>
      <c r="AS37" s="44">
        <f t="shared" si="39"/>
        <v>7975.1296652134624</v>
      </c>
      <c r="AT37" s="51"/>
      <c r="AU37" s="51"/>
      <c r="AV37" s="51"/>
      <c r="AW37" s="51"/>
      <c r="AX37" s="51"/>
      <c r="AY37" s="51"/>
      <c r="AZ37" s="51"/>
      <c r="BA37" s="51"/>
      <c r="BB37" s="142">
        <f t="shared" si="40"/>
        <v>36831</v>
      </c>
      <c r="BC37" s="238">
        <f>_xll.xSPRDOPT((VLOOKUP(G37,NGPrices,2,FALSE)+HLOOKUP(D37,Prices,VLOOKUP(G37,move_down,2,FALSE),FALSE)),VLOOKUP(G37,NGPrices,2,FALSE),I37,VLOOKUP(G37,NGPREVPRICES,4,FALSE),HLOOKUP(D37,PREVVOLS,VLOOKUP(G37,MOVE_DOWN2,2,FALSE),FALSE),VLOOKUP(G37,NGPREVPRICES,3,FALSE),HLOOKUP(D37,Correllate,VLOOKUP(G37,CorMove,2,FALSE),FALSE),Q37-$BC$3,R37,$BC$5)*H37-BI37</f>
        <v>551.6422064231665</v>
      </c>
      <c r="BD37" s="238">
        <f>_xll.xSPRDOPT((VLOOKUP(G37,NGPREVPRICES,2,FALSE)+HLOOKUP(D37,PREVCURVES,VLOOKUP(G37,MOVE_DOWN2,2,FALSE),FALSE)),VLOOKUP(G37,NGPREVPRICES,2,FALSE),BJ37,VLOOKUP(G37,NGPrices,4,FALSE),HLOOKUP(D37,PREVVOLS,VLOOKUP(G37,MOVE_DOWN2,2,FALSE),FALSE),VLOOKUP(G37,NGPREVPRICES,3,FALSE),HLOOKUP(D37,Correllate,VLOOKUP(G37,CorMove,2,FALSE),FALSE),Q37-$BC$3,R37,$BI$5)*H37-BI37</f>
        <v>0.72470523578886059</v>
      </c>
      <c r="BE37" s="10">
        <f t="shared" si="41"/>
        <v>-3.3778056581286364</v>
      </c>
      <c r="BF37" s="238">
        <f>_xll.xSPRDOPT((VLOOKUP(G37,NGPREVPRICES,2,FALSE)+HLOOKUP(D37,PREVCURVES,VLOOKUP(G37,MOVE_DOWN2,2,FALSE),FALSE)),VLOOKUP(G37,NGPREVPRICES,2,FALSE),BJ37,VLOOKUP(G37,NGPREVPRICES,4,FALSE),HLOOKUP(D37,VOLS,VLOOKUP(G37,move_down,2,FALSE),FALSE),VLOOKUP(G37,NGPrices,3,FALSE),HLOOKUP(D37,Correllate,VLOOKUP(G37,CorMove,2,FALSE),FALSE),Q37-$BC$3,R37,$BI$5)*H37-BI37</f>
        <v>366.9899153501101</v>
      </c>
      <c r="BG37" s="238">
        <f>_xll.xSPRDOPT((VLOOKUP(G37,NGPREVPRICES,2,FALSE)+HLOOKUP(D37,PREVCURVES,VLOOKUP(G37,MOVE_DOWN2,2,FALSE),FALSE)),VLOOKUP(G37,NGPREVPRICES,2,FALSE),BJ37,VLOOKUP(G37,NGPREVPRICES,4,FALSE),HLOOKUP(D37,PREVVOLS,VLOOKUP(G37,MOVE_DOWN2,2,FALSE),FALSE),VLOOKUP(G37,NGPREVPRICES,3,FALSE),HLOOKUP(D37,Correllate,VLOOKUP(G37,CorMove,2,FALSE),FALSE),Q37-$C$3,R37,$BI$5)*H37-BI37</f>
        <v>-224.78802609804552</v>
      </c>
      <c r="BH37" s="238">
        <f t="shared" si="42"/>
        <v>691.1909952528913</v>
      </c>
      <c r="BI37" s="238">
        <f>_xll.xSPRDOPT((VLOOKUP(G37,NGPREVPRICES,2,FALSE)+HLOOKUP(D37,PREVCURVES,VLOOKUP(G37,MOVE_DOWN2,2,FALSE),FALSE)),VLOOKUP(G37,NGPREVPRICES,2,FALSE),BJ37,VLOOKUP(G37,NGPREVPRICES,4,FALSE),HLOOKUP(D37,PREVVOLS,VLOOKUP(G37,MOVE_DOWN2,2,FALSE),FALSE),VLOOKUP(G37,NGPREVPRICES,3,FALSE),HLOOKUP(D37,Correllate,VLOOKUP(G37,CorMove,2,FALSE),FALSE),Q37-$BC$3,R37,$BI$5)*H37</f>
        <v>18251.671104438177</v>
      </c>
      <c r="BJ37" s="239">
        <f t="shared" si="43"/>
        <v>0.33</v>
      </c>
      <c r="BK37" s="238"/>
      <c r="BL37" t="str">
        <f t="shared" si="44"/>
        <v>36831Curve Shift/Gamma</v>
      </c>
      <c r="BM37" t="str">
        <f t="shared" si="22"/>
        <v>36831Rho</v>
      </c>
      <c r="BN37" t="str">
        <f t="shared" si="23"/>
        <v>36831Drift</v>
      </c>
      <c r="BO37" t="str">
        <f t="shared" si="24"/>
        <v>36831Vega</v>
      </c>
      <c r="BP37" t="str">
        <f t="shared" si="25"/>
        <v>36831Theta</v>
      </c>
      <c r="BQ37" s="398">
        <f t="shared" si="36"/>
        <v>37469</v>
      </c>
      <c r="BR37" s="399">
        <f t="shared" si="26"/>
        <v>0</v>
      </c>
      <c r="BS37" s="243">
        <f t="shared" si="27"/>
        <v>0</v>
      </c>
      <c r="BT37" s="243">
        <f t="shared" si="28"/>
        <v>0</v>
      </c>
      <c r="BU37" s="243">
        <f t="shared" si="29"/>
        <v>0</v>
      </c>
      <c r="BV37" s="253">
        <f t="shared" si="30"/>
        <v>0</v>
      </c>
      <c r="BW37" s="244">
        <f t="shared" si="37"/>
        <v>0</v>
      </c>
    </row>
    <row r="38" spans="1:75" ht="12" customHeight="1" x14ac:dyDescent="0.25">
      <c r="A38" s="396" t="s">
        <v>280</v>
      </c>
      <c r="B38" t="s">
        <v>253</v>
      </c>
      <c r="C38" t="s">
        <v>281</v>
      </c>
      <c r="D38" s="4" t="s">
        <v>10</v>
      </c>
      <c r="E38" t="s">
        <v>20</v>
      </c>
      <c r="F38" t="s">
        <v>21</v>
      </c>
      <c r="G38" s="5">
        <v>36861</v>
      </c>
      <c r="H38" s="130">
        <v>310000</v>
      </c>
      <c r="I38">
        <v>0.33</v>
      </c>
      <c r="J38" s="53">
        <f>VLOOKUP(G38,NGPrices,2,FALSE)</f>
        <v>3.3519999999999999</v>
      </c>
      <c r="K38" s="7">
        <f>HLOOKUP(D38,Prices,VLOOKUP(G38,move_down,2,FALSE),FALSE)</f>
        <v>0.27250000000000002</v>
      </c>
      <c r="L38" s="4">
        <f>K38+J38</f>
        <v>3.6244999999999998</v>
      </c>
      <c r="M38" s="159">
        <f>VLOOKUP(G38,NGPrices,4,FALSE)</f>
        <v>6.6657003312999993E-2</v>
      </c>
      <c r="N38" s="4">
        <f>VLOOKUP(G38,NGPrices,3,FALSE)</f>
        <v>0.43</v>
      </c>
      <c r="O38" s="4">
        <f>HLOOKUP(D38,VOLS,VLOOKUP(G38,move_down,2,FALSE),FALSE)</f>
        <v>0.43</v>
      </c>
      <c r="P38" s="9">
        <f>HLOOKUP(D38,Correllate,VLOOKUP(G38,CorMove,2,FALSE),FALSE)</f>
        <v>0.96323267464099116</v>
      </c>
      <c r="Q38" s="5">
        <f t="shared" si="8"/>
        <v>36859</v>
      </c>
      <c r="R38" s="4">
        <f>IF(F38="P",0,1)</f>
        <v>1</v>
      </c>
      <c r="S38" s="160">
        <f>_xll.xSPRDOPT($L38,$J38,$I38,$M38,$O38,$N38,$P38,$Q38-$C$3,$R38,0)</f>
        <v>0.10399246876576694</v>
      </c>
      <c r="T38" s="161">
        <f>_xll.xSPRDOPT($L38,$J38,$I38,$M38,$O38,$N38,$P38,$Q38-$C$3,$R38,1)*H38</f>
        <v>134396.75131451868</v>
      </c>
      <c r="U38" s="162">
        <f>S38*H38</f>
        <v>32237.665317387753</v>
      </c>
      <c r="V38" s="161">
        <f>_xll.xSPRDOPT($L38,$J38,$I38,$M38,$O38,$N38,$P38,$Q38-$C$3,$R38,2)*H38</f>
        <v>-124235.82740374828</v>
      </c>
      <c r="W38" s="161">
        <f>+V38+T38</f>
        <v>10160.923910770405</v>
      </c>
      <c r="X38" s="51" t="str">
        <f t="shared" si="12"/>
        <v>36861IF-CGT/APPALAC</v>
      </c>
      <c r="Y38" s="431">
        <f t="shared" si="31"/>
        <v>31</v>
      </c>
      <c r="Z38" s="51"/>
      <c r="AA38" s="128">
        <f t="shared" si="32"/>
        <v>37135</v>
      </c>
      <c r="AB38" s="43">
        <f t="shared" si="52"/>
        <v>18.433358814922705</v>
      </c>
      <c r="AC38" s="43">
        <f t="shared" si="52"/>
        <v>0</v>
      </c>
      <c r="AD38" s="43">
        <f t="shared" si="52"/>
        <v>0</v>
      </c>
      <c r="AE38" s="43">
        <f t="shared" si="52"/>
        <v>0</v>
      </c>
      <c r="AF38" s="44">
        <f t="shared" si="52"/>
        <v>0</v>
      </c>
      <c r="AG38" s="44">
        <f t="shared" si="52"/>
        <v>0</v>
      </c>
      <c r="AH38" s="128">
        <f t="shared" si="33"/>
        <v>37135</v>
      </c>
      <c r="AI38" s="44">
        <f t="shared" si="38"/>
        <v>18.433358814922705</v>
      </c>
      <c r="AJ38" s="51"/>
      <c r="AK38" s="128">
        <f t="shared" si="34"/>
        <v>37135</v>
      </c>
      <c r="AL38" s="43">
        <f t="shared" si="53"/>
        <v>8223.4566574405471</v>
      </c>
      <c r="AM38" s="43">
        <f t="shared" si="53"/>
        <v>0</v>
      </c>
      <c r="AN38" s="43">
        <f t="shared" si="53"/>
        <v>0</v>
      </c>
      <c r="AO38" s="43">
        <f t="shared" si="53"/>
        <v>0</v>
      </c>
      <c r="AP38" s="44">
        <f t="shared" si="53"/>
        <v>0</v>
      </c>
      <c r="AQ38" s="44">
        <f t="shared" si="53"/>
        <v>0</v>
      </c>
      <c r="AR38" s="128">
        <f t="shared" si="35"/>
        <v>37135</v>
      </c>
      <c r="AS38" s="44">
        <f t="shared" si="39"/>
        <v>8223.4566574405471</v>
      </c>
      <c r="AT38" s="51"/>
      <c r="AU38" s="51"/>
      <c r="AV38" s="51"/>
      <c r="AW38" s="51"/>
      <c r="AX38" s="51"/>
      <c r="AY38" s="51"/>
      <c r="AZ38" s="51"/>
      <c r="BA38" s="51"/>
      <c r="BB38" s="142">
        <f t="shared" si="40"/>
        <v>36861</v>
      </c>
      <c r="BC38" s="238">
        <f>_xll.xSPRDOPT((VLOOKUP(G38,NGPrices,2,FALSE)+HLOOKUP(D38,Prices,VLOOKUP(G38,move_down,2,FALSE),FALSE)),VLOOKUP(G38,NGPrices,2,FALSE),I38,VLOOKUP(G38,NGPREVPRICES,4,FALSE),HLOOKUP(D38,PREVVOLS,VLOOKUP(G38,MOVE_DOWN2,2,FALSE),FALSE),VLOOKUP(G38,NGPREVPRICES,3,FALSE),HLOOKUP(D38,Correllate,VLOOKUP(G38,CorMove,2,FALSE),FALSE),Q38-$BC$3,R38,$BC$5)*H38-BI38</f>
        <v>595.37793078277537</v>
      </c>
      <c r="BD38" s="238">
        <f>_xll.xSPRDOPT((VLOOKUP(G38,NGPREVPRICES,2,FALSE)+HLOOKUP(D38,PREVCURVES,VLOOKUP(G38,MOVE_DOWN2,2,FALSE),FALSE)),VLOOKUP(G38,NGPREVPRICES,2,FALSE),BJ38,VLOOKUP(G38,NGPrices,4,FALSE),HLOOKUP(D38,PREVVOLS,VLOOKUP(G38,MOVE_DOWN2,2,FALSE),FALSE),VLOOKUP(G38,NGPREVPRICES,3,FALSE),HLOOKUP(D38,Correllate,VLOOKUP(G38,CorMove,2,FALSE),FALSE),Q38-$BC$3,R38,$BI$5)*H38-BI38</f>
        <v>2.1363625904305081</v>
      </c>
      <c r="BE38" s="10">
        <f t="shared" si="41"/>
        <v>-5.8865837910670962</v>
      </c>
      <c r="BF38" s="238">
        <f>_xll.xSPRDOPT((VLOOKUP(G38,NGPREVPRICES,2,FALSE)+HLOOKUP(D38,PREVCURVES,VLOOKUP(G38,MOVE_DOWN2,2,FALSE),FALSE)),VLOOKUP(G38,NGPREVPRICES,2,FALSE),BJ38,VLOOKUP(G38,NGPREVPRICES,4,FALSE),HLOOKUP(D38,VOLS,VLOOKUP(G38,move_down,2,FALSE),FALSE),VLOOKUP(G38,NGPrices,3,FALSE),HLOOKUP(D38,Correllate,VLOOKUP(G38,CorMove,2,FALSE),FALSE),Q38-$BC$3,R38,$BI$5)*H38-BI38</f>
        <v>458.09610678678291</v>
      </c>
      <c r="BG38" s="238">
        <f>_xll.xSPRDOPT((VLOOKUP(G38,NGPREVPRICES,2,FALSE)+HLOOKUP(D38,PREVCURVES,VLOOKUP(G38,MOVE_DOWN2,2,FALSE),FALSE)),VLOOKUP(G38,NGPREVPRICES,2,FALSE),BJ38,VLOOKUP(G38,NGPREVPRICES,4,FALSE),HLOOKUP(D38,PREVVOLS,VLOOKUP(G38,MOVE_DOWN2,2,FALSE),FALSE),VLOOKUP(G38,NGPREVPRICES,3,FALSE),HLOOKUP(D38,Correllate,VLOOKUP(G38,CorMove,2,FALSE),FALSE),Q38-$C$3,R38,$BI$5)*H38-BI38</f>
        <v>-238.70548703228633</v>
      </c>
      <c r="BH38" s="238">
        <f t="shared" si="42"/>
        <v>811.01832933663536</v>
      </c>
      <c r="BI38" s="238">
        <f>_xll.xSPRDOPT((VLOOKUP(G38,NGPREVPRICES,2,FALSE)+HLOOKUP(D38,PREVCURVES,VLOOKUP(G38,MOVE_DOWN2,2,FALSE),FALSE)),VLOOKUP(G38,NGPREVPRICES,2,FALSE),BJ38,VLOOKUP(G38,NGPREVPRICES,4,FALSE),HLOOKUP(D38,PREVVOLS,VLOOKUP(G38,MOVE_DOWN2,2,FALSE),FALSE),VLOOKUP(G38,NGPREVPRICES,3,FALSE),HLOOKUP(D38,Correllate,VLOOKUP(G38,CorMove,2,FALSE),FALSE),Q38-$BC$3,R38,$BI$5)*H38</f>
        <v>31420.154934908154</v>
      </c>
      <c r="BJ38" s="239">
        <f t="shared" si="43"/>
        <v>0.33</v>
      </c>
      <c r="BK38" s="238"/>
      <c r="BL38" t="str">
        <f t="shared" si="44"/>
        <v>36861Curve Shift/Gamma</v>
      </c>
      <c r="BM38" t="str">
        <f t="shared" si="22"/>
        <v>36861Rho</v>
      </c>
      <c r="BN38" t="str">
        <f t="shared" si="23"/>
        <v>36861Drift</v>
      </c>
      <c r="BO38" t="str">
        <f t="shared" si="24"/>
        <v>36861Vega</v>
      </c>
      <c r="BP38" t="str">
        <f t="shared" si="25"/>
        <v>36861Theta</v>
      </c>
      <c r="BQ38" s="398">
        <f t="shared" si="36"/>
        <v>37500</v>
      </c>
      <c r="BR38" s="399">
        <f t="shared" si="26"/>
        <v>0</v>
      </c>
      <c r="BS38" s="243">
        <f t="shared" si="27"/>
        <v>0</v>
      </c>
      <c r="BT38" s="243">
        <f t="shared" si="28"/>
        <v>0</v>
      </c>
      <c r="BU38" s="243">
        <f t="shared" si="29"/>
        <v>0</v>
      </c>
      <c r="BV38" s="253">
        <f t="shared" si="30"/>
        <v>0</v>
      </c>
      <c r="BW38" s="244">
        <f t="shared" si="37"/>
        <v>0</v>
      </c>
    </row>
    <row r="39" spans="1:75" ht="12" customHeight="1" x14ac:dyDescent="0.25">
      <c r="A39" s="396" t="s">
        <v>280</v>
      </c>
      <c r="B39" t="s">
        <v>253</v>
      </c>
      <c r="C39" t="s">
        <v>281</v>
      </c>
      <c r="D39" s="4" t="s">
        <v>10</v>
      </c>
      <c r="E39" t="s">
        <v>20</v>
      </c>
      <c r="F39" t="s">
        <v>21</v>
      </c>
      <c r="G39" s="5">
        <v>36892</v>
      </c>
      <c r="H39" s="130">
        <v>310000</v>
      </c>
      <c r="I39">
        <v>0.33</v>
      </c>
      <c r="J39" s="53">
        <f>VLOOKUP(G39,NGPrices,2,FALSE)</f>
        <v>3.3650000000000002</v>
      </c>
      <c r="K39" s="7">
        <f>HLOOKUP(D39,Prices,VLOOKUP(G39,move_down,2,FALSE),FALSE)</f>
        <v>0.31</v>
      </c>
      <c r="L39" s="4">
        <f>K39+J39</f>
        <v>3.6750000000000003</v>
      </c>
      <c r="M39" s="159">
        <f>VLOOKUP(G39,NGPrices,4,FALSE)</f>
        <v>6.7045194353832993E-2</v>
      </c>
      <c r="N39" s="4">
        <f>VLOOKUP(G39,NGPrices,3,FALSE)</f>
        <v>0.4325</v>
      </c>
      <c r="O39" s="4">
        <f>HLOOKUP(D39,VOLS,VLOOKUP(G39,move_down,2,FALSE),FALSE)</f>
        <v>0.433</v>
      </c>
      <c r="P39" s="9">
        <f>HLOOKUP(D39,Correllate,VLOOKUP(G39,CorMove,2,FALSE),FALSE)</f>
        <v>0.96323267464099116</v>
      </c>
      <c r="Q39" s="5">
        <f t="shared" ref="Q39:Q70" si="54">WORKDAY(G39,-2)</f>
        <v>36888</v>
      </c>
      <c r="R39" s="4">
        <f>IF(F39="P",0,1)</f>
        <v>1</v>
      </c>
      <c r="S39" s="160">
        <f>_xll.xSPRDOPT($L39,$J39,$I39,$M39,$O39,$N39,$P39,$Q39-$C$3,$R39,0)</f>
        <v>0.12998286945577522</v>
      </c>
      <c r="T39" s="161">
        <f>_xll.xSPRDOPT($L39,$J39,$I39,$M39,$O39,$N39,$P39,$Q39-$C$3,$R39,1)*H39</f>
        <v>147609.70879612057</v>
      </c>
      <c r="U39" s="162">
        <f>S39*H39</f>
        <v>40294.689531290322</v>
      </c>
      <c r="V39" s="161">
        <f>_xll.xSPRDOPT($L39,$J39,$I39,$M39,$O39,$N39,$P39,$Q39-$C$3,$R39,2)*H39</f>
        <v>-136676.63799531417</v>
      </c>
      <c r="W39" s="161">
        <f>+V39+T39</f>
        <v>10933.070800806396</v>
      </c>
      <c r="X39" s="51" t="str">
        <f t="shared" si="12"/>
        <v>36892IF-CGT/APPALAC</v>
      </c>
      <c r="Y39" s="431">
        <f t="shared" si="31"/>
        <v>31</v>
      </c>
      <c r="Z39" s="51"/>
      <c r="AA39" s="128">
        <f t="shared" si="32"/>
        <v>37165</v>
      </c>
      <c r="AB39" s="43">
        <f t="shared" si="52"/>
        <v>18.856479409615446</v>
      </c>
      <c r="AC39" s="43">
        <f t="shared" si="52"/>
        <v>0</v>
      </c>
      <c r="AD39" s="43">
        <f t="shared" si="52"/>
        <v>0</v>
      </c>
      <c r="AE39" s="43">
        <f t="shared" si="52"/>
        <v>0</v>
      </c>
      <c r="AF39" s="44">
        <f t="shared" si="52"/>
        <v>0</v>
      </c>
      <c r="AG39" s="44">
        <f t="shared" si="52"/>
        <v>0</v>
      </c>
      <c r="AH39" s="128">
        <f t="shared" si="33"/>
        <v>37165</v>
      </c>
      <c r="AI39" s="44">
        <f t="shared" si="38"/>
        <v>18.856479409615446</v>
      </c>
      <c r="AJ39" s="51"/>
      <c r="AK39" s="128">
        <f t="shared" si="34"/>
        <v>37165</v>
      </c>
      <c r="AL39" s="43">
        <f t="shared" si="53"/>
        <v>8642.7646549299534</v>
      </c>
      <c r="AM39" s="43">
        <f t="shared" si="53"/>
        <v>0</v>
      </c>
      <c r="AN39" s="43">
        <f t="shared" si="53"/>
        <v>0</v>
      </c>
      <c r="AO39" s="43">
        <f t="shared" si="53"/>
        <v>0</v>
      </c>
      <c r="AP39" s="44">
        <f t="shared" si="53"/>
        <v>0</v>
      </c>
      <c r="AQ39" s="44">
        <f t="shared" si="53"/>
        <v>0</v>
      </c>
      <c r="AR39" s="128">
        <f t="shared" si="35"/>
        <v>37165</v>
      </c>
      <c r="AS39" s="44">
        <f t="shared" si="39"/>
        <v>8642.7646549299534</v>
      </c>
      <c r="AT39" s="51"/>
      <c r="AU39" s="51"/>
      <c r="AV39" s="51"/>
      <c r="AW39" s="51"/>
      <c r="AX39" s="51"/>
      <c r="AY39" s="51"/>
      <c r="AZ39" s="51"/>
      <c r="BA39" s="51"/>
      <c r="BB39" s="142">
        <f t="shared" si="40"/>
        <v>36892</v>
      </c>
      <c r="BC39" s="238">
        <f>_xll.xSPRDOPT((VLOOKUP(G39,NGPrices,2,FALSE)+HLOOKUP(D39,Prices,VLOOKUP(G39,move_down,2,FALSE),FALSE)),VLOOKUP(G39,NGPrices,2,FALSE),I39,VLOOKUP(G39,NGPREVPRICES,4,FALSE),HLOOKUP(D39,PREVVOLS,VLOOKUP(G39,MOVE_DOWN2,2,FALSE),FALSE),VLOOKUP(G39,NGPREVPRICES,3,FALSE),HLOOKUP(D39,Correllate,VLOOKUP(G39,CorMove,2,FALSE),FALSE),Q39-$BC$3,R39,$BC$5)*H39-BI39</f>
        <v>618.67486970585742</v>
      </c>
      <c r="BD39" s="238">
        <f>_xll.xSPRDOPT((VLOOKUP(G39,NGPREVPRICES,2,FALSE)+HLOOKUP(D39,PREVCURVES,VLOOKUP(G39,MOVE_DOWN2,2,FALSE),FALSE)),VLOOKUP(G39,NGPREVPRICES,2,FALSE),BJ39,VLOOKUP(G39,NGPrices,4,FALSE),HLOOKUP(D39,PREVVOLS,VLOOKUP(G39,MOVE_DOWN2,2,FALSE),FALSE),VLOOKUP(G39,NGPREVPRICES,3,FALSE),HLOOKUP(D39,Correllate,VLOOKUP(G39,CorMove,2,FALSE),FALSE),Q39-$BC$3,R39,$BI$5)*H39-BI39</f>
        <v>4.2960881565013551</v>
      </c>
      <c r="BE39" s="10">
        <f t="shared" si="41"/>
        <v>-7.4727721316667157</v>
      </c>
      <c r="BF39" s="238">
        <f>_xll.xSPRDOPT((VLOOKUP(G39,NGPREVPRICES,2,FALSE)+HLOOKUP(D39,PREVCURVES,VLOOKUP(G39,MOVE_DOWN2,2,FALSE),FALSE)),VLOOKUP(G39,NGPREVPRICES,2,FALSE),BJ39,VLOOKUP(G39,NGPREVPRICES,4,FALSE),HLOOKUP(D39,VOLS,VLOOKUP(G39,move_down,2,FALSE),FALSE),VLOOKUP(G39,NGPrices,3,FALSE),HLOOKUP(D39,Correllate,VLOOKUP(G39,CorMove,2,FALSE),FALSE),Q39-$BC$3,R39,$BI$5)*H39-BI39</f>
        <v>494.93798291122221</v>
      </c>
      <c r="BG39" s="238">
        <f>_xll.xSPRDOPT((VLOOKUP(G39,NGPREVPRICES,2,FALSE)+HLOOKUP(D39,PREVCURVES,VLOOKUP(G39,MOVE_DOWN2,2,FALSE),FALSE)),VLOOKUP(G39,NGPREVPRICES,2,FALSE),BJ39,VLOOKUP(G39,NGPREVPRICES,4,FALSE),HLOOKUP(D39,PREVVOLS,VLOOKUP(G39,MOVE_DOWN2,2,FALSE),FALSE),VLOOKUP(G39,NGPREVPRICES,3,FALSE),HLOOKUP(D39,Correllate,VLOOKUP(G39,CorMove,2,FALSE),FALSE),Q39-$C$3,R39,$BI$5)*H39-BI39</f>
        <v>-225.57216831575352</v>
      </c>
      <c r="BH39" s="238">
        <f t="shared" si="42"/>
        <v>884.86400032616075</v>
      </c>
      <c r="BI39" s="238">
        <f>_xll.xSPRDOPT((VLOOKUP(G39,NGPREVPRICES,2,FALSE)+HLOOKUP(D39,PREVCURVES,VLOOKUP(G39,MOVE_DOWN2,2,FALSE),FALSE)),VLOOKUP(G39,NGPREVPRICES,2,FALSE),BJ39,VLOOKUP(G39,NGPREVPRICES,4,FALSE),HLOOKUP(D39,PREVVOLS,VLOOKUP(G39,MOVE_DOWN2,2,FALSE),FALSE),VLOOKUP(G39,NGPREVPRICES,3,FALSE),HLOOKUP(D39,Correllate,VLOOKUP(G39,CorMove,2,FALSE),FALSE),Q39-$BC$3,R39,$BI$5)*H39</f>
        <v>39401.033633407089</v>
      </c>
      <c r="BJ39" s="239">
        <f t="shared" si="43"/>
        <v>0.33</v>
      </c>
      <c r="BK39" s="238"/>
      <c r="BL39" t="str">
        <f t="shared" si="44"/>
        <v>36892Curve Shift/Gamma</v>
      </c>
      <c r="BM39" t="str">
        <f t="shared" si="22"/>
        <v>36892Rho</v>
      </c>
      <c r="BN39" t="str">
        <f t="shared" si="23"/>
        <v>36892Drift</v>
      </c>
      <c r="BO39" t="str">
        <f t="shared" si="24"/>
        <v>36892Vega</v>
      </c>
      <c r="BP39" t="str">
        <f t="shared" si="25"/>
        <v>36892Theta</v>
      </c>
      <c r="BQ39" s="398">
        <f t="shared" si="36"/>
        <v>37530</v>
      </c>
      <c r="BR39" s="399">
        <f t="shared" si="26"/>
        <v>0</v>
      </c>
      <c r="BS39" s="243">
        <f t="shared" si="27"/>
        <v>0</v>
      </c>
      <c r="BT39" s="243">
        <f t="shared" si="28"/>
        <v>0</v>
      </c>
      <c r="BU39" s="243">
        <f t="shared" si="29"/>
        <v>0</v>
      </c>
      <c r="BV39" s="253">
        <f t="shared" si="30"/>
        <v>0</v>
      </c>
      <c r="BW39" s="244">
        <f t="shared" si="37"/>
        <v>0</v>
      </c>
    </row>
    <row r="40" spans="1:75" ht="12" customHeight="1" x14ac:dyDescent="0.25">
      <c r="A40" t="s">
        <v>280</v>
      </c>
      <c r="B40" t="s">
        <v>253</v>
      </c>
      <c r="C40" t="s">
        <v>281</v>
      </c>
      <c r="D40" s="4" t="s">
        <v>10</v>
      </c>
      <c r="E40" t="s">
        <v>20</v>
      </c>
      <c r="F40" t="s">
        <v>21</v>
      </c>
      <c r="G40" s="5">
        <v>36923</v>
      </c>
      <c r="H40" s="130">
        <v>280000</v>
      </c>
      <c r="I40">
        <v>0.33</v>
      </c>
      <c r="J40" s="53">
        <f>VLOOKUP(G40,NGPrices,2,FALSE)</f>
        <v>3.1909999999999998</v>
      </c>
      <c r="K40" s="7">
        <f>HLOOKUP(D40,Prices,VLOOKUP(G40,move_down,2,FALSE),FALSE)</f>
        <v>0.31</v>
      </c>
      <c r="L40" s="4">
        <f>K40+J40</f>
        <v>3.5009999999999999</v>
      </c>
      <c r="M40" s="159">
        <f>VLOOKUP(G40,NGPrices,4,FALSE)</f>
        <v>6.7372913158926004E-2</v>
      </c>
      <c r="N40" s="4">
        <f>VLOOKUP(G40,NGPrices,3,FALSE)</f>
        <v>0.42249999999999999</v>
      </c>
      <c r="O40" s="4">
        <f>HLOOKUP(D40,VOLS,VLOOKUP(G40,move_down,2,FALSE),FALSE)</f>
        <v>0.42299999999999999</v>
      </c>
      <c r="P40" s="9">
        <f>HLOOKUP(D40,Correllate,VLOOKUP(G40,CorMove,2,FALSE),FALSE)</f>
        <v>0.96323267464099116</v>
      </c>
      <c r="Q40" s="5">
        <f t="shared" si="54"/>
        <v>36921</v>
      </c>
      <c r="R40" s="4">
        <f>IF(F40="P",0,1)</f>
        <v>1</v>
      </c>
      <c r="S40" s="160">
        <f>_xll.xSPRDOPT($L40,$J40,$I40,$M40,$O40,$N40,$P40,$Q40-$C$3,$R40,0)</f>
        <v>0.1281541894944955</v>
      </c>
      <c r="T40" s="161">
        <f>_xll.xSPRDOPT($L40,$J40,$I40,$M40,$O40,$N40,$P40,$Q40-$C$3,$R40,1)*H40</f>
        <v>132726.50265804955</v>
      </c>
      <c r="U40" s="162">
        <f>S40*H40</f>
        <v>35883.173058458742</v>
      </c>
      <c r="V40" s="161">
        <f>_xll.xSPRDOPT($L40,$J40,$I40,$M40,$O40,$N40,$P40,$Q40-$C$3,$R40,2)*H40</f>
        <v>-122592.24516848061</v>
      </c>
      <c r="W40" s="161">
        <f>+V40+T40</f>
        <v>10134.257489568932</v>
      </c>
      <c r="X40" s="51" t="str">
        <f t="shared" si="12"/>
        <v>36923IF-CGT/APPALAC</v>
      </c>
      <c r="Y40" s="431">
        <f t="shared" si="31"/>
        <v>28</v>
      </c>
      <c r="AA40" s="128">
        <f t="shared" ref="AA40:AA71" si="55">EOMONTH(AA39,0)+1</f>
        <v>37196</v>
      </c>
      <c r="AB40" s="43">
        <f t="shared" si="52"/>
        <v>-33.069356640802944</v>
      </c>
      <c r="AC40" s="43">
        <f t="shared" si="52"/>
        <v>0</v>
      </c>
      <c r="AD40" s="43">
        <f t="shared" si="52"/>
        <v>0</v>
      </c>
      <c r="AE40" s="43">
        <f t="shared" si="52"/>
        <v>0</v>
      </c>
      <c r="AF40" s="44">
        <f t="shared" si="52"/>
        <v>0</v>
      </c>
      <c r="AG40" s="44">
        <f t="shared" si="52"/>
        <v>0</v>
      </c>
      <c r="AH40" s="128">
        <f t="shared" ref="AH40:AH71" si="56">EOMONTH(AH39,0)+1</f>
        <v>37196</v>
      </c>
      <c r="AI40" s="44">
        <f t="shared" si="38"/>
        <v>-33.069356640802944</v>
      </c>
      <c r="AJ40" s="51"/>
      <c r="AK40" s="128">
        <f t="shared" ref="AK40:AK71" si="57">EOMONTH(AK39,0)+1</f>
        <v>37196</v>
      </c>
      <c r="AL40" s="43">
        <f t="shared" si="53"/>
        <v>-32425.436980491038</v>
      </c>
      <c r="AM40" s="43">
        <f t="shared" si="53"/>
        <v>0</v>
      </c>
      <c r="AN40" s="43">
        <f t="shared" si="53"/>
        <v>0</v>
      </c>
      <c r="AO40" s="43">
        <f t="shared" si="53"/>
        <v>0</v>
      </c>
      <c r="AP40" s="44">
        <f t="shared" si="53"/>
        <v>0</v>
      </c>
      <c r="AQ40" s="44">
        <f t="shared" si="53"/>
        <v>0</v>
      </c>
      <c r="AR40" s="128">
        <f t="shared" ref="AR40:AR71" si="58">EOMONTH(AR39,0)+1</f>
        <v>37196</v>
      </c>
      <c r="AS40" s="44">
        <f t="shared" si="39"/>
        <v>-32425.436980491038</v>
      </c>
      <c r="AT40" s="51"/>
      <c r="AU40" s="51"/>
      <c r="AV40" s="51"/>
      <c r="AW40" s="51"/>
      <c r="AX40" s="51"/>
      <c r="AY40" s="51"/>
      <c r="AZ40" s="51"/>
      <c r="BA40" s="51"/>
      <c r="BB40" s="142">
        <f t="shared" si="40"/>
        <v>36923</v>
      </c>
      <c r="BC40" s="238">
        <f>_xll.xSPRDOPT((VLOOKUP(G40,NGPrices,2,FALSE)+HLOOKUP(D40,Prices,VLOOKUP(G40,move_down,2,FALSE),FALSE)),VLOOKUP(G40,NGPrices,2,FALSE),I40,VLOOKUP(G40,NGPREVPRICES,4,FALSE),HLOOKUP(D40,PREVVOLS,VLOOKUP(G40,MOVE_DOWN2,2,FALSE),FALSE),VLOOKUP(G40,NGPREVPRICES,3,FALSE),HLOOKUP(D40,Correllate,VLOOKUP(G40,CorMove,2,FALSE),FALSE),Q40-$BC$3,R40,$BC$5)*H40-BI40</f>
        <v>472.4099901171212</v>
      </c>
      <c r="BD40" s="238">
        <f>_xll.xSPRDOPT((VLOOKUP(G40,NGPREVPRICES,2,FALSE)+HLOOKUP(D40,PREVCURVES,VLOOKUP(G40,MOVE_DOWN2,2,FALSE),FALSE)),VLOOKUP(G40,NGPREVPRICES,2,FALSE),BJ40,VLOOKUP(G40,NGPrices,4,FALSE),HLOOKUP(D40,PREVVOLS,VLOOKUP(G40,MOVE_DOWN2,2,FALSE),FALSE),VLOOKUP(G40,NGPREVPRICES,3,FALSE),HLOOKUP(D40,Correllate,VLOOKUP(G40,CorMove,2,FALSE),FALSE),Q40-$BC$3,R40,$BI$5)*H40-BI40</f>
        <v>6.0107121034016018</v>
      </c>
      <c r="BE40" s="10">
        <f t="shared" si="41"/>
        <v>-6.7397599615360377</v>
      </c>
      <c r="BF40" s="238">
        <f>_xll.xSPRDOPT((VLOOKUP(G40,NGPREVPRICES,2,FALSE)+HLOOKUP(D40,PREVCURVES,VLOOKUP(G40,MOVE_DOWN2,2,FALSE),FALSE)),VLOOKUP(G40,NGPREVPRICES,2,FALSE),BJ40,VLOOKUP(G40,NGPREVPRICES,4,FALSE),HLOOKUP(D40,VOLS,VLOOKUP(G40,move_down,2,FALSE),FALSE),VLOOKUP(G40,NGPrices,3,FALSE),HLOOKUP(D40,Correllate,VLOOKUP(G40,CorMove,2,FALSE),FALSE),Q40-$BC$3,R40,$BI$5)*H40-BI40</f>
        <v>452.21342391949293</v>
      </c>
      <c r="BG40" s="238">
        <f>_xll.xSPRDOPT((VLOOKUP(G40,NGPREVPRICES,2,FALSE)+HLOOKUP(D40,PREVCURVES,VLOOKUP(G40,MOVE_DOWN2,2,FALSE),FALSE)),VLOOKUP(G40,NGPREVPRICES,2,FALSE),BJ40,VLOOKUP(G40,NGPREVPRICES,4,FALSE),HLOOKUP(D40,PREVVOLS,VLOOKUP(G40,MOVE_DOWN2,2,FALSE),FALSE),VLOOKUP(G40,NGPREVPRICES,3,FALSE),HLOOKUP(D40,Correllate,VLOOKUP(G40,CorMove,2,FALSE),FALSE),Q40-$C$3,R40,$BI$5)*H40-BI40</f>
        <v>-176.10877514297317</v>
      </c>
      <c r="BH40" s="238">
        <f t="shared" si="42"/>
        <v>747.78559103550651</v>
      </c>
      <c r="BI40" s="238">
        <f>_xll.xSPRDOPT((VLOOKUP(G40,NGPREVPRICES,2,FALSE)+HLOOKUP(D40,PREVCURVES,VLOOKUP(G40,MOVE_DOWN2,2,FALSE),FALSE)),VLOOKUP(G40,NGPREVPRICES,2,FALSE),BJ40,VLOOKUP(G40,NGPREVPRICES,4,FALSE),HLOOKUP(D40,PREVVOLS,VLOOKUP(G40,MOVE_DOWN2,2,FALSE),FALSE),VLOOKUP(G40,NGPREVPRICES,3,FALSE),HLOOKUP(D40,Correllate,VLOOKUP(G40,CorMove,2,FALSE),FALSE),Q40-$BC$3,R40,$BI$5)*H40</f>
        <v>35127.254958183534</v>
      </c>
      <c r="BJ40" s="239">
        <f t="shared" si="43"/>
        <v>0.33</v>
      </c>
      <c r="BK40" s="238"/>
      <c r="BL40" t="str">
        <f t="shared" si="44"/>
        <v>36923Curve Shift/Gamma</v>
      </c>
      <c r="BM40" t="str">
        <f t="shared" si="22"/>
        <v>36923Rho</v>
      </c>
      <c r="BN40" t="str">
        <f t="shared" si="23"/>
        <v>36923Drift</v>
      </c>
      <c r="BO40" t="str">
        <f t="shared" si="24"/>
        <v>36923Vega</v>
      </c>
      <c r="BP40" t="str">
        <f t="shared" si="25"/>
        <v>36923Theta</v>
      </c>
      <c r="BQ40" s="398">
        <f t="shared" si="36"/>
        <v>37561</v>
      </c>
      <c r="BR40" s="399">
        <f t="shared" si="26"/>
        <v>0</v>
      </c>
      <c r="BS40" s="243">
        <f t="shared" si="27"/>
        <v>0</v>
      </c>
      <c r="BT40" s="243">
        <f t="shared" si="28"/>
        <v>0</v>
      </c>
      <c r="BU40" s="243">
        <f t="shared" si="29"/>
        <v>0</v>
      </c>
      <c r="BV40" s="253">
        <f t="shared" si="30"/>
        <v>0</v>
      </c>
      <c r="BW40" s="244">
        <f t="shared" si="37"/>
        <v>0</v>
      </c>
    </row>
    <row r="41" spans="1:75" ht="12" customHeight="1" x14ac:dyDescent="0.25">
      <c r="A41" t="s">
        <v>280</v>
      </c>
      <c r="B41" t="s">
        <v>253</v>
      </c>
      <c r="C41" t="s">
        <v>281</v>
      </c>
      <c r="D41" s="4" t="s">
        <v>10</v>
      </c>
      <c r="E41" t="s">
        <v>20</v>
      </c>
      <c r="F41" t="s">
        <v>21</v>
      </c>
      <c r="G41" s="5">
        <v>36951</v>
      </c>
      <c r="H41" s="130">
        <v>310000</v>
      </c>
      <c r="I41">
        <v>0.33</v>
      </c>
      <c r="J41" s="53">
        <f>VLOOKUP(G41,NGPrices,2,FALSE)</f>
        <v>3.0169999999999999</v>
      </c>
      <c r="K41" s="7">
        <f>HLOOKUP(D41,Prices,VLOOKUP(G41,move_down,2,FALSE),FALSE)</f>
        <v>0.23749999999999999</v>
      </c>
      <c r="L41" s="4">
        <f>K41+J41</f>
        <v>3.2544999999999997</v>
      </c>
      <c r="M41" s="159">
        <f>VLOOKUP(G41,NGPrices,4,FALSE)</f>
        <v>6.7668917271508006E-2</v>
      </c>
      <c r="N41" s="4">
        <f>VLOOKUP(G41,NGPrices,3,FALSE)</f>
        <v>0.375</v>
      </c>
      <c r="O41" s="4">
        <f>HLOOKUP(D41,VOLS,VLOOKUP(G41,move_down,2,FALSE),FALSE)</f>
        <v>0.375</v>
      </c>
      <c r="P41" s="9">
        <f>HLOOKUP(D41,Correllate,VLOOKUP(G41,CorMove,2,FALSE),FALSE)</f>
        <v>0.96323267464099116</v>
      </c>
      <c r="Q41" s="5">
        <f t="shared" si="54"/>
        <v>36949</v>
      </c>
      <c r="R41" s="4">
        <f>IF(F41="P",0,1)</f>
        <v>1</v>
      </c>
      <c r="S41" s="160">
        <f>_xll.xSPRDOPT($L41,$J41,$I41,$M41,$O41,$N41,$P41,$Q41-$C$3,$R41,0)</f>
        <v>8.0983373224833163E-2</v>
      </c>
      <c r="T41" s="161">
        <f>_xll.xSPRDOPT($L41,$J41,$I41,$M41,$O41,$N41,$P41,$Q41-$C$3,$R41,1)*H41</f>
        <v>118482.17357328875</v>
      </c>
      <c r="U41" s="162">
        <f>S41*H41</f>
        <v>25104.845699698282</v>
      </c>
      <c r="V41" s="161">
        <f>_xll.xSPRDOPT($L41,$J41,$I41,$M41,$O41,$N41,$P41,$Q41-$C$3,$R41,2)*H41</f>
        <v>-108552.88329823916</v>
      </c>
      <c r="W41" s="161">
        <f>+V41+T41</f>
        <v>9929.290275049585</v>
      </c>
      <c r="X41" s="51" t="str">
        <f t="shared" si="12"/>
        <v>36951IF-CGT/APPALAC</v>
      </c>
      <c r="Y41" s="431">
        <f t="shared" si="31"/>
        <v>31</v>
      </c>
      <c r="AA41" s="128">
        <f t="shared" si="55"/>
        <v>37226</v>
      </c>
      <c r="AB41" s="43">
        <f t="shared" si="52"/>
        <v>-61.847156898804997</v>
      </c>
      <c r="AC41" s="43">
        <f t="shared" si="52"/>
        <v>0</v>
      </c>
      <c r="AD41" s="43">
        <f t="shared" si="52"/>
        <v>0</v>
      </c>
      <c r="AE41" s="43">
        <f t="shared" si="52"/>
        <v>0</v>
      </c>
      <c r="AF41" s="44">
        <f t="shared" si="52"/>
        <v>0</v>
      </c>
      <c r="AG41" s="44">
        <f t="shared" si="52"/>
        <v>0</v>
      </c>
      <c r="AH41" s="128">
        <f t="shared" si="56"/>
        <v>37226</v>
      </c>
      <c r="AI41" s="44">
        <f t="shared" si="38"/>
        <v>-61.847156898804997</v>
      </c>
      <c r="AJ41" s="51"/>
      <c r="AK41" s="128">
        <f t="shared" si="57"/>
        <v>37226</v>
      </c>
      <c r="AL41" s="43">
        <f t="shared" si="53"/>
        <v>-32090.453659785679</v>
      </c>
      <c r="AM41" s="43">
        <f t="shared" si="53"/>
        <v>0</v>
      </c>
      <c r="AN41" s="43">
        <f t="shared" si="53"/>
        <v>0</v>
      </c>
      <c r="AO41" s="43">
        <f t="shared" si="53"/>
        <v>0</v>
      </c>
      <c r="AP41" s="44">
        <f t="shared" si="53"/>
        <v>0</v>
      </c>
      <c r="AQ41" s="44">
        <f t="shared" si="53"/>
        <v>0</v>
      </c>
      <c r="AR41" s="128">
        <f t="shared" si="58"/>
        <v>37226</v>
      </c>
      <c r="AS41" s="44">
        <f t="shared" si="39"/>
        <v>-32090.453659785679</v>
      </c>
      <c r="AT41" s="51"/>
      <c r="AU41" s="51"/>
      <c r="AV41" s="51"/>
      <c r="AW41" s="51"/>
      <c r="AX41" s="51"/>
      <c r="AY41" s="51"/>
      <c r="AZ41" s="51"/>
      <c r="BA41" s="51"/>
      <c r="BB41" s="142">
        <f t="shared" si="40"/>
        <v>36951</v>
      </c>
      <c r="BC41" s="238">
        <f>_xll.xSPRDOPT((VLOOKUP(G41,NGPrices,2,FALSE)+HLOOKUP(D41,Prices,VLOOKUP(G41,move_down,2,FALSE),FALSE)),VLOOKUP(G41,NGPrices,2,FALSE),I41,VLOOKUP(G41,NGPREVPRICES,4,FALSE),HLOOKUP(D41,PREVVOLS,VLOOKUP(G41,MOVE_DOWN2,2,FALSE),FALSE),VLOOKUP(G41,NGPREVPRICES,3,FALSE),HLOOKUP(D41,Correllate,VLOOKUP(G41,CorMove,2,FALSE),FALSE),Q41-$BC$3,R41,$BC$5)*H41-BI41</f>
        <v>412.28634763820446</v>
      </c>
      <c r="BD41" s="238">
        <f>_xll.xSPRDOPT((VLOOKUP(G41,NGPREVPRICES,2,FALSE)+HLOOKUP(D41,PREVCURVES,VLOOKUP(G41,MOVE_DOWN2,2,FALSE),FALSE)),VLOOKUP(G41,NGPREVPRICES,2,FALSE),BJ41,VLOOKUP(G41,NGPrices,4,FALSE),HLOOKUP(D41,PREVVOLS,VLOOKUP(G41,MOVE_DOWN2,2,FALSE),FALSE),VLOOKUP(G41,NGPREVPRICES,3,FALSE),HLOOKUP(D41,Correllate,VLOOKUP(G41,CorMove,2,FALSE),FALSE),Q41-$BC$3,R41,$BI$5)*H41-BI41</f>
        <v>5.7313420281097933</v>
      </c>
      <c r="BE41" s="10">
        <f t="shared" si="41"/>
        <v>-4.7239130155176099</v>
      </c>
      <c r="BF41" s="238">
        <f>_xll.xSPRDOPT((VLOOKUP(G41,NGPREVPRICES,2,FALSE)+HLOOKUP(D41,PREVCURVES,VLOOKUP(G41,MOVE_DOWN2,2,FALSE),FALSE)),VLOOKUP(G41,NGPREVPRICES,2,FALSE),BJ41,VLOOKUP(G41,NGPREVPRICES,4,FALSE),HLOOKUP(D41,VOLS,VLOOKUP(G41,move_down,2,FALSE),FALSE),VLOOKUP(G41,NGPrices,3,FALSE),HLOOKUP(D41,Correllate,VLOOKUP(G41,CorMove,2,FALSE),FALSE),Q41-$BC$3,R41,$BI$5)*H41-BI41</f>
        <v>471.39456659943608</v>
      </c>
      <c r="BG41" s="238">
        <f>_xll.xSPRDOPT((VLOOKUP(G41,NGPREVPRICES,2,FALSE)+HLOOKUP(D41,PREVCURVES,VLOOKUP(G41,MOVE_DOWN2,2,FALSE),FALSE)),VLOOKUP(G41,NGPREVPRICES,2,FALSE),BJ41,VLOOKUP(G41,NGPREVPRICES,4,FALSE),HLOOKUP(D41,PREVVOLS,VLOOKUP(G41,MOVE_DOWN2,2,FALSE),FALSE),VLOOKUP(G41,NGPREVPRICES,3,FALSE),HLOOKUP(D41,Correllate,VLOOKUP(G41,CorMove,2,FALSE),FALSE),Q41-$C$3,R41,$BI$5)*H41-BI41</f>
        <v>-150.75840098769186</v>
      </c>
      <c r="BH41" s="238">
        <f t="shared" si="42"/>
        <v>733.92994226254086</v>
      </c>
      <c r="BI41" s="238">
        <f>_xll.xSPRDOPT((VLOOKUP(G41,NGPREVPRICES,2,FALSE)+HLOOKUP(D41,PREVCURVES,VLOOKUP(G41,MOVE_DOWN2,2,FALSE),FALSE)),VLOOKUP(G41,NGPREVPRICES,2,FALSE),BJ41,VLOOKUP(G41,NGPREVPRICES,4,FALSE),HLOOKUP(D41,PREVVOLS,VLOOKUP(G41,MOVE_DOWN2,2,FALSE),FALSE),VLOOKUP(G41,NGPREVPRICES,3,FALSE),HLOOKUP(D41,Correllate,VLOOKUP(G41,CorMove,2,FALSE),FALSE),Q41-$BC$3,R41,$BI$5)*H41</f>
        <v>24364.108216392491</v>
      </c>
      <c r="BJ41" s="239">
        <f t="shared" si="43"/>
        <v>0.33</v>
      </c>
      <c r="BK41" s="238"/>
      <c r="BL41" t="str">
        <f t="shared" si="44"/>
        <v>36951Curve Shift/Gamma</v>
      </c>
      <c r="BM41" t="str">
        <f t="shared" si="22"/>
        <v>36951Rho</v>
      </c>
      <c r="BN41" t="str">
        <f t="shared" si="23"/>
        <v>36951Drift</v>
      </c>
      <c r="BO41" t="str">
        <f t="shared" si="24"/>
        <v>36951Vega</v>
      </c>
      <c r="BP41" t="str">
        <f t="shared" si="25"/>
        <v>36951Theta</v>
      </c>
      <c r="BQ41" s="398">
        <f t="shared" si="36"/>
        <v>37591</v>
      </c>
      <c r="BR41" s="399">
        <f t="shared" si="26"/>
        <v>0</v>
      </c>
      <c r="BS41" s="243">
        <f t="shared" si="27"/>
        <v>0</v>
      </c>
      <c r="BT41" s="243">
        <f t="shared" si="28"/>
        <v>0</v>
      </c>
      <c r="BU41" s="243">
        <f t="shared" si="29"/>
        <v>0</v>
      </c>
      <c r="BV41" s="253">
        <f t="shared" si="30"/>
        <v>0</v>
      </c>
      <c r="BW41" s="244">
        <f t="shared" si="37"/>
        <v>0</v>
      </c>
    </row>
    <row r="42" spans="1:75" ht="12" customHeight="1" x14ac:dyDescent="0.25">
      <c r="A42" s="395" t="s">
        <v>270</v>
      </c>
      <c r="B42" s="7" t="s">
        <v>253</v>
      </c>
      <c r="C42" s="7" t="s">
        <v>93</v>
      </c>
      <c r="D42" s="4" t="s">
        <v>7</v>
      </c>
      <c r="E42" s="4" t="s">
        <v>20</v>
      </c>
      <c r="F42" s="5" t="s">
        <v>21</v>
      </c>
      <c r="G42" s="5">
        <v>36982</v>
      </c>
      <c r="H42" s="130">
        <v>500000</v>
      </c>
      <c r="I42" s="4">
        <v>0.3</v>
      </c>
      <c r="J42" s="53">
        <f t="shared" ref="J42:J48" si="59">VLOOKUP(G42,NGPrices,2,FALSE)</f>
        <v>2.8610000000000002</v>
      </c>
      <c r="K42" s="7">
        <f t="shared" ref="K42:K48" si="60">HLOOKUP(D42,Prices,VLOOKUP(G42,move_down,2,FALSE),FALSE)</f>
        <v>0.37</v>
      </c>
      <c r="L42" s="4">
        <f t="shared" ref="L42:L48" si="61">K42+J42</f>
        <v>3.2310000000000003</v>
      </c>
      <c r="M42" s="159">
        <f t="shared" ref="M42:M48" si="62">VLOOKUP(G42,NGPrices,4,FALSE)</f>
        <v>6.7951442923936997E-2</v>
      </c>
      <c r="N42" s="4">
        <f t="shared" ref="N42:N48" si="63">VLOOKUP(G42,NGPrices,3,FALSE)</f>
        <v>0.3</v>
      </c>
      <c r="O42" s="4">
        <f t="shared" ref="O42:O48" si="64">HLOOKUP(D42,VOLS,VLOOKUP(G42,move_down,2,FALSE),FALSE)</f>
        <v>0.29399999999999998</v>
      </c>
      <c r="P42" s="9">
        <f t="shared" ref="P42:P48" si="65">HLOOKUP(D42,Correllate,VLOOKUP(G42,CorMove,2,FALSE),FALSE)</f>
        <v>0.98379000000000005</v>
      </c>
      <c r="Q42" s="5">
        <f t="shared" si="54"/>
        <v>36979</v>
      </c>
      <c r="R42" s="4">
        <f t="shared" ref="R42:R48" si="66">IF(F42="P",0,1)</f>
        <v>1</v>
      </c>
      <c r="S42" s="160">
        <f>_xll.xSPRDOPT($L42,$J42,$I42,$M42,$O42,$N42,$P42,$Q42-$C$3,$R42,0)</f>
        <v>0.10312891637137883</v>
      </c>
      <c r="T42" s="161">
        <f>_xll.xSPRDOPT($L42,$J42,$I42,$M42,$O42,$N42,$P42,$Q42-$C$3,$R42,1)*H42</f>
        <v>313702.65938994882</v>
      </c>
      <c r="U42" s="162">
        <f t="shared" ref="U42:U48" si="67">S42*H42</f>
        <v>51564.458185689415</v>
      </c>
      <c r="V42" s="161">
        <f>_xll.xSPRDOPT($L42,$J42,$I42,$M42,$O42,$N42,$P42,$Q42-$C$3,$R42,2)*H42</f>
        <v>-305992.88872987404</v>
      </c>
      <c r="W42" s="161">
        <f t="shared" ref="W42:W48" si="68">+V42+T42</f>
        <v>7709.770660074777</v>
      </c>
      <c r="X42" s="51" t="str">
        <f t="shared" si="12"/>
        <v>36982IF-TRANSCO/Z6</v>
      </c>
      <c r="Y42" s="431">
        <f t="shared" si="31"/>
        <v>50</v>
      </c>
      <c r="AA42" s="128">
        <f t="shared" si="55"/>
        <v>37257</v>
      </c>
      <c r="AB42" s="43">
        <f t="shared" si="52"/>
        <v>-74.20039726557259</v>
      </c>
      <c r="AC42" s="43">
        <f t="shared" si="52"/>
        <v>0</v>
      </c>
      <c r="AD42" s="43">
        <f t="shared" si="52"/>
        <v>0</v>
      </c>
      <c r="AE42" s="43">
        <f t="shared" si="52"/>
        <v>0</v>
      </c>
      <c r="AF42" s="44">
        <f t="shared" si="52"/>
        <v>0</v>
      </c>
      <c r="AG42" s="44">
        <f t="shared" si="52"/>
        <v>0</v>
      </c>
      <c r="AH42" s="128">
        <f t="shared" si="56"/>
        <v>37257</v>
      </c>
      <c r="AI42" s="44">
        <f t="shared" si="38"/>
        <v>-74.20039726557259</v>
      </c>
      <c r="AJ42" s="51"/>
      <c r="AK42" s="128">
        <f t="shared" si="57"/>
        <v>37257</v>
      </c>
      <c r="AL42" s="43">
        <f t="shared" si="53"/>
        <v>-18788.785577043658</v>
      </c>
      <c r="AM42" s="43">
        <f t="shared" si="53"/>
        <v>0</v>
      </c>
      <c r="AN42" s="43">
        <f t="shared" si="53"/>
        <v>0</v>
      </c>
      <c r="AO42" s="43">
        <f t="shared" si="53"/>
        <v>0</v>
      </c>
      <c r="AP42" s="44">
        <f t="shared" si="53"/>
        <v>0</v>
      </c>
      <c r="AQ42" s="44">
        <f t="shared" si="53"/>
        <v>0</v>
      </c>
      <c r="AR42" s="128">
        <f t="shared" si="58"/>
        <v>37257</v>
      </c>
      <c r="AS42" s="44">
        <f t="shared" si="39"/>
        <v>-18788.785577043658</v>
      </c>
      <c r="AT42" s="51"/>
      <c r="AU42" s="51"/>
      <c r="AV42" s="51"/>
      <c r="AW42" s="51"/>
      <c r="AX42" s="51"/>
      <c r="AY42" s="51"/>
      <c r="AZ42" s="51"/>
      <c r="BA42" s="51"/>
      <c r="BB42" s="142">
        <f t="shared" ref="BB42:BB48" si="69">G42</f>
        <v>36982</v>
      </c>
      <c r="BC42" s="238">
        <f>_xll.xSPRDOPT((VLOOKUP(G42,NGPrices,2,FALSE)+HLOOKUP(D42,Prices,VLOOKUP(G42,move_down,2,FALSE),FALSE)),VLOOKUP(G42,NGPrices,2,FALSE),I42,VLOOKUP(G42,NGPREVPRICES,4,FALSE),HLOOKUP(D42,PREVVOLS,VLOOKUP(G42,MOVE_DOWN2,2,FALSE),FALSE),VLOOKUP(G42,NGPREVPRICES,3,FALSE),HLOOKUP(D42,Correllate,VLOOKUP(G42,CorMove,2,FALSE),FALSE),Q42-$BC$3,R42,$BC$5)*H42-BI42</f>
        <v>275.60003139112814</v>
      </c>
      <c r="BD42" s="238">
        <f>_xll.xSPRDOPT((VLOOKUP(G42,NGPREVPRICES,2,FALSE)+HLOOKUP(D42,PREVCURVES,VLOOKUP(G42,MOVE_DOWN2,2,FALSE),FALSE)),VLOOKUP(G42,NGPREVPRICES,2,FALSE),BJ42,VLOOKUP(G42,NGPrices,4,FALSE),HLOOKUP(D42,PREVVOLS,VLOOKUP(G42,MOVE_DOWN2,2,FALSE),FALSE),VLOOKUP(G42,NGPREVPRICES,3,FALSE),HLOOKUP(D42,Correllate,VLOOKUP(G42,CorMove,2,FALSE),FALSE),Q42-$BC$3,R42,$BI$5)*H42-BI42</f>
        <v>15.905116120447929</v>
      </c>
      <c r="BE42" s="10">
        <f t="shared" ref="BE42:BE48" si="70">(BI42/VLOOKUP(BB42,discount,3,FALSE))-(BI42/VLOOKUP(BB42,discount,2,FALSE))</f>
        <v>-10.043538894511585</v>
      </c>
      <c r="BF42" s="238">
        <f>_xll.xSPRDOPT((VLOOKUP(G42,NGPREVPRICES,2,FALSE)+HLOOKUP(D42,PREVCURVES,VLOOKUP(G42,MOVE_DOWN2,2,FALSE),FALSE)),VLOOKUP(G42,NGPREVPRICES,2,FALSE),BJ42,VLOOKUP(G42,NGPREVPRICES,4,FALSE),HLOOKUP(D42,VOLS,VLOOKUP(G42,move_down,2,FALSE),FALSE),VLOOKUP(G42,NGPrices,3,FALSE),HLOOKUP(D42,Correllate,VLOOKUP(G42,CorMove,2,FALSE),FALSE),Q42-$BC$3,R42,$BI$5)*H42-BI42</f>
        <v>131.42425263263431</v>
      </c>
      <c r="BG42" s="238">
        <f>_xll.xSPRDOPT((VLOOKUP(G42,NGPREVPRICES,2,FALSE)+HLOOKUP(D42,PREVCURVES,VLOOKUP(G42,MOVE_DOWN2,2,FALSE),FALSE)),VLOOKUP(G42,NGPREVPRICES,2,FALSE),BJ42,VLOOKUP(G42,NGPREVPRICES,4,FALSE),HLOOKUP(D42,PREVVOLS,VLOOKUP(G42,MOVE_DOWN2,2,FALSE),FALSE),VLOOKUP(G42,NGPREVPRICES,3,FALSE),HLOOKUP(D42,Correllate,VLOOKUP(G42,CorMove,2,FALSE),FALSE),Q42-$C$3,R42,$BI$5)*H42-BI42</f>
        <v>-99.897770777941332</v>
      </c>
      <c r="BH42" s="238">
        <f t="shared" ref="BH42:BH48" si="71">SUM(BC42:BG42)</f>
        <v>312.98809047175746</v>
      </c>
      <c r="BI42" s="238">
        <f>_xll.xSPRDOPT((VLOOKUP(G42,NGPREVPRICES,2,FALSE)+HLOOKUP(D42,PREVCURVES,VLOOKUP(G42,MOVE_DOWN2,2,FALSE),FALSE)),VLOOKUP(G42,NGPREVPRICES,2,FALSE),BJ42,VLOOKUP(G42,NGPREVPRICES,4,FALSE),HLOOKUP(D42,PREVVOLS,VLOOKUP(G42,MOVE_DOWN2,2,FALSE),FALSE),VLOOKUP(G42,NGPREVPRICES,3,FALSE),HLOOKUP(D42,Correllate,VLOOKUP(G42,CorMove,2,FALSE),FALSE),Q42-$BC$3,R42,$BI$5)*H42</f>
        <v>51240.956279190978</v>
      </c>
      <c r="BJ42" s="239">
        <f t="shared" ref="BJ42:BJ48" si="72">I42</f>
        <v>0.3</v>
      </c>
      <c r="BL42" t="str">
        <f t="shared" ref="BL42:BL48" si="73">CONCATENATE(BB42,$BC$6)</f>
        <v>36982Curve Shift/Gamma</v>
      </c>
      <c r="BM42" t="str">
        <f t="shared" si="22"/>
        <v>36982Rho</v>
      </c>
      <c r="BN42" t="str">
        <f t="shared" si="23"/>
        <v>36982Drift</v>
      </c>
      <c r="BO42" t="str">
        <f t="shared" si="24"/>
        <v>36982Vega</v>
      </c>
      <c r="BP42" t="str">
        <f t="shared" si="25"/>
        <v>36982Theta</v>
      </c>
      <c r="BQ42" s="398">
        <f t="shared" si="36"/>
        <v>37622</v>
      </c>
      <c r="BR42" s="399">
        <f t="shared" si="26"/>
        <v>0</v>
      </c>
      <c r="BS42" s="243">
        <f t="shared" si="27"/>
        <v>0</v>
      </c>
      <c r="BT42" s="243">
        <f t="shared" si="28"/>
        <v>0</v>
      </c>
      <c r="BU42" s="243">
        <f t="shared" si="29"/>
        <v>0</v>
      </c>
      <c r="BV42" s="253">
        <f t="shared" si="30"/>
        <v>0</v>
      </c>
      <c r="BW42" s="244">
        <f t="shared" si="37"/>
        <v>0</v>
      </c>
    </row>
    <row r="43" spans="1:75" ht="12" customHeight="1" x14ac:dyDescent="0.25">
      <c r="A43" s="395" t="s">
        <v>270</v>
      </c>
      <c r="B43" s="7" t="s">
        <v>253</v>
      </c>
      <c r="C43" s="7" t="s">
        <v>93</v>
      </c>
      <c r="D43" s="4" t="s">
        <v>7</v>
      </c>
      <c r="E43" s="4" t="s">
        <v>20</v>
      </c>
      <c r="F43" s="5" t="s">
        <v>21</v>
      </c>
      <c r="G43" s="5">
        <v>37012</v>
      </c>
      <c r="H43" s="130">
        <v>500000</v>
      </c>
      <c r="I43" s="51">
        <v>0.3</v>
      </c>
      <c r="J43" s="53">
        <f t="shared" si="59"/>
        <v>2.81</v>
      </c>
      <c r="K43" s="7">
        <f t="shared" si="60"/>
        <v>0.2525</v>
      </c>
      <c r="L43" s="51">
        <f t="shared" si="61"/>
        <v>3.0625</v>
      </c>
      <c r="M43" s="52">
        <f t="shared" si="62"/>
        <v>6.8146586684140004E-2</v>
      </c>
      <c r="N43" s="51">
        <f t="shared" si="63"/>
        <v>0.26500000000000001</v>
      </c>
      <c r="O43" s="51">
        <f t="shared" si="64"/>
        <v>0.26</v>
      </c>
      <c r="P43" s="9">
        <f t="shared" si="65"/>
        <v>0.98379000000000005</v>
      </c>
      <c r="Q43" s="5">
        <f t="shared" si="54"/>
        <v>37008</v>
      </c>
      <c r="R43" s="51">
        <f t="shared" si="66"/>
        <v>1</v>
      </c>
      <c r="S43" s="77">
        <f>_xll.xSPRDOPT($L43,$J43,$I43,$M43,$O43,$N43,$P43,$Q43-$C$3,$R43,0)</f>
        <v>3.8049637286300668E-2</v>
      </c>
      <c r="T43" s="126">
        <f>_xll.xSPRDOPT($L43,$J43,$I43,$M43,$O43,$N43,$P43,$Q43-$C$3,$R43,1)*H43</f>
        <v>182498.43069092275</v>
      </c>
      <c r="U43" s="162">
        <f t="shared" si="67"/>
        <v>19024.818643150335</v>
      </c>
      <c r="V43" s="126">
        <f>_xll.xSPRDOPT($L43,$J43,$I43,$M43,$O43,$N43,$P43,$Q43-$C$3,$R43,2)*H43</f>
        <v>-175053.21868819834</v>
      </c>
      <c r="W43" s="126">
        <f t="shared" si="68"/>
        <v>7445.2120027244091</v>
      </c>
      <c r="X43" s="51" t="str">
        <f t="shared" si="12"/>
        <v>37012IF-TRANSCO/Z6</v>
      </c>
      <c r="Y43" s="431">
        <f t="shared" si="31"/>
        <v>50</v>
      </c>
      <c r="AA43" s="128">
        <f t="shared" si="55"/>
        <v>37288</v>
      </c>
      <c r="AB43" s="43">
        <f t="shared" si="52"/>
        <v>-69.949453860410529</v>
      </c>
      <c r="AC43" s="43">
        <f t="shared" si="52"/>
        <v>0</v>
      </c>
      <c r="AD43" s="43">
        <f t="shared" si="52"/>
        <v>0</v>
      </c>
      <c r="AE43" s="43">
        <f t="shared" si="52"/>
        <v>0</v>
      </c>
      <c r="AF43" s="44">
        <f t="shared" si="52"/>
        <v>0</v>
      </c>
      <c r="AG43" s="44">
        <f t="shared" si="52"/>
        <v>0</v>
      </c>
      <c r="AH43" s="128">
        <f t="shared" si="56"/>
        <v>37288</v>
      </c>
      <c r="AI43" s="44">
        <f t="shared" si="38"/>
        <v>-69.949453860410529</v>
      </c>
      <c r="AJ43" s="51"/>
      <c r="AK43" s="128">
        <f t="shared" si="57"/>
        <v>37288</v>
      </c>
      <c r="AL43" s="43">
        <f t="shared" si="53"/>
        <v>-26653.724092039163</v>
      </c>
      <c r="AM43" s="43">
        <f t="shared" si="53"/>
        <v>0</v>
      </c>
      <c r="AN43" s="43">
        <f t="shared" si="53"/>
        <v>0</v>
      </c>
      <c r="AO43" s="43">
        <f t="shared" si="53"/>
        <v>0</v>
      </c>
      <c r="AP43" s="44">
        <f t="shared" si="53"/>
        <v>0</v>
      </c>
      <c r="AQ43" s="44">
        <f t="shared" si="53"/>
        <v>0</v>
      </c>
      <c r="AR43" s="128">
        <f t="shared" si="58"/>
        <v>37288</v>
      </c>
      <c r="AS43" s="44">
        <f t="shared" si="39"/>
        <v>-26653.724092039163</v>
      </c>
      <c r="AT43" s="51"/>
      <c r="AU43" s="51"/>
      <c r="AV43" s="51"/>
      <c r="AW43" s="51"/>
      <c r="AX43" s="51"/>
      <c r="AY43" s="51"/>
      <c r="AZ43" s="51"/>
      <c r="BA43" s="51"/>
      <c r="BB43" s="142">
        <f t="shared" si="69"/>
        <v>37012</v>
      </c>
      <c r="BC43" s="238">
        <f>_xll.xSPRDOPT((VLOOKUP(G43,NGPrices,2,FALSE)+HLOOKUP(D43,Prices,VLOOKUP(G43,move_down,2,FALSE),FALSE)),VLOOKUP(G43,NGPrices,2,FALSE),I43,VLOOKUP(G43,NGPREVPRICES,4,FALSE),HLOOKUP(D43,PREVVOLS,VLOOKUP(G43,MOVE_DOWN2,2,FALSE),FALSE),VLOOKUP(G43,NGPREVPRICES,3,FALSE),HLOOKUP(D43,Correllate,VLOOKUP(G43,CorMove,2,FALSE),FALSE),Q43-$BC$3,R43,$BC$5)*H43-BI43</f>
        <v>265.23018804535241</v>
      </c>
      <c r="BD43" s="238">
        <f>_xll.xSPRDOPT((VLOOKUP(G43,NGPREVPRICES,2,FALSE)+HLOOKUP(D43,PREVCURVES,VLOOKUP(G43,MOVE_DOWN2,2,FALSE),FALSE)),VLOOKUP(G43,NGPREVPRICES,2,FALSE),BJ43,VLOOKUP(G43,NGPrices,4,FALSE),HLOOKUP(D43,PREVVOLS,VLOOKUP(G43,MOVE_DOWN2,2,FALSE),FALSE),VLOOKUP(G43,NGPREVPRICES,3,FALSE),HLOOKUP(D43,Correllate,VLOOKUP(G43,CorMove,2,FALSE),FALSE),Q43-$BC$3,R43,$BI$5)*H43-BI43</f>
        <v>7.063096390258579</v>
      </c>
      <c r="BE43" s="10">
        <f t="shared" si="70"/>
        <v>-3.6490679733506113</v>
      </c>
      <c r="BF43" s="238">
        <f>_xll.xSPRDOPT((VLOOKUP(G43,NGPREVPRICES,2,FALSE)+HLOOKUP(D43,PREVCURVES,VLOOKUP(G43,MOVE_DOWN2,2,FALSE),FALSE)),VLOOKUP(G43,NGPREVPRICES,2,FALSE),BJ43,VLOOKUP(G43,NGPREVPRICES,4,FALSE),HLOOKUP(D43,VOLS,VLOOKUP(G43,move_down,2,FALSE),FALSE),VLOOKUP(G43,NGPrices,3,FALSE),HLOOKUP(D43,Correllate,VLOOKUP(G43,CorMove,2,FALSE),FALSE),Q43-$BC$3,R43,$BI$5)*H43-BI43</f>
        <v>401.94616985171888</v>
      </c>
      <c r="BG43" s="238">
        <f>_xll.xSPRDOPT((VLOOKUP(G43,NGPREVPRICES,2,FALSE)+HLOOKUP(D43,PREVCURVES,VLOOKUP(G43,MOVE_DOWN2,2,FALSE),FALSE)),VLOOKUP(G43,NGPREVPRICES,2,FALSE),BJ43,VLOOKUP(G43,NGPREVPRICES,4,FALSE),HLOOKUP(D43,PREVVOLS,VLOOKUP(G43,MOVE_DOWN2,2,FALSE),FALSE),VLOOKUP(G43,NGPREVPRICES,3,FALSE),HLOOKUP(D43,Correllate,VLOOKUP(G43,CorMove,2,FALSE),FALSE),Q43-$C$3,R43,$BI$5)*H43-BI43</f>
        <v>-96.691827463284426</v>
      </c>
      <c r="BH43" s="238">
        <f t="shared" si="71"/>
        <v>573.89855885069483</v>
      </c>
      <c r="BI43" s="238">
        <f>_xll.xSPRDOPT((VLOOKUP(G43,NGPREVPRICES,2,FALSE)+HLOOKUP(D43,PREVCURVES,VLOOKUP(G43,MOVE_DOWN2,2,FALSE),FALSE)),VLOOKUP(G43,NGPREVPRICES,2,FALSE),BJ43,VLOOKUP(G43,NGPREVPRICES,4,FALSE),HLOOKUP(D43,PREVVOLS,VLOOKUP(G43,MOVE_DOWN2,2,FALSE),FALSE),VLOOKUP(G43,NGPREVPRICES,3,FALSE),HLOOKUP(D43,Correllate,VLOOKUP(G43,CorMove,2,FALSE),FALSE),Q43-$BC$3,R43,$BI$5)*H43</f>
        <v>18446.44063096969</v>
      </c>
      <c r="BJ43" s="239">
        <f t="shared" si="72"/>
        <v>0.3</v>
      </c>
      <c r="BL43" t="str">
        <f t="shared" si="73"/>
        <v>37012Curve Shift/Gamma</v>
      </c>
      <c r="BM43" t="str">
        <f t="shared" si="22"/>
        <v>37012Rho</v>
      </c>
      <c r="BN43" t="str">
        <f t="shared" si="23"/>
        <v>37012Drift</v>
      </c>
      <c r="BO43" t="str">
        <f t="shared" si="24"/>
        <v>37012Vega</v>
      </c>
      <c r="BP43" t="str">
        <f t="shared" si="25"/>
        <v>37012Theta</v>
      </c>
      <c r="BQ43" s="398">
        <f t="shared" si="36"/>
        <v>37653</v>
      </c>
      <c r="BR43" s="399">
        <f t="shared" si="26"/>
        <v>0</v>
      </c>
      <c r="BS43" s="243">
        <f t="shared" si="27"/>
        <v>0</v>
      </c>
      <c r="BT43" s="243">
        <f t="shared" si="28"/>
        <v>0</v>
      </c>
      <c r="BU43" s="243">
        <f t="shared" si="29"/>
        <v>0</v>
      </c>
      <c r="BV43" s="253">
        <f t="shared" si="30"/>
        <v>0</v>
      </c>
      <c r="BW43" s="244">
        <f t="shared" si="37"/>
        <v>0</v>
      </c>
    </row>
    <row r="44" spans="1:75" ht="12" customHeight="1" x14ac:dyDescent="0.25">
      <c r="A44" s="395" t="s">
        <v>270</v>
      </c>
      <c r="B44" s="7" t="s">
        <v>253</v>
      </c>
      <c r="C44" s="7" t="s">
        <v>93</v>
      </c>
      <c r="D44" s="4" t="s">
        <v>7</v>
      </c>
      <c r="E44" s="4" t="s">
        <v>20</v>
      </c>
      <c r="F44" s="5" t="s">
        <v>21</v>
      </c>
      <c r="G44" s="5">
        <v>37043</v>
      </c>
      <c r="H44" s="130">
        <v>500000</v>
      </c>
      <c r="I44" s="4">
        <v>0.3</v>
      </c>
      <c r="J44" s="53">
        <f t="shared" si="59"/>
        <v>2.8119999999999998</v>
      </c>
      <c r="K44" s="7">
        <f t="shared" si="60"/>
        <v>0.2525</v>
      </c>
      <c r="L44" s="4">
        <f t="shared" si="61"/>
        <v>3.0644999999999998</v>
      </c>
      <c r="M44" s="159">
        <f t="shared" si="62"/>
        <v>6.8348235249589995E-2</v>
      </c>
      <c r="N44" s="4">
        <f t="shared" si="63"/>
        <v>0.25750000000000001</v>
      </c>
      <c r="O44" s="4">
        <f t="shared" si="64"/>
        <v>0.252</v>
      </c>
      <c r="P44" s="9">
        <f t="shared" si="65"/>
        <v>0.98379000000000005</v>
      </c>
      <c r="Q44" s="5">
        <f t="shared" si="54"/>
        <v>37041</v>
      </c>
      <c r="R44" s="4">
        <f t="shared" si="66"/>
        <v>1</v>
      </c>
      <c r="S44" s="160">
        <f>_xll.xSPRDOPT($L44,$J44,$I44,$M44,$O44,$N44,$P44,$Q44-$C$3,$R44,0)</f>
        <v>3.8230628019952903E-2</v>
      </c>
      <c r="T44" s="161">
        <f>_xll.xSPRDOPT($L44,$J44,$I44,$M44,$O44,$N44,$P44,$Q44-$C$3,$R44,1)*H44</f>
        <v>181739.12572114909</v>
      </c>
      <c r="U44" s="162">
        <f t="shared" si="67"/>
        <v>19115.314009976453</v>
      </c>
      <c r="V44" s="161">
        <f>_xll.xSPRDOPT($L44,$J44,$I44,$M44,$O44,$N44,$P44,$Q44-$C$3,$R44,2)*H44</f>
        <v>-174243.91387278828</v>
      </c>
      <c r="W44" s="161">
        <f t="shared" si="68"/>
        <v>7495.2118483608065</v>
      </c>
      <c r="X44" s="51" t="str">
        <f t="shared" si="12"/>
        <v>37043IF-TRANSCO/Z6</v>
      </c>
      <c r="Y44" s="431">
        <f t="shared" si="31"/>
        <v>50</v>
      </c>
      <c r="AA44" s="128">
        <f t="shared" si="55"/>
        <v>37316</v>
      </c>
      <c r="AB44" s="43">
        <f t="shared" si="52"/>
        <v>-42.831048513143145</v>
      </c>
      <c r="AC44" s="43">
        <f t="shared" si="52"/>
        <v>0</v>
      </c>
      <c r="AD44" s="43">
        <f t="shared" si="52"/>
        <v>0</v>
      </c>
      <c r="AE44" s="43">
        <f t="shared" si="52"/>
        <v>0</v>
      </c>
      <c r="AF44" s="44">
        <f t="shared" si="52"/>
        <v>0</v>
      </c>
      <c r="AG44" s="44">
        <f t="shared" si="52"/>
        <v>0</v>
      </c>
      <c r="AH44" s="128">
        <f t="shared" si="56"/>
        <v>37316</v>
      </c>
      <c r="AI44" s="44">
        <f t="shared" si="38"/>
        <v>-42.831048513143145</v>
      </c>
      <c r="AJ44" s="51"/>
      <c r="AK44" s="128">
        <f t="shared" si="57"/>
        <v>37316</v>
      </c>
      <c r="AL44" s="43">
        <f t="shared" si="53"/>
        <v>-33947.75341224781</v>
      </c>
      <c r="AM44" s="43">
        <f t="shared" si="53"/>
        <v>0</v>
      </c>
      <c r="AN44" s="43">
        <f t="shared" si="53"/>
        <v>0</v>
      </c>
      <c r="AO44" s="43">
        <f t="shared" si="53"/>
        <v>0</v>
      </c>
      <c r="AP44" s="44">
        <f t="shared" si="53"/>
        <v>0</v>
      </c>
      <c r="AQ44" s="44">
        <f t="shared" si="53"/>
        <v>0</v>
      </c>
      <c r="AR44" s="128">
        <f t="shared" si="58"/>
        <v>37316</v>
      </c>
      <c r="AS44" s="44">
        <f t="shared" si="39"/>
        <v>-33947.75341224781</v>
      </c>
      <c r="AT44" s="51"/>
      <c r="AU44" s="51"/>
      <c r="AV44" s="51"/>
      <c r="AW44" s="51"/>
      <c r="AX44" s="51"/>
      <c r="AY44" s="51"/>
      <c r="AZ44" s="51"/>
      <c r="BA44" s="51"/>
      <c r="BB44" s="142">
        <f t="shared" si="69"/>
        <v>37043</v>
      </c>
      <c r="BC44" s="238">
        <f>_xll.xSPRDOPT((VLOOKUP(G44,NGPrices,2,FALSE)+HLOOKUP(D44,Prices,VLOOKUP(G44,move_down,2,FALSE),FALSE)),VLOOKUP(G44,NGPrices,2,FALSE),I44,VLOOKUP(G44,NGPREVPRICES,4,FALSE),HLOOKUP(D44,PREVVOLS,VLOOKUP(G44,MOVE_DOWN2,2,FALSE),FALSE),VLOOKUP(G44,NGPREVPRICES,3,FALSE),HLOOKUP(D44,Correllate,VLOOKUP(G44,CorMove,2,FALSE),FALSE),Q44-$BC$3,R44,$BC$5)*H44-BI44</f>
        <v>267.60493574593784</v>
      </c>
      <c r="BD44" s="238">
        <f>_xll.xSPRDOPT((VLOOKUP(G44,NGPREVPRICES,2,FALSE)+HLOOKUP(D44,PREVCURVES,VLOOKUP(G44,MOVE_DOWN2,2,FALSE),FALSE)),VLOOKUP(G44,NGPREVPRICES,2,FALSE),BJ44,VLOOKUP(G44,NGPrices,4,FALSE),HLOOKUP(D44,PREVVOLS,VLOOKUP(G44,MOVE_DOWN2,2,FALSE),FALSE),VLOOKUP(G44,NGPREVPRICES,3,FALSE),HLOOKUP(D44,Correllate,VLOOKUP(G44,CorMove,2,FALSE),FALSE),Q44-$BC$3,R44,$BI$5)*H44-BI44</f>
        <v>8.8051825687580276</v>
      </c>
      <c r="BE44" s="10">
        <f t="shared" si="70"/>
        <v>-3.7510877761924348</v>
      </c>
      <c r="BF44" s="238">
        <f>_xll.xSPRDOPT((VLOOKUP(G44,NGPREVPRICES,2,FALSE)+HLOOKUP(D44,PREVCURVES,VLOOKUP(G44,MOVE_DOWN2,2,FALSE),FALSE)),VLOOKUP(G44,NGPREVPRICES,2,FALSE),BJ44,VLOOKUP(G44,NGPREVPRICES,4,FALSE),HLOOKUP(D44,VOLS,VLOOKUP(G44,move_down,2,FALSE),FALSE),VLOOKUP(G44,NGPrices,3,FALSE),HLOOKUP(D44,Correllate,VLOOKUP(G44,CorMove,2,FALSE),FALSE),Q44-$BC$3,R44,$BI$5)*H44-BI44</f>
        <v>144.75899710502199</v>
      </c>
      <c r="BG44" s="238">
        <f>_xll.xSPRDOPT((VLOOKUP(G44,NGPREVPRICES,2,FALSE)+HLOOKUP(D44,PREVCURVES,VLOOKUP(G44,MOVE_DOWN2,2,FALSE),FALSE)),VLOOKUP(G44,NGPREVPRICES,2,FALSE),BJ44,VLOOKUP(G44,NGPREVPRICES,4,FALSE),HLOOKUP(D44,PREVVOLS,VLOOKUP(G44,MOVE_DOWN2,2,FALSE),FALSE),VLOOKUP(G44,NGPREVPRICES,3,FALSE),HLOOKUP(D44,Correllate,VLOOKUP(G44,CorMove,2,FALSE),FALSE),Q44-$C$3,R44,$BI$5)*H44-BI44</f>
        <v>-89.052380382923729</v>
      </c>
      <c r="BH44" s="238">
        <f t="shared" si="71"/>
        <v>328.36564726060169</v>
      </c>
      <c r="BI44" s="238">
        <f>_xll.xSPRDOPT((VLOOKUP(G44,NGPREVPRICES,2,FALSE)+HLOOKUP(D44,PREVCURVES,VLOOKUP(G44,MOVE_DOWN2,2,FALSE),FALSE)),VLOOKUP(G44,NGPREVPRICES,2,FALSE),BJ44,VLOOKUP(G44,NGPREVPRICES,4,FALSE),HLOOKUP(D44,PREVVOLS,VLOOKUP(G44,MOVE_DOWN2,2,FALSE),FALSE),VLOOKUP(G44,NGPREVPRICES,3,FALSE),HLOOKUP(D44,Correllate,VLOOKUP(G44,CorMove,2,FALSE),FALSE),Q44-$BC$3,R44,$BI$5)*H44</f>
        <v>18782.045927996212</v>
      </c>
      <c r="BJ44" s="239">
        <f t="shared" si="72"/>
        <v>0.3</v>
      </c>
      <c r="BL44" t="str">
        <f t="shared" si="73"/>
        <v>37043Curve Shift/Gamma</v>
      </c>
      <c r="BM44" t="str">
        <f t="shared" si="22"/>
        <v>37043Rho</v>
      </c>
      <c r="BN44" t="str">
        <f t="shared" si="23"/>
        <v>37043Drift</v>
      </c>
      <c r="BO44" t="str">
        <f t="shared" si="24"/>
        <v>37043Vega</v>
      </c>
      <c r="BP44" t="str">
        <f t="shared" si="25"/>
        <v>37043Theta</v>
      </c>
      <c r="BQ44" s="398">
        <f t="shared" si="36"/>
        <v>37681</v>
      </c>
      <c r="BR44" s="399">
        <f t="shared" si="26"/>
        <v>0</v>
      </c>
      <c r="BS44" s="243">
        <f t="shared" si="27"/>
        <v>0</v>
      </c>
      <c r="BT44" s="243">
        <f t="shared" si="28"/>
        <v>0</v>
      </c>
      <c r="BU44" s="243">
        <f t="shared" si="29"/>
        <v>0</v>
      </c>
      <c r="BV44" s="253">
        <f t="shared" si="30"/>
        <v>0</v>
      </c>
      <c r="BW44" s="244">
        <f t="shared" si="37"/>
        <v>0</v>
      </c>
    </row>
    <row r="45" spans="1:75" ht="12" customHeight="1" x14ac:dyDescent="0.25">
      <c r="A45" s="395" t="s">
        <v>270</v>
      </c>
      <c r="B45" s="7" t="s">
        <v>253</v>
      </c>
      <c r="C45" s="7" t="s">
        <v>93</v>
      </c>
      <c r="D45" s="4" t="s">
        <v>7</v>
      </c>
      <c r="E45" s="4" t="s">
        <v>20</v>
      </c>
      <c r="F45" s="5" t="s">
        <v>21</v>
      </c>
      <c r="G45" s="5">
        <v>37073</v>
      </c>
      <c r="H45" s="130">
        <v>500000</v>
      </c>
      <c r="I45" s="4">
        <v>0.3</v>
      </c>
      <c r="J45" s="53">
        <f t="shared" si="59"/>
        <v>2.8130000000000002</v>
      </c>
      <c r="K45" s="7">
        <f t="shared" si="60"/>
        <v>0.25750000000000001</v>
      </c>
      <c r="L45" s="4">
        <f t="shared" si="61"/>
        <v>3.0705</v>
      </c>
      <c r="M45" s="159">
        <f t="shared" si="62"/>
        <v>6.8534823747616005E-2</v>
      </c>
      <c r="N45" s="4">
        <f t="shared" si="63"/>
        <v>0.255</v>
      </c>
      <c r="O45" s="4">
        <f t="shared" si="64"/>
        <v>0.25</v>
      </c>
      <c r="P45" s="9">
        <f t="shared" si="65"/>
        <v>0.98379000000000005</v>
      </c>
      <c r="Q45" s="5">
        <f t="shared" si="54"/>
        <v>37070</v>
      </c>
      <c r="R45" s="4">
        <f t="shared" si="66"/>
        <v>1</v>
      </c>
      <c r="S45" s="160">
        <f>_xll.xSPRDOPT($L45,$J45,$I45,$M45,$O45,$N45,$P45,$Q45-$C$3,$R45,0)</f>
        <v>4.150246889642862E-2</v>
      </c>
      <c r="T45" s="161">
        <f>_xll.xSPRDOPT($L45,$J45,$I45,$M45,$O45,$N45,$P45,$Q45-$C$3,$R45,1)*H45</f>
        <v>188104.74847317836</v>
      </c>
      <c r="U45" s="162">
        <f t="shared" si="67"/>
        <v>20751.234448214309</v>
      </c>
      <c r="V45" s="161">
        <f>_xll.xSPRDOPT($L45,$J45,$I45,$M45,$O45,$N45,$P45,$Q45-$C$3,$R45,2)*H45</f>
        <v>-180377.82370632087</v>
      </c>
      <c r="W45" s="161">
        <f t="shared" si="68"/>
        <v>7726.9247668574972</v>
      </c>
      <c r="X45" s="51" t="str">
        <f t="shared" si="12"/>
        <v>37073IF-TRANSCO/Z6</v>
      </c>
      <c r="Y45" s="431">
        <f t="shared" si="31"/>
        <v>50</v>
      </c>
      <c r="AA45" s="128">
        <f t="shared" si="55"/>
        <v>37347</v>
      </c>
      <c r="AB45" s="43">
        <f t="shared" si="52"/>
        <v>0</v>
      </c>
      <c r="AC45" s="43">
        <f t="shared" si="52"/>
        <v>0</v>
      </c>
      <c r="AD45" s="43">
        <f t="shared" si="52"/>
        <v>0</v>
      </c>
      <c r="AE45" s="43">
        <f t="shared" si="52"/>
        <v>0</v>
      </c>
      <c r="AF45" s="44">
        <f t="shared" si="52"/>
        <v>0</v>
      </c>
      <c r="AG45" s="44">
        <f t="shared" si="52"/>
        <v>0</v>
      </c>
      <c r="AH45" s="128">
        <f t="shared" si="56"/>
        <v>37347</v>
      </c>
      <c r="AI45" s="44">
        <f t="shared" si="38"/>
        <v>0</v>
      </c>
      <c r="AJ45" s="51"/>
      <c r="AK45" s="128">
        <f t="shared" si="57"/>
        <v>37347</v>
      </c>
      <c r="AL45" s="43">
        <f t="shared" si="53"/>
        <v>0</v>
      </c>
      <c r="AM45" s="43">
        <f t="shared" si="53"/>
        <v>0</v>
      </c>
      <c r="AN45" s="43">
        <f t="shared" si="53"/>
        <v>0</v>
      </c>
      <c r="AO45" s="43">
        <f t="shared" si="53"/>
        <v>0</v>
      </c>
      <c r="AP45" s="44">
        <f t="shared" si="53"/>
        <v>0</v>
      </c>
      <c r="AQ45" s="44">
        <f t="shared" si="53"/>
        <v>0</v>
      </c>
      <c r="AR45" s="128">
        <f t="shared" si="58"/>
        <v>37347</v>
      </c>
      <c r="AS45" s="44">
        <f t="shared" si="39"/>
        <v>0</v>
      </c>
      <c r="AT45" s="51"/>
      <c r="AU45" s="51"/>
      <c r="AV45" s="51"/>
      <c r="AW45" s="51"/>
      <c r="AX45" s="51"/>
      <c r="AY45" s="51"/>
      <c r="AZ45" s="51"/>
      <c r="BA45" s="51"/>
      <c r="BB45" s="142">
        <f t="shared" si="69"/>
        <v>37073</v>
      </c>
      <c r="BC45" s="238">
        <f>_xll.xSPRDOPT((VLOOKUP(G45,NGPrices,2,FALSE)+HLOOKUP(D45,Prices,VLOOKUP(G45,move_down,2,FALSE),FALSE)),VLOOKUP(G45,NGPrices,2,FALSE),I45,VLOOKUP(G45,NGPREVPRICES,4,FALSE),HLOOKUP(D45,PREVVOLS,VLOOKUP(G45,MOVE_DOWN2,2,FALSE),FALSE),VLOOKUP(G45,NGPREVPRICES,3,FALSE),HLOOKUP(D45,Correllate,VLOOKUP(G45,CorMove,2,FALSE),FALSE),Q45-$BC$3,R45,$BC$5)*H45-BI45</f>
        <v>275.04703333503858</v>
      </c>
      <c r="BD45" s="238">
        <f>_xll.xSPRDOPT((VLOOKUP(G45,NGPREVPRICES,2,FALSE)+HLOOKUP(D45,PREVCURVES,VLOOKUP(G45,MOVE_DOWN2,2,FALSE),FALSE)),VLOOKUP(G45,NGPREVPRICES,2,FALSE),BJ45,VLOOKUP(G45,NGPrices,4,FALSE),HLOOKUP(D45,PREVVOLS,VLOOKUP(G45,MOVE_DOWN2,2,FALSE),FALSE),VLOOKUP(G45,NGPREVPRICES,3,FALSE),HLOOKUP(D45,Correllate,VLOOKUP(G45,CorMove,2,FALSE),FALSE),Q45-$BC$3,R45,$BI$5)*H45-BI45</f>
        <v>11.28577932087137</v>
      </c>
      <c r="BE45" s="10">
        <f t="shared" si="70"/>
        <v>-4.0541789781418629</v>
      </c>
      <c r="BF45" s="238">
        <f>_xll.xSPRDOPT((VLOOKUP(G45,NGPREVPRICES,2,FALSE)+HLOOKUP(D45,PREVCURVES,VLOOKUP(G45,MOVE_DOWN2,2,FALSE),FALSE)),VLOOKUP(G45,NGPREVPRICES,2,FALSE),BJ45,VLOOKUP(G45,NGPREVPRICES,4,FALSE),HLOOKUP(D45,VOLS,VLOOKUP(G45,move_down,2,FALSE),FALSE),VLOOKUP(G45,NGPrices,3,FALSE),HLOOKUP(D45,Correllate,VLOOKUP(G45,CorMove,2,FALSE),FALSE),Q45-$BC$3,R45,$BI$5)*H45-BI45</f>
        <v>433.71169243607437</v>
      </c>
      <c r="BG45" s="238">
        <f>_xll.xSPRDOPT((VLOOKUP(G45,NGPREVPRICES,2,FALSE)+HLOOKUP(D45,PREVCURVES,VLOOKUP(G45,MOVE_DOWN2,2,FALSE),FALSE)),VLOOKUP(G45,NGPREVPRICES,2,FALSE),BJ45,VLOOKUP(G45,NGPREVPRICES,4,FALSE),HLOOKUP(D45,PREVVOLS,VLOOKUP(G45,MOVE_DOWN2,2,FALSE),FALSE),VLOOKUP(G45,NGPREVPRICES,3,FALSE),HLOOKUP(D45,Correllate,VLOOKUP(G45,CorMove,2,FALSE),FALSE),Q45-$C$3,R45,$BI$5)*H45-BI45</f>
        <v>-84.121052730301017</v>
      </c>
      <c r="BH45" s="238">
        <f t="shared" si="71"/>
        <v>631.86927338354144</v>
      </c>
      <c r="BI45" s="238">
        <f>_xll.xSPRDOPT((VLOOKUP(G45,NGPREVPRICES,2,FALSE)+HLOOKUP(D45,PREVCURVES,VLOOKUP(G45,MOVE_DOWN2,2,FALSE),FALSE)),VLOOKUP(G45,NGPREVPRICES,2,FALSE),BJ45,VLOOKUP(G45,NGPREVPRICES,4,FALSE),HLOOKUP(D45,PREVVOLS,VLOOKUP(G45,MOVE_DOWN2,2,FALSE),FALSE),VLOOKUP(G45,NGPREVPRICES,3,FALSE),HLOOKUP(D45,Correllate,VLOOKUP(G45,CorMove,2,FALSE),FALSE),Q45-$BC$3,R45,$BI$5)*H45</f>
        <v>20113.903725264936</v>
      </c>
      <c r="BJ45" s="239">
        <f t="shared" si="72"/>
        <v>0.3</v>
      </c>
      <c r="BL45" t="str">
        <f t="shared" si="73"/>
        <v>37073Curve Shift/Gamma</v>
      </c>
      <c r="BM45" t="str">
        <f t="shared" si="22"/>
        <v>37073Rho</v>
      </c>
      <c r="BN45" t="str">
        <f t="shared" si="23"/>
        <v>37073Drift</v>
      </c>
      <c r="BO45" t="str">
        <f t="shared" si="24"/>
        <v>37073Vega</v>
      </c>
      <c r="BP45" t="str">
        <f t="shared" si="25"/>
        <v>37073Theta</v>
      </c>
      <c r="BQ45" s="398">
        <f t="shared" si="36"/>
        <v>37712</v>
      </c>
      <c r="BR45" s="399">
        <f t="shared" si="26"/>
        <v>0</v>
      </c>
      <c r="BS45" s="243">
        <f t="shared" si="27"/>
        <v>0</v>
      </c>
      <c r="BT45" s="243">
        <f t="shared" si="28"/>
        <v>0</v>
      </c>
      <c r="BU45" s="243">
        <f t="shared" si="29"/>
        <v>0</v>
      </c>
      <c r="BV45" s="253">
        <f t="shared" si="30"/>
        <v>0</v>
      </c>
      <c r="BW45" s="244">
        <f t="shared" si="37"/>
        <v>0</v>
      </c>
    </row>
    <row r="46" spans="1:75" ht="12" customHeight="1" x14ac:dyDescent="0.25">
      <c r="A46" s="395" t="s">
        <v>270</v>
      </c>
      <c r="B46" s="7" t="s">
        <v>253</v>
      </c>
      <c r="C46" s="7" t="s">
        <v>93</v>
      </c>
      <c r="D46" s="4" t="s">
        <v>7</v>
      </c>
      <c r="E46" s="4" t="s">
        <v>20</v>
      </c>
      <c r="F46" s="5" t="s">
        <v>21</v>
      </c>
      <c r="G46" s="5">
        <v>37104</v>
      </c>
      <c r="H46" s="130">
        <v>500000</v>
      </c>
      <c r="I46" s="4">
        <v>0.3</v>
      </c>
      <c r="J46" s="53">
        <f t="shared" si="59"/>
        <v>2.8130000000000002</v>
      </c>
      <c r="K46" s="7">
        <f t="shared" si="60"/>
        <v>0.25750000000000001</v>
      </c>
      <c r="L46" s="4">
        <f t="shared" si="61"/>
        <v>3.0705</v>
      </c>
      <c r="M46" s="159">
        <f t="shared" si="62"/>
        <v>6.8711482572367005E-2</v>
      </c>
      <c r="N46" s="4">
        <f t="shared" si="63"/>
        <v>0.255</v>
      </c>
      <c r="O46" s="4">
        <f t="shared" si="64"/>
        <v>0.25</v>
      </c>
      <c r="P46" s="9">
        <f t="shared" si="65"/>
        <v>0.98379000000000005</v>
      </c>
      <c r="Q46" s="5">
        <f t="shared" si="54"/>
        <v>37102</v>
      </c>
      <c r="R46" s="4">
        <f t="shared" si="66"/>
        <v>1</v>
      </c>
      <c r="S46" s="160">
        <f>_xll.xSPRDOPT($L46,$J46,$I46,$M46,$O46,$N46,$P46,$Q46-$C$3,$R46,0)</f>
        <v>4.3295824822031148E-2</v>
      </c>
      <c r="T46" s="161">
        <f>_xll.xSPRDOPT($L46,$J46,$I46,$M46,$O46,$N46,$P46,$Q46-$C$3,$R46,1)*H46</f>
        <v>188796.36862810419</v>
      </c>
      <c r="U46" s="162">
        <f t="shared" si="67"/>
        <v>21647.912411015575</v>
      </c>
      <c r="V46" s="161">
        <f>_xll.xSPRDOPT($L46,$J46,$I46,$M46,$O46,$N46,$P46,$Q46-$C$3,$R46,2)*H46</f>
        <v>-180821.23896289073</v>
      </c>
      <c r="W46" s="161">
        <f t="shared" si="68"/>
        <v>7975.1296652134624</v>
      </c>
      <c r="X46" s="51" t="str">
        <f t="shared" si="12"/>
        <v>37104IF-TRANSCO/Z6</v>
      </c>
      <c r="Y46" s="431">
        <f t="shared" si="31"/>
        <v>50</v>
      </c>
      <c r="Z46" s="51"/>
      <c r="AA46" s="128">
        <f t="shared" si="55"/>
        <v>37377</v>
      </c>
      <c r="AB46" s="43">
        <f t="shared" si="52"/>
        <v>0</v>
      </c>
      <c r="AC46" s="43">
        <f t="shared" si="52"/>
        <v>0</v>
      </c>
      <c r="AD46" s="43">
        <f t="shared" si="52"/>
        <v>0</v>
      </c>
      <c r="AE46" s="43">
        <f t="shared" si="52"/>
        <v>0</v>
      </c>
      <c r="AF46" s="44">
        <f t="shared" si="52"/>
        <v>0</v>
      </c>
      <c r="AG46" s="44">
        <f t="shared" si="52"/>
        <v>0</v>
      </c>
      <c r="AH46" s="128">
        <f t="shared" si="56"/>
        <v>37377</v>
      </c>
      <c r="AI46" s="44">
        <f t="shared" si="38"/>
        <v>0</v>
      </c>
      <c r="AJ46" s="51"/>
      <c r="AK46" s="128">
        <f t="shared" si="57"/>
        <v>37377</v>
      </c>
      <c r="AL46" s="43">
        <f t="shared" si="53"/>
        <v>0</v>
      </c>
      <c r="AM46" s="43">
        <f t="shared" si="53"/>
        <v>0</v>
      </c>
      <c r="AN46" s="43">
        <f t="shared" si="53"/>
        <v>0</v>
      </c>
      <c r="AO46" s="43">
        <f t="shared" si="53"/>
        <v>0</v>
      </c>
      <c r="AP46" s="44">
        <f t="shared" si="53"/>
        <v>0</v>
      </c>
      <c r="AQ46" s="44">
        <f t="shared" si="53"/>
        <v>0</v>
      </c>
      <c r="AR46" s="128">
        <f t="shared" si="58"/>
        <v>37377</v>
      </c>
      <c r="AS46" s="44">
        <f t="shared" si="39"/>
        <v>0</v>
      </c>
      <c r="AT46" s="51"/>
      <c r="AU46" s="51"/>
      <c r="AV46" s="51"/>
      <c r="AW46" s="51"/>
      <c r="AX46" s="51"/>
      <c r="AY46" s="51"/>
      <c r="AZ46" s="51"/>
      <c r="BA46" s="51"/>
      <c r="BB46" s="142">
        <f t="shared" si="69"/>
        <v>37104</v>
      </c>
      <c r="BC46" s="238">
        <f>_xll.xSPRDOPT((VLOOKUP(G46,NGPrices,2,FALSE)+HLOOKUP(D46,Prices,VLOOKUP(G46,move_down,2,FALSE),FALSE)),VLOOKUP(G46,NGPrices,2,FALSE),I46,VLOOKUP(G46,NGPREVPRICES,4,FALSE),HLOOKUP(D46,PREVVOLS,VLOOKUP(G46,MOVE_DOWN2,2,FALSE),FALSE),VLOOKUP(G46,NGPREVPRICES,3,FALSE),HLOOKUP(D46,Correllate,VLOOKUP(G46,CorMove,2,FALSE),FALSE),Q46-$BC$3,R46,$BC$5)*H46-BI46</f>
        <v>268.06089985037761</v>
      </c>
      <c r="BD46" s="238">
        <f>_xll.xSPRDOPT((VLOOKUP(G46,NGPREVPRICES,2,FALSE)+HLOOKUP(D46,PREVCURVES,VLOOKUP(G46,MOVE_DOWN2,2,FALSE),FALSE)),VLOOKUP(G46,NGPREVPRICES,2,FALSE),BJ46,VLOOKUP(G46,NGPrices,4,FALSE),HLOOKUP(D46,PREVVOLS,VLOOKUP(G46,MOVE_DOWN2,2,FALSE),FALSE),VLOOKUP(G46,NGPREVPRICES,3,FALSE),HLOOKUP(D46,Correllate,VLOOKUP(G46,CorMove,2,FALSE),FALSE),Q46-$BC$3,R46,$BI$5)*H46-BI46</f>
        <v>14.221635680525651</v>
      </c>
      <c r="BE46" s="10">
        <f t="shared" si="70"/>
        <v>-4.2720138823715388</v>
      </c>
      <c r="BF46" s="238">
        <f>_xll.xSPRDOPT((VLOOKUP(G46,NGPREVPRICES,2,FALSE)+HLOOKUP(D46,PREVCURVES,VLOOKUP(G46,MOVE_DOWN2,2,FALSE),FALSE)),VLOOKUP(G46,NGPREVPRICES,2,FALSE),BJ46,VLOOKUP(G46,NGPREVPRICES,4,FALSE),HLOOKUP(D46,VOLS,VLOOKUP(G46,move_down,2,FALSE),FALSE),VLOOKUP(G46,NGPrices,3,FALSE),HLOOKUP(D46,Correllate,VLOOKUP(G46,CorMove,2,FALSE),FALSE),Q46-$BC$3,R46,$BI$5)*H46-BI46</f>
        <v>447.63292489535525</v>
      </c>
      <c r="BG46" s="238">
        <f>_xll.xSPRDOPT((VLOOKUP(G46,NGPREVPRICES,2,FALSE)+HLOOKUP(D46,PREVCURVES,VLOOKUP(G46,MOVE_DOWN2,2,FALSE),FALSE)),VLOOKUP(G46,NGPREVPRICES,2,FALSE),BJ46,VLOOKUP(G46,NGPREVPRICES,4,FALSE),HLOOKUP(D46,PREVVOLS,VLOOKUP(G46,MOVE_DOWN2,2,FALSE),FALSE),VLOOKUP(G46,NGPREVPRICES,3,FALSE),HLOOKUP(D46,Correllate,VLOOKUP(G46,CorMove,2,FALSE),FALSE),Q46-$C$3,R46,$BI$5)*H46-BI46</f>
        <v>-80.027983940930426</v>
      </c>
      <c r="BH46" s="238">
        <f t="shared" si="71"/>
        <v>645.61546260295654</v>
      </c>
      <c r="BI46" s="238">
        <f>_xll.xSPRDOPT((VLOOKUP(G46,NGPREVPRICES,2,FALSE)+HLOOKUP(D46,PREVCURVES,VLOOKUP(G46,MOVE_DOWN2,2,FALSE),FALSE)),VLOOKUP(G46,NGPREVPRICES,2,FALSE),BJ46,VLOOKUP(G46,NGPREVPRICES,4,FALSE),HLOOKUP(D46,PREVVOLS,VLOOKUP(G46,MOVE_DOWN2,2,FALSE),FALSE),VLOOKUP(G46,NGPREVPRICES,3,FALSE),HLOOKUP(D46,Correllate,VLOOKUP(G46,CorMove,2,FALSE),FALSE),Q46-$BC$3,R46,$BI$5)*H46</f>
        <v>20996.484814335512</v>
      </c>
      <c r="BJ46" s="239">
        <f t="shared" si="72"/>
        <v>0.3</v>
      </c>
      <c r="BL46" t="str">
        <f t="shared" si="73"/>
        <v>37104Curve Shift/Gamma</v>
      </c>
      <c r="BM46" t="str">
        <f t="shared" si="22"/>
        <v>37104Rho</v>
      </c>
      <c r="BN46" t="str">
        <f t="shared" si="23"/>
        <v>37104Drift</v>
      </c>
      <c r="BO46" t="str">
        <f t="shared" si="24"/>
        <v>37104Vega</v>
      </c>
      <c r="BP46" t="str">
        <f t="shared" si="25"/>
        <v>37104Theta</v>
      </c>
      <c r="BQ46" s="398">
        <f t="shared" si="36"/>
        <v>37742</v>
      </c>
      <c r="BR46" s="399">
        <f t="shared" si="26"/>
        <v>0</v>
      </c>
      <c r="BS46" s="243">
        <f t="shared" si="27"/>
        <v>0</v>
      </c>
      <c r="BT46" s="243">
        <f t="shared" si="28"/>
        <v>0</v>
      </c>
      <c r="BU46" s="243">
        <f t="shared" si="29"/>
        <v>0</v>
      </c>
      <c r="BV46" s="253">
        <f t="shared" si="30"/>
        <v>0</v>
      </c>
      <c r="BW46" s="244">
        <f t="shared" si="37"/>
        <v>0</v>
      </c>
    </row>
    <row r="47" spans="1:75" ht="12" customHeight="1" thickBot="1" x14ac:dyDescent="0.3">
      <c r="A47" s="395" t="s">
        <v>270</v>
      </c>
      <c r="B47" s="7" t="s">
        <v>253</v>
      </c>
      <c r="C47" s="7" t="s">
        <v>93</v>
      </c>
      <c r="D47" s="4" t="s">
        <v>7</v>
      </c>
      <c r="E47" s="4" t="s">
        <v>20</v>
      </c>
      <c r="F47" s="5" t="s">
        <v>21</v>
      </c>
      <c r="G47" s="5">
        <v>37135</v>
      </c>
      <c r="H47" s="130">
        <v>500000</v>
      </c>
      <c r="I47" s="4">
        <v>0.3</v>
      </c>
      <c r="J47" s="53">
        <f t="shared" si="59"/>
        <v>2.8130000000000002</v>
      </c>
      <c r="K47" s="7">
        <f t="shared" si="60"/>
        <v>0.2525</v>
      </c>
      <c r="L47" s="4">
        <f t="shared" si="61"/>
        <v>3.0655000000000001</v>
      </c>
      <c r="M47" s="159">
        <f t="shared" si="62"/>
        <v>6.8888141407443995E-2</v>
      </c>
      <c r="N47" s="4">
        <f t="shared" si="63"/>
        <v>0.25750000000000001</v>
      </c>
      <c r="O47" s="4">
        <f t="shared" si="64"/>
        <v>0.252</v>
      </c>
      <c r="P47" s="9">
        <f t="shared" si="65"/>
        <v>0.98379000000000005</v>
      </c>
      <c r="Q47" s="5">
        <f t="shared" si="54"/>
        <v>37133</v>
      </c>
      <c r="R47" s="4">
        <f t="shared" si="66"/>
        <v>1</v>
      </c>
      <c r="S47" s="160">
        <f>_xll.xSPRDOPT($L47,$J47,$I47,$M47,$O47,$N47,$P47,$Q47-$C$3,$R47,0)</f>
        <v>4.3405855196087445E-2</v>
      </c>
      <c r="T47" s="161">
        <f>_xll.xSPRDOPT($L47,$J47,$I47,$M47,$O47,$N47,$P47,$Q47-$C$3,$R47,1)*H47</f>
        <v>184333.58814922706</v>
      </c>
      <c r="U47" s="162">
        <f t="shared" si="67"/>
        <v>21702.927598043723</v>
      </c>
      <c r="V47" s="161">
        <f>_xll.xSPRDOPT($L47,$J47,$I47,$M47,$O47,$N47,$P47,$Q47-$C$3,$R47,2)*H47</f>
        <v>-176110.13149178651</v>
      </c>
      <c r="W47" s="161">
        <f t="shared" si="68"/>
        <v>8223.4566574405471</v>
      </c>
      <c r="X47" s="51" t="str">
        <f t="shared" si="12"/>
        <v>37135IF-TRANSCO/Z6</v>
      </c>
      <c r="Y47" s="431">
        <f t="shared" si="31"/>
        <v>50</v>
      </c>
      <c r="Z47" s="51"/>
      <c r="AA47" s="128">
        <f t="shared" si="55"/>
        <v>37408</v>
      </c>
      <c r="AB47" s="43">
        <f t="shared" ref="AB47:AG56" si="74">SUMIF($X:$X,CONCATENATE($AA47,AB$6),$T:$T)/10000</f>
        <v>0</v>
      </c>
      <c r="AC47" s="43">
        <f t="shared" si="74"/>
        <v>0</v>
      </c>
      <c r="AD47" s="43">
        <f t="shared" si="74"/>
        <v>0</v>
      </c>
      <c r="AE47" s="43">
        <f t="shared" si="74"/>
        <v>0</v>
      </c>
      <c r="AF47" s="44">
        <f t="shared" si="74"/>
        <v>0</v>
      </c>
      <c r="AG47" s="44">
        <f t="shared" si="74"/>
        <v>0</v>
      </c>
      <c r="AH47" s="128">
        <f t="shared" si="56"/>
        <v>37408</v>
      </c>
      <c r="AI47" s="44">
        <f t="shared" si="38"/>
        <v>0</v>
      </c>
      <c r="AJ47" s="51"/>
      <c r="AK47" s="128">
        <f t="shared" si="57"/>
        <v>37408</v>
      </c>
      <c r="AL47" s="43">
        <f t="shared" ref="AL47:AQ56" si="75">SUMIF($X:$X,CONCATENATE($AA47,AL$6),$W:$W)</f>
        <v>0</v>
      </c>
      <c r="AM47" s="43">
        <f t="shared" si="75"/>
        <v>0</v>
      </c>
      <c r="AN47" s="43">
        <f t="shared" si="75"/>
        <v>0</v>
      </c>
      <c r="AO47" s="43">
        <f t="shared" si="75"/>
        <v>0</v>
      </c>
      <c r="AP47" s="44">
        <f t="shared" si="75"/>
        <v>0</v>
      </c>
      <c r="AQ47" s="44">
        <f t="shared" si="75"/>
        <v>0</v>
      </c>
      <c r="AR47" s="128">
        <f t="shared" si="58"/>
        <v>37408</v>
      </c>
      <c r="AS47" s="44">
        <f t="shared" si="39"/>
        <v>0</v>
      </c>
      <c r="AT47" s="51"/>
      <c r="AU47" s="51"/>
      <c r="AV47" s="51"/>
      <c r="AW47" s="51"/>
      <c r="AX47" s="51"/>
      <c r="AY47" s="51"/>
      <c r="AZ47" s="51"/>
      <c r="BA47" s="51"/>
      <c r="BB47" s="142">
        <f t="shared" si="69"/>
        <v>37135</v>
      </c>
      <c r="BC47" s="238">
        <f>_xll.xSPRDOPT((VLOOKUP(G47,NGPrices,2,FALSE)+HLOOKUP(D47,Prices,VLOOKUP(G47,move_down,2,FALSE),FALSE)),VLOOKUP(G47,NGPrices,2,FALSE),I47,VLOOKUP(G47,NGPREVPRICES,4,FALSE),HLOOKUP(D47,PREVVOLS,VLOOKUP(G47,MOVE_DOWN2,2,FALSE),FALSE),VLOOKUP(G47,NGPREVPRICES,3,FALSE),HLOOKUP(D47,Correllate,VLOOKUP(G47,CorMove,2,FALSE),FALSE),Q47-$BC$3,R47,$BC$5)*H47-BI47</f>
        <v>244.51633217011477</v>
      </c>
      <c r="BD47" s="238">
        <f>_xll.xSPRDOPT((VLOOKUP(G47,NGPREVPRICES,2,FALSE)+HLOOKUP(D47,PREVCURVES,VLOOKUP(G47,MOVE_DOWN2,2,FALSE),FALSE)),VLOOKUP(G47,NGPREVPRICES,2,FALSE),BJ47,VLOOKUP(G47,NGPrices,4,FALSE),HLOOKUP(D47,PREVVOLS,VLOOKUP(G47,MOVE_DOWN2,2,FALSE),FALSE),VLOOKUP(G47,NGPREVPRICES,3,FALSE),HLOOKUP(D47,Correllate,VLOOKUP(G47,CorMove,2,FALSE),FALSE),Q47-$BC$3,R47,$BI$5)*H47-BI47</f>
        <v>17.13321655753316</v>
      </c>
      <c r="BE47" s="10">
        <f t="shared" si="70"/>
        <v>-4.3865403257404978</v>
      </c>
      <c r="BF47" s="238">
        <f>_xll.xSPRDOPT((VLOOKUP(G47,NGPREVPRICES,2,FALSE)+HLOOKUP(D47,PREVCURVES,VLOOKUP(G47,MOVE_DOWN2,2,FALSE),FALSE)),VLOOKUP(G47,NGPREVPRICES,2,FALSE),BJ47,VLOOKUP(G47,NGPREVPRICES,4,FALSE),HLOOKUP(D47,VOLS,VLOOKUP(G47,move_down,2,FALSE),FALSE),VLOOKUP(G47,NGPrices,3,FALSE),HLOOKUP(D47,Correllate,VLOOKUP(G47,CorMove,2,FALSE),FALSE),Q47-$BC$3,R47,$BI$5)*H47-BI47</f>
        <v>160.06932525827142</v>
      </c>
      <c r="BG47" s="238">
        <f>_xll.xSPRDOPT((VLOOKUP(G47,NGPREVPRICES,2,FALSE)+HLOOKUP(D47,PREVCURVES,VLOOKUP(G47,MOVE_DOWN2,2,FALSE),FALSE)),VLOOKUP(G47,NGPREVPRICES,2,FALSE),BJ47,VLOOKUP(G47,NGPREVPRICES,4,FALSE),HLOOKUP(D47,PREVVOLS,VLOOKUP(G47,MOVE_DOWN2,2,FALSE),FALSE),VLOOKUP(G47,NGPREVPRICES,3,FALSE),HLOOKUP(D47,Correllate,VLOOKUP(G47,CorMove,2,FALSE),FALSE),Q47-$C$3,R47,$BI$5)*H47-BI47</f>
        <v>-77.347885133178352</v>
      </c>
      <c r="BH47" s="238">
        <f t="shared" si="71"/>
        <v>339.9844485270005</v>
      </c>
      <c r="BI47" s="238">
        <f>_xll.xSPRDOPT((VLOOKUP(G47,NGPREVPRICES,2,FALSE)+HLOOKUP(D47,PREVCURVES,VLOOKUP(G47,MOVE_DOWN2,2,FALSE),FALSE)),VLOOKUP(G47,NGPREVPRICES,2,FALSE),BJ47,VLOOKUP(G47,NGPREVPRICES,4,FALSE),HLOOKUP(D47,PREVVOLS,VLOOKUP(G47,MOVE_DOWN2,2,FALSE),FALSE),VLOOKUP(G47,NGPREVPRICES,3,FALSE),HLOOKUP(D47,Correllate,VLOOKUP(G47,CorMove,2,FALSE),FALSE),Q47-$BC$3,R47,$BI$5)*H47</f>
        <v>21357.224928465981</v>
      </c>
      <c r="BJ47" s="239">
        <f t="shared" si="72"/>
        <v>0.3</v>
      </c>
      <c r="BL47" t="str">
        <f t="shared" si="73"/>
        <v>37135Curve Shift/Gamma</v>
      </c>
      <c r="BM47" t="str">
        <f t="shared" si="22"/>
        <v>37135Rho</v>
      </c>
      <c r="BN47" t="str">
        <f t="shared" si="23"/>
        <v>37135Drift</v>
      </c>
      <c r="BO47" t="str">
        <f t="shared" si="24"/>
        <v>37135Vega</v>
      </c>
      <c r="BP47" t="str">
        <f t="shared" si="25"/>
        <v>37135Theta</v>
      </c>
      <c r="BQ47" s="398">
        <f t="shared" si="36"/>
        <v>37773</v>
      </c>
      <c r="BR47" s="400">
        <f t="shared" si="26"/>
        <v>0</v>
      </c>
      <c r="BS47" s="245">
        <f t="shared" si="27"/>
        <v>0</v>
      </c>
      <c r="BT47" s="245">
        <f t="shared" si="28"/>
        <v>0</v>
      </c>
      <c r="BU47" s="245">
        <f t="shared" si="29"/>
        <v>0</v>
      </c>
      <c r="BV47" s="254">
        <f t="shared" si="30"/>
        <v>0</v>
      </c>
      <c r="BW47" s="246">
        <f t="shared" si="37"/>
        <v>0</v>
      </c>
    </row>
    <row r="48" spans="1:75" ht="12" customHeight="1" thickBot="1" x14ac:dyDescent="0.3">
      <c r="A48" s="395" t="s">
        <v>270</v>
      </c>
      <c r="B48" s="7" t="s">
        <v>253</v>
      </c>
      <c r="C48" s="7" t="s">
        <v>93</v>
      </c>
      <c r="D48" s="4" t="s">
        <v>7</v>
      </c>
      <c r="E48" s="4" t="s">
        <v>20</v>
      </c>
      <c r="F48" s="5" t="s">
        <v>21</v>
      </c>
      <c r="G48" s="5">
        <v>37165</v>
      </c>
      <c r="H48" s="130">
        <v>500000</v>
      </c>
      <c r="I48" s="4">
        <v>0.3</v>
      </c>
      <c r="J48" s="53">
        <f t="shared" si="59"/>
        <v>2.8330000000000002</v>
      </c>
      <c r="K48" s="7">
        <f t="shared" si="60"/>
        <v>0.255</v>
      </c>
      <c r="L48" s="4">
        <f t="shared" si="61"/>
        <v>3.0880000000000001</v>
      </c>
      <c r="M48" s="159">
        <f t="shared" si="62"/>
        <v>6.9044059331132002E-2</v>
      </c>
      <c r="N48" s="4">
        <f t="shared" si="63"/>
        <v>0.26250000000000001</v>
      </c>
      <c r="O48" s="4">
        <f t="shared" si="64"/>
        <v>0.25700000000000001</v>
      </c>
      <c r="P48" s="9">
        <f t="shared" si="65"/>
        <v>0.98379000000000005</v>
      </c>
      <c r="Q48" s="5">
        <f t="shared" si="54"/>
        <v>37161</v>
      </c>
      <c r="R48" s="4">
        <f t="shared" si="66"/>
        <v>1</v>
      </c>
      <c r="S48" s="160">
        <f>_xll.xSPRDOPT($L48,$J48,$I48,$M48,$O48,$N48,$P48,$Q48-$C$3,$R48,0)</f>
        <v>4.7391915245839231E-2</v>
      </c>
      <c r="T48" s="161">
        <f>_xll.xSPRDOPT($L48,$J48,$I48,$M48,$O48,$N48,$P48,$Q48-$C$3,$R48,1)*H48</f>
        <v>188564.79409615445</v>
      </c>
      <c r="U48" s="162">
        <f t="shared" si="67"/>
        <v>23695.957622919614</v>
      </c>
      <c r="V48" s="161">
        <f>_xll.xSPRDOPT($L48,$J48,$I48,$M48,$O48,$N48,$P48,$Q48-$C$3,$R48,2)*H48</f>
        <v>-179922.0294412245</v>
      </c>
      <c r="W48" s="161">
        <f t="shared" si="68"/>
        <v>8642.7646549299534</v>
      </c>
      <c r="X48" s="51" t="str">
        <f t="shared" si="12"/>
        <v>37165IF-TRANSCO/Z6</v>
      </c>
      <c r="Y48" s="431">
        <f t="shared" si="31"/>
        <v>50</v>
      </c>
      <c r="AA48" s="128">
        <f t="shared" si="55"/>
        <v>37438</v>
      </c>
      <c r="AB48" s="43">
        <f t="shared" si="74"/>
        <v>0</v>
      </c>
      <c r="AC48" s="43">
        <f t="shared" si="74"/>
        <v>0</v>
      </c>
      <c r="AD48" s="43">
        <f t="shared" si="74"/>
        <v>0</v>
      </c>
      <c r="AE48" s="43">
        <f t="shared" si="74"/>
        <v>0</v>
      </c>
      <c r="AF48" s="44">
        <f t="shared" si="74"/>
        <v>0</v>
      </c>
      <c r="AG48" s="44">
        <f t="shared" si="74"/>
        <v>0</v>
      </c>
      <c r="AH48" s="128">
        <f t="shared" si="56"/>
        <v>37438</v>
      </c>
      <c r="AI48" s="44">
        <f t="shared" si="38"/>
        <v>0</v>
      </c>
      <c r="AJ48" s="51"/>
      <c r="AK48" s="128">
        <f t="shared" si="57"/>
        <v>37438</v>
      </c>
      <c r="AL48" s="43">
        <f t="shared" si="75"/>
        <v>0</v>
      </c>
      <c r="AM48" s="43">
        <f t="shared" si="75"/>
        <v>0</v>
      </c>
      <c r="AN48" s="43">
        <f t="shared" si="75"/>
        <v>0</v>
      </c>
      <c r="AO48" s="43">
        <f t="shared" si="75"/>
        <v>0</v>
      </c>
      <c r="AP48" s="44">
        <f t="shared" si="75"/>
        <v>0</v>
      </c>
      <c r="AQ48" s="44">
        <f t="shared" si="75"/>
        <v>0</v>
      </c>
      <c r="AR48" s="128">
        <f t="shared" si="58"/>
        <v>37438</v>
      </c>
      <c r="AS48" s="44">
        <f t="shared" si="39"/>
        <v>0</v>
      </c>
      <c r="AT48" s="51"/>
      <c r="AU48" s="51"/>
      <c r="AV48" s="51"/>
      <c r="AW48" s="51"/>
      <c r="AX48" s="51"/>
      <c r="AY48" s="51"/>
      <c r="AZ48" s="51"/>
      <c r="BA48" s="51"/>
      <c r="BB48" s="142">
        <f t="shared" si="69"/>
        <v>37165</v>
      </c>
      <c r="BC48" s="238">
        <f>_xll.xSPRDOPT((VLOOKUP(G48,NGPrices,2,FALSE)+HLOOKUP(D48,Prices,VLOOKUP(G48,move_down,2,FALSE),FALSE)),VLOOKUP(G48,NGPrices,2,FALSE),I48,VLOOKUP(G48,NGPREVPRICES,4,FALSE),HLOOKUP(D48,PREVVOLS,VLOOKUP(G48,MOVE_DOWN2,2,FALSE),FALSE),VLOOKUP(G48,NGPREVPRICES,3,FALSE),HLOOKUP(D48,Correllate,VLOOKUP(G48,CorMove,2,FALSE),FALSE),Q48-$BC$3,R48,$BC$5)*H48-BI48</f>
        <v>256.98871808232434</v>
      </c>
      <c r="BD48" s="238">
        <f>_xll.xSPRDOPT((VLOOKUP(G48,NGPREVPRICES,2,FALSE)+HLOOKUP(D48,PREVCURVES,VLOOKUP(G48,MOVE_DOWN2,2,FALSE),FALSE)),VLOOKUP(G48,NGPREVPRICES,2,FALSE),BJ48,VLOOKUP(G48,NGPrices,4,FALSE),HLOOKUP(D48,PREVVOLS,VLOOKUP(G48,MOVE_DOWN2,2,FALSE),FALSE),VLOOKUP(G48,NGPREVPRICES,3,FALSE),HLOOKUP(D48,Correllate,VLOOKUP(G48,CorMove,2,FALSE),FALSE),Q48-$BC$3,R48,$BI$5)*H48-BI48</f>
        <v>21.319496905249252</v>
      </c>
      <c r="BE48" s="10">
        <f t="shared" si="70"/>
        <v>-4.8330606923191226</v>
      </c>
      <c r="BF48" s="238">
        <f>_xll.xSPRDOPT((VLOOKUP(G48,NGPREVPRICES,2,FALSE)+HLOOKUP(D48,PREVCURVES,VLOOKUP(G48,MOVE_DOWN2,2,FALSE),FALSE)),VLOOKUP(G48,NGPREVPRICES,2,FALSE),BJ48,VLOOKUP(G48,NGPREVPRICES,4,FALSE),HLOOKUP(D48,VOLS,VLOOKUP(G48,move_down,2,FALSE),FALSE),VLOOKUP(G48,NGPrices,3,FALSE),HLOOKUP(D48,Correllate,VLOOKUP(G48,CorMove,2,FALSE),FALSE),Q48-$BC$3,R48,$BI$5)*H48-BI48</f>
        <v>166.26363249805217</v>
      </c>
      <c r="BG48" s="238">
        <f>_xll.xSPRDOPT((VLOOKUP(G48,NGPREVPRICES,2,FALSE)+HLOOKUP(D48,PREVCURVES,VLOOKUP(G48,MOVE_DOWN2,2,FALSE),FALSE)),VLOOKUP(G48,NGPREVPRICES,2,FALSE),BJ48,VLOOKUP(G48,NGPREVPRICES,4,FALSE),HLOOKUP(D48,PREVVOLS,VLOOKUP(G48,MOVE_DOWN2,2,FALSE),FALSE),VLOOKUP(G48,NGPREVPRICES,3,FALSE),HLOOKUP(D48,Correllate,VLOOKUP(G48,CorMove,2,FALSE),FALSE),Q48-$C$3,R48,$BI$5)*H48-BI48</f>
        <v>-76.355410002259305</v>
      </c>
      <c r="BH48" s="238">
        <f t="shared" si="71"/>
        <v>363.38337679104734</v>
      </c>
      <c r="BI48" s="238">
        <f>_xll.xSPRDOPT((VLOOKUP(G48,NGPREVPRICES,2,FALSE)+HLOOKUP(D48,PREVCURVES,VLOOKUP(G48,MOVE_DOWN2,2,FALSE),FALSE)),VLOOKUP(G48,NGPREVPRICES,2,FALSE),BJ48,VLOOKUP(G48,NGPREVPRICES,4,FALSE),HLOOKUP(D48,PREVVOLS,VLOOKUP(G48,MOVE_DOWN2,2,FALSE),FALSE),VLOOKUP(G48,NGPREVPRICES,3,FALSE),HLOOKUP(D48,Correllate,VLOOKUP(G48,CorMove,2,FALSE),FALSE),Q48-$BC$3,R48,$BI$5)*H48</f>
        <v>23326.285529156008</v>
      </c>
      <c r="BJ48" s="239">
        <f t="shared" si="72"/>
        <v>0.3</v>
      </c>
      <c r="BL48" t="str">
        <f t="shared" si="73"/>
        <v>37165Curve Shift/Gamma</v>
      </c>
      <c r="BM48" t="str">
        <f t="shared" si="22"/>
        <v>37165Rho</v>
      </c>
      <c r="BN48" t="str">
        <f t="shared" si="23"/>
        <v>37165Drift</v>
      </c>
      <c r="BO48" t="str">
        <f t="shared" si="24"/>
        <v>37165Vega</v>
      </c>
      <c r="BP48" t="str">
        <f t="shared" si="25"/>
        <v>37165Theta</v>
      </c>
      <c r="BQ48" s="144" t="s">
        <v>72</v>
      </c>
      <c r="BR48" s="250">
        <f t="shared" ref="BR48:BW48" si="76">SUM(BR7:BR47)</f>
        <v>-44340.284081512145</v>
      </c>
      <c r="BS48" s="251">
        <f t="shared" si="76"/>
        <v>-1830.5300134891947</v>
      </c>
      <c r="BT48" s="251">
        <f t="shared" si="76"/>
        <v>148.00014690852504</v>
      </c>
      <c r="BU48" s="251">
        <f t="shared" si="76"/>
        <v>35264.963959809989</v>
      </c>
      <c r="BV48" s="251">
        <f t="shared" si="76"/>
        <v>-18858.485128616732</v>
      </c>
      <c r="BW48" s="247">
        <f t="shared" si="76"/>
        <v>-29616.33511689955</v>
      </c>
    </row>
    <row r="49" spans="1:68" ht="12" customHeight="1" x14ac:dyDescent="0.25">
      <c r="A49" s="141" t="s">
        <v>279</v>
      </c>
      <c r="B49" t="s">
        <v>253</v>
      </c>
      <c r="C49" s="7" t="s">
        <v>268</v>
      </c>
      <c r="D49" s="4" t="s">
        <v>7</v>
      </c>
      <c r="E49" s="4" t="s">
        <v>20</v>
      </c>
      <c r="F49" s="5" t="s">
        <v>21</v>
      </c>
      <c r="G49" s="5">
        <v>37196</v>
      </c>
      <c r="H49" s="130">
        <v>-1000000</v>
      </c>
      <c r="I49" s="4">
        <v>0.95</v>
      </c>
      <c r="J49" s="53">
        <f t="shared" si="1"/>
        <v>2.9420000000000002</v>
      </c>
      <c r="K49" s="7">
        <f t="shared" si="2"/>
        <v>0.71250000000000002</v>
      </c>
      <c r="L49" s="4">
        <f t="shared" si="3"/>
        <v>3.6545000000000001</v>
      </c>
      <c r="M49" s="159">
        <f t="shared" si="4"/>
        <v>6.9180473626196004E-2</v>
      </c>
      <c r="N49" s="4">
        <f t="shared" si="5"/>
        <v>0.26400000000000001</v>
      </c>
      <c r="O49" s="4">
        <f t="shared" si="6"/>
        <v>0.28999999999999998</v>
      </c>
      <c r="P49" s="9">
        <f t="shared" si="45"/>
        <v>0.95</v>
      </c>
      <c r="Q49" s="5">
        <f t="shared" si="54"/>
        <v>37194</v>
      </c>
      <c r="R49" s="4">
        <f t="shared" si="9"/>
        <v>1</v>
      </c>
      <c r="S49" s="160">
        <f>_xll.xSPRDOPT($L49,$J49,$I49,$M49,$O49,$N49,$P49,$Q49-$C$3,$R49,0)</f>
        <v>0.10705325794768127</v>
      </c>
      <c r="T49" s="161">
        <f>_xll.xSPRDOPT($L49,$J49,$I49,$M49,$O49,$N49,$P49,$Q49-$C$3,$R49,1)*H49</f>
        <v>-330693.56640802947</v>
      </c>
      <c r="U49" s="162">
        <f t="shared" si="46"/>
        <v>-107053.25794768127</v>
      </c>
      <c r="V49" s="161">
        <f>_xll.xSPRDOPT($L49,$J49,$I49,$M49,$O49,$N49,$P49,$Q49-$C$3,$R49,2)*H49</f>
        <v>298268.12942753843</v>
      </c>
      <c r="W49" s="161">
        <f t="shared" si="47"/>
        <v>-32425.436980491038</v>
      </c>
      <c r="X49" s="51" t="str">
        <f t="shared" ref="X49:X57" si="77">CONCATENATE(G49,D49)</f>
        <v>37196IF-TRANSCO/Z6</v>
      </c>
      <c r="Y49" s="431">
        <f t="shared" si="31"/>
        <v>-100</v>
      </c>
      <c r="AA49" s="128">
        <f t="shared" si="55"/>
        <v>37469</v>
      </c>
      <c r="AB49" s="43">
        <f t="shared" si="74"/>
        <v>0</v>
      </c>
      <c r="AC49" s="43">
        <f t="shared" si="74"/>
        <v>0</v>
      </c>
      <c r="AD49" s="43">
        <f t="shared" si="74"/>
        <v>0</v>
      </c>
      <c r="AE49" s="43">
        <f t="shared" si="74"/>
        <v>0</v>
      </c>
      <c r="AF49" s="44">
        <f t="shared" si="74"/>
        <v>0</v>
      </c>
      <c r="AG49" s="44">
        <f t="shared" si="74"/>
        <v>0</v>
      </c>
      <c r="AH49" s="128">
        <f t="shared" si="56"/>
        <v>37469</v>
      </c>
      <c r="AI49" s="44">
        <f t="shared" si="38"/>
        <v>0</v>
      </c>
      <c r="AJ49" s="51"/>
      <c r="AK49" s="128">
        <f t="shared" si="57"/>
        <v>37469</v>
      </c>
      <c r="AL49" s="43">
        <f t="shared" si="75"/>
        <v>0</v>
      </c>
      <c r="AM49" s="43">
        <f t="shared" si="75"/>
        <v>0</v>
      </c>
      <c r="AN49" s="43">
        <f t="shared" si="75"/>
        <v>0</v>
      </c>
      <c r="AO49" s="43">
        <f t="shared" si="75"/>
        <v>0</v>
      </c>
      <c r="AP49" s="44">
        <f t="shared" si="75"/>
        <v>0</v>
      </c>
      <c r="AQ49" s="44">
        <f t="shared" si="75"/>
        <v>0</v>
      </c>
      <c r="AR49" s="128">
        <f t="shared" si="58"/>
        <v>37469</v>
      </c>
      <c r="AS49" s="44">
        <f t="shared" si="39"/>
        <v>0</v>
      </c>
      <c r="AT49" s="51"/>
      <c r="AU49" s="51"/>
      <c r="AV49" s="51"/>
      <c r="AW49" s="51"/>
      <c r="AX49" s="51"/>
      <c r="AY49" s="51"/>
      <c r="AZ49" s="51"/>
      <c r="BA49" s="51"/>
      <c r="BB49" s="142">
        <f t="shared" ref="BB49:BB59" si="78">G49</f>
        <v>37196</v>
      </c>
      <c r="BC49" s="238">
        <f>_xll.xSPRDOPT((VLOOKUP(G49,NGPrices,2,FALSE)+HLOOKUP(D49,Prices,VLOOKUP(G49,move_down,2,FALSE),FALSE)),VLOOKUP(G49,NGPrices,2,FALSE),I49,VLOOKUP(G49,NGPREVPRICES,4,FALSE),HLOOKUP(D49,PREVVOLS,VLOOKUP(G49,MOVE_DOWN2,2,FALSE),FALSE),VLOOKUP(G49,NGPREVPRICES,3,FALSE),HLOOKUP(D49,Correllate,VLOOKUP(G49,CorMove,2,FALSE),FALSE),Q49-$BC$3,R49,$BC$5)*H49-BI49</f>
        <v>-973.13960607150511</v>
      </c>
      <c r="BD49" s="238">
        <f>_xll.xSPRDOPT((VLOOKUP(G49,NGPREVPRICES,2,FALSE)+HLOOKUP(D49,PREVCURVES,VLOOKUP(G49,MOVE_DOWN2,2,FALSE),FALSE)),VLOOKUP(G49,NGPREVPRICES,2,FALSE),BJ49,VLOOKUP(G49,NGPrices,4,FALSE),HLOOKUP(D49,PREVVOLS,VLOOKUP(G49,MOVE_DOWN2,2,FALSE),FALSE),VLOOKUP(G49,NGPREVPRICES,3,FALSE),HLOOKUP(D49,Correllate,VLOOKUP(G49,CorMove,2,FALSE),FALSE),Q49-$BC$3,R49,$BI$5)*H49-BI49</f>
        <v>-108.31357999616012</v>
      </c>
      <c r="BE49" s="10">
        <f t="shared" ref="BE49:BE59" si="79">(BI49/VLOOKUP(BB49,discount,3,FALSE))-(BI49/VLOOKUP(BB49,discount,2,FALSE))</f>
        <v>22.22820439923089</v>
      </c>
      <c r="BF49" s="238">
        <f>_xll.xSPRDOPT((VLOOKUP(G49,NGPREVPRICES,2,FALSE)+HLOOKUP(D49,PREVCURVES,VLOOKUP(G49,MOVE_DOWN2,2,FALSE),FALSE)),VLOOKUP(G49,NGPREVPRICES,2,FALSE),BJ49,VLOOKUP(G49,NGPREVPRICES,4,FALSE),HLOOKUP(D49,VOLS,VLOOKUP(G49,move_down,2,FALSE),FALSE),VLOOKUP(G49,NGPrices,3,FALSE),HLOOKUP(D49,Correllate,VLOOKUP(G49,CorMove,2,FALSE),FALSE),Q49-$BC$3,R49,$BI$5)*H49-BI49</f>
        <v>0</v>
      </c>
      <c r="BG49" s="238">
        <f>_xll.xSPRDOPT((VLOOKUP(G49,NGPREVPRICES,2,FALSE)+HLOOKUP(D49,PREVCURVES,VLOOKUP(G49,MOVE_DOWN2,2,FALSE),FALSE)),VLOOKUP(G49,NGPREVPRICES,2,FALSE),BJ49,VLOOKUP(G49,NGPREVPRICES,4,FALSE),HLOOKUP(D49,PREVVOLS,VLOOKUP(G49,MOVE_DOWN2,2,FALSE),FALSE),VLOOKUP(G49,NGPREVPRICES,3,FALSE),HLOOKUP(D49,Correllate,VLOOKUP(G49,CorMove,2,FALSE),FALSE),Q49-$C$3,R49,$BI$5)*H49-BI49</f>
        <v>408.76884148968384</v>
      </c>
      <c r="BH49" s="238">
        <f t="shared" ref="BH49:BH59" si="80">SUM(BC49:BG49)</f>
        <v>-650.4561401787505</v>
      </c>
      <c r="BI49" s="238">
        <f>_xll.xSPRDOPT((VLOOKUP(G49,NGPREVPRICES,2,FALSE)+HLOOKUP(D49,PREVCURVES,VLOOKUP(G49,MOVE_DOWN2,2,FALSE),FALSE)),VLOOKUP(G49,NGPREVPRICES,2,FALSE),BJ49,VLOOKUP(G49,NGPREVPRICES,4,FALSE),HLOOKUP(D49,PREVVOLS,VLOOKUP(G49,MOVE_DOWN2,2,FALSE),FALSE),VLOOKUP(G49,NGPREVPRICES,3,FALSE),HLOOKUP(D49,Correllate,VLOOKUP(G49,CorMove,2,FALSE),FALSE),Q49-$BC$3,R49,$BI$5)*H49</f>
        <v>-106383.12867306871</v>
      </c>
      <c r="BJ49" s="239">
        <f t="shared" ref="BJ49:BJ59" si="81">I49</f>
        <v>0.95</v>
      </c>
      <c r="BL49" t="str">
        <f t="shared" ref="BL49:BL59" si="82">CONCATENATE(BB49,$BC$6)</f>
        <v>37196Curve Shift/Gamma</v>
      </c>
      <c r="BM49" t="str">
        <f t="shared" si="22"/>
        <v>37196Rho</v>
      </c>
      <c r="BN49" t="str">
        <f t="shared" si="23"/>
        <v>37196Drift</v>
      </c>
      <c r="BO49" t="str">
        <f t="shared" si="24"/>
        <v>37196Vega</v>
      </c>
      <c r="BP49" t="str">
        <f t="shared" si="25"/>
        <v>37196Theta</v>
      </c>
    </row>
    <row r="50" spans="1:68" ht="12" customHeight="1" x14ac:dyDescent="0.25">
      <c r="A50" s="141" t="s">
        <v>279</v>
      </c>
      <c r="B50" t="s">
        <v>253</v>
      </c>
      <c r="C50" s="7" t="s">
        <v>268</v>
      </c>
      <c r="D50" s="4" t="s">
        <v>7</v>
      </c>
      <c r="E50" s="4" t="s">
        <v>20</v>
      </c>
      <c r="F50" s="5" t="s">
        <v>21</v>
      </c>
      <c r="G50" s="5">
        <v>37226</v>
      </c>
      <c r="H50" s="130">
        <v>-1000000</v>
      </c>
      <c r="I50" s="4">
        <v>0.95</v>
      </c>
      <c r="J50" s="53">
        <f t="shared" si="1"/>
        <v>3.044</v>
      </c>
      <c r="K50" s="7">
        <f t="shared" si="2"/>
        <v>1.2</v>
      </c>
      <c r="L50" s="4">
        <f t="shared" si="3"/>
        <v>4.2439999999999998</v>
      </c>
      <c r="M50" s="159">
        <f t="shared" si="4"/>
        <v>6.9312487465989003E-2</v>
      </c>
      <c r="N50" s="4">
        <f t="shared" si="5"/>
        <v>0.26900000000000002</v>
      </c>
      <c r="O50" s="4">
        <f t="shared" si="6"/>
        <v>0.29599999999999999</v>
      </c>
      <c r="P50" s="9">
        <f t="shared" si="45"/>
        <v>0.95</v>
      </c>
      <c r="Q50" s="5">
        <f t="shared" si="54"/>
        <v>37224</v>
      </c>
      <c r="R50" s="4">
        <f t="shared" si="9"/>
        <v>1</v>
      </c>
      <c r="S50" s="160">
        <f>_xll.xSPRDOPT($L50,$J50,$I50,$M50,$O50,$N50,$P50,$Q50-$C$3,$R50,0)</f>
        <v>0.35492466043535675</v>
      </c>
      <c r="T50" s="161">
        <f>_xll.xSPRDOPT($L50,$J50,$I50,$M50,$O50,$N50,$P50,$Q50-$C$3,$R50,1)*H50</f>
        <v>-618471.56898804998</v>
      </c>
      <c r="U50" s="162">
        <f t="shared" si="46"/>
        <v>-354924.66043535678</v>
      </c>
      <c r="V50" s="161">
        <f>_xll.xSPRDOPT($L50,$J50,$I50,$M50,$O50,$N50,$P50,$Q50-$C$3,$R50,2)*H50</f>
        <v>586381.11532826431</v>
      </c>
      <c r="W50" s="161">
        <f t="shared" si="47"/>
        <v>-32090.453659785679</v>
      </c>
      <c r="X50" s="51" t="str">
        <f t="shared" si="77"/>
        <v>37226IF-TRANSCO/Z6</v>
      </c>
      <c r="Y50" s="431">
        <f t="shared" si="31"/>
        <v>-100</v>
      </c>
      <c r="AA50" s="128">
        <f t="shared" si="55"/>
        <v>37500</v>
      </c>
      <c r="AB50" s="43">
        <f t="shared" si="74"/>
        <v>0</v>
      </c>
      <c r="AC50" s="43">
        <f t="shared" si="74"/>
        <v>0</v>
      </c>
      <c r="AD50" s="43">
        <f t="shared" si="74"/>
        <v>0</v>
      </c>
      <c r="AE50" s="43">
        <f t="shared" si="74"/>
        <v>0</v>
      </c>
      <c r="AF50" s="44">
        <f t="shared" si="74"/>
        <v>0</v>
      </c>
      <c r="AG50" s="44">
        <f t="shared" si="74"/>
        <v>0</v>
      </c>
      <c r="AH50" s="128">
        <f t="shared" si="56"/>
        <v>37500</v>
      </c>
      <c r="AI50" s="44">
        <f t="shared" si="38"/>
        <v>0</v>
      </c>
      <c r="AJ50" s="51"/>
      <c r="AK50" s="128">
        <f t="shared" si="57"/>
        <v>37500</v>
      </c>
      <c r="AL50" s="43">
        <f t="shared" si="75"/>
        <v>0</v>
      </c>
      <c r="AM50" s="43">
        <f t="shared" si="75"/>
        <v>0</v>
      </c>
      <c r="AN50" s="43">
        <f t="shared" si="75"/>
        <v>0</v>
      </c>
      <c r="AO50" s="43">
        <f t="shared" si="75"/>
        <v>0</v>
      </c>
      <c r="AP50" s="44">
        <f t="shared" si="75"/>
        <v>0</v>
      </c>
      <c r="AQ50" s="44">
        <f t="shared" si="75"/>
        <v>0</v>
      </c>
      <c r="AR50" s="128">
        <f t="shared" si="58"/>
        <v>37500</v>
      </c>
      <c r="AS50" s="44">
        <f t="shared" si="39"/>
        <v>0</v>
      </c>
      <c r="AT50" s="51"/>
      <c r="AU50" s="51"/>
      <c r="AV50" s="51"/>
      <c r="AW50" s="51"/>
      <c r="AX50" s="51"/>
      <c r="AY50" s="51"/>
      <c r="AZ50" s="51"/>
      <c r="BA50" s="51"/>
      <c r="BB50" s="142">
        <f t="shared" si="78"/>
        <v>37226</v>
      </c>
      <c r="BC50" s="238">
        <f>_xll.xSPRDOPT((VLOOKUP(G50,NGPrices,2,FALSE)+HLOOKUP(D50,Prices,VLOOKUP(G50,move_down,2,FALSE),FALSE)),VLOOKUP(G50,NGPrices,2,FALSE),I50,VLOOKUP(G50,NGPREVPRICES,4,FALSE),HLOOKUP(D50,PREVVOLS,VLOOKUP(G50,MOVE_DOWN2,2,FALSE),FALSE),VLOOKUP(G50,NGPREVPRICES,3,FALSE),HLOOKUP(D50,Correllate,VLOOKUP(G50,CorMove,2,FALSE),FALSE),Q50-$BC$3,R50,$BC$5)*H50-BI50</f>
        <v>-962.38809295115061</v>
      </c>
      <c r="BD50" s="238">
        <f>_xll.xSPRDOPT((VLOOKUP(G50,NGPREVPRICES,2,FALSE)+HLOOKUP(D50,PREVCURVES,VLOOKUP(G50,MOVE_DOWN2,2,FALSE),FALSE)),VLOOKUP(G50,NGPREVPRICES,2,FALSE),BJ50,VLOOKUP(G50,NGPrices,4,FALSE),HLOOKUP(D50,PREVVOLS,VLOOKUP(G50,MOVE_DOWN2,2,FALSE),FALSE),VLOOKUP(G50,NGPREVPRICES,3,FALSE),HLOOKUP(D50,Correllate,VLOOKUP(G50,CorMove,2,FALSE),FALSE),Q50-$BC$3,R50,$BI$5)*H50-BI50</f>
        <v>-396.56722096534213</v>
      </c>
      <c r="BE50" s="10">
        <f t="shared" si="79"/>
        <v>74.549587064131629</v>
      </c>
      <c r="BF50" s="238">
        <f>_xll.xSPRDOPT((VLOOKUP(G50,NGPREVPRICES,2,FALSE)+HLOOKUP(D50,PREVCURVES,VLOOKUP(G50,MOVE_DOWN2,2,FALSE),FALSE)),VLOOKUP(G50,NGPREVPRICES,2,FALSE),BJ50,VLOOKUP(G50,NGPREVPRICES,4,FALSE),HLOOKUP(D50,VOLS,VLOOKUP(G50,move_down,2,FALSE),FALSE),VLOOKUP(G50,NGPrices,3,FALSE),HLOOKUP(D50,Correllate,VLOOKUP(G50,CorMove,2,FALSE),FALSE),Q50-$BC$3,R50,$BI$5)*H50-BI50</f>
        <v>0</v>
      </c>
      <c r="BG50" s="238">
        <f>_xll.xSPRDOPT((VLOOKUP(G50,NGPREVPRICES,2,FALSE)+HLOOKUP(D50,PREVCURVES,VLOOKUP(G50,MOVE_DOWN2,2,FALSE),FALSE)),VLOOKUP(G50,NGPREVPRICES,2,FALSE),BJ50,VLOOKUP(G50,NGPREVPRICES,4,FALSE),HLOOKUP(D50,PREVVOLS,VLOOKUP(G50,MOVE_DOWN2,2,FALSE),FALSE),VLOOKUP(G50,NGPREVPRICES,3,FALSE),HLOOKUP(D50,Correllate,VLOOKUP(G50,CorMove,2,FALSE),FALSE),Q50-$C$3,R50,$BI$5)*H50-BI50</f>
        <v>320.15130061405944</v>
      </c>
      <c r="BH50" s="238">
        <f t="shared" si="80"/>
        <v>-964.25442623830168</v>
      </c>
      <c r="BI50" s="238">
        <f>_xll.xSPRDOPT((VLOOKUP(G50,NGPREVPRICES,2,FALSE)+HLOOKUP(D50,PREVCURVES,VLOOKUP(G50,MOVE_DOWN2,2,FALSE),FALSE)),VLOOKUP(G50,NGPREVPRICES,2,FALSE),BJ50,VLOOKUP(G50,NGPREVPRICES,4,FALSE),HLOOKUP(D50,PREVVOLS,VLOOKUP(G50,MOVE_DOWN2,2,FALSE),FALSE),VLOOKUP(G50,NGPREVPRICES,3,FALSE),HLOOKUP(D50,Correllate,VLOOKUP(G50,CorMove,2,FALSE),FALSE),Q50-$BC$3,R50,$BI$5)*H50</f>
        <v>-353889.43934298132</v>
      </c>
      <c r="BJ50" s="239">
        <f t="shared" si="81"/>
        <v>0.95</v>
      </c>
      <c r="BL50" t="str">
        <f t="shared" si="82"/>
        <v>37226Curve Shift/Gamma</v>
      </c>
      <c r="BM50" t="str">
        <f t="shared" si="22"/>
        <v>37226Rho</v>
      </c>
      <c r="BN50" t="str">
        <f t="shared" si="23"/>
        <v>37226Drift</v>
      </c>
      <c r="BO50" t="str">
        <f t="shared" si="24"/>
        <v>37226Vega</v>
      </c>
      <c r="BP50" t="str">
        <f t="shared" si="25"/>
        <v>37226Theta</v>
      </c>
    </row>
    <row r="51" spans="1:68" ht="12" customHeight="1" x14ac:dyDescent="0.25">
      <c r="A51" s="141" t="s">
        <v>279</v>
      </c>
      <c r="B51" t="s">
        <v>253</v>
      </c>
      <c r="C51" s="7" t="s">
        <v>268</v>
      </c>
      <c r="D51" s="4" t="s">
        <v>7</v>
      </c>
      <c r="E51" s="4" t="s">
        <v>20</v>
      </c>
      <c r="F51" s="5" t="s">
        <v>21</v>
      </c>
      <c r="G51" s="5">
        <v>37257</v>
      </c>
      <c r="H51" s="130">
        <v>-1000000</v>
      </c>
      <c r="I51" s="4">
        <v>0.95</v>
      </c>
      <c r="J51" s="53">
        <f t="shared" si="1"/>
        <v>3.0640000000000001</v>
      </c>
      <c r="K51" s="7">
        <f t="shared" si="2"/>
        <v>1.4450000000000001</v>
      </c>
      <c r="L51" s="4">
        <f t="shared" si="3"/>
        <v>4.5090000000000003</v>
      </c>
      <c r="M51" s="159">
        <f t="shared" si="4"/>
        <v>6.9444274797342997E-2</v>
      </c>
      <c r="N51" s="4">
        <f t="shared" si="5"/>
        <v>0.27150000000000002</v>
      </c>
      <c r="O51" s="4">
        <f t="shared" si="6"/>
        <v>0.27200000000000002</v>
      </c>
      <c r="P51" s="9">
        <f t="shared" si="45"/>
        <v>0.95</v>
      </c>
      <c r="Q51" s="5">
        <f t="shared" si="54"/>
        <v>37253</v>
      </c>
      <c r="R51" s="4">
        <f t="shared" si="9"/>
        <v>1</v>
      </c>
      <c r="S51" s="160">
        <f>_xll.xSPRDOPT($L51,$J51,$I51,$M51,$O51,$N51,$P51,$Q51-$C$3,$R51,0)</f>
        <v>0.4922262234242335</v>
      </c>
      <c r="T51" s="161">
        <f>_xll.xSPRDOPT($L51,$J51,$I51,$M51,$O51,$N51,$P51,$Q51-$C$3,$R51,1)*H51</f>
        <v>-742003.9726557259</v>
      </c>
      <c r="U51" s="162">
        <f t="shared" si="46"/>
        <v>-492226.2234242335</v>
      </c>
      <c r="V51" s="161">
        <f>_xll.xSPRDOPT($L51,$J51,$I51,$M51,$O51,$N51,$P51,$Q51-$C$3,$R51,2)*H51</f>
        <v>723215.18707868224</v>
      </c>
      <c r="W51" s="161">
        <f t="shared" si="47"/>
        <v>-18788.785577043658</v>
      </c>
      <c r="X51" s="51" t="str">
        <f t="shared" si="77"/>
        <v>37257IF-TRANSCO/Z6</v>
      </c>
      <c r="Y51" s="431">
        <f t="shared" si="31"/>
        <v>-100</v>
      </c>
      <c r="Z51" s="51"/>
      <c r="AA51" s="128">
        <f t="shared" si="55"/>
        <v>37530</v>
      </c>
      <c r="AB51" s="43">
        <f t="shared" si="74"/>
        <v>0</v>
      </c>
      <c r="AC51" s="43">
        <f t="shared" si="74"/>
        <v>0</v>
      </c>
      <c r="AD51" s="43">
        <f t="shared" si="74"/>
        <v>0</v>
      </c>
      <c r="AE51" s="43">
        <f t="shared" si="74"/>
        <v>0</v>
      </c>
      <c r="AF51" s="44">
        <f t="shared" si="74"/>
        <v>0</v>
      </c>
      <c r="AG51" s="44">
        <f t="shared" si="74"/>
        <v>0</v>
      </c>
      <c r="AH51" s="128">
        <f t="shared" si="56"/>
        <v>37530</v>
      </c>
      <c r="AI51" s="44">
        <f t="shared" si="38"/>
        <v>0</v>
      </c>
      <c r="AJ51" s="51"/>
      <c r="AK51" s="128">
        <f t="shared" si="57"/>
        <v>37530</v>
      </c>
      <c r="AL51" s="43">
        <f t="shared" si="75"/>
        <v>0</v>
      </c>
      <c r="AM51" s="43">
        <f t="shared" si="75"/>
        <v>0</v>
      </c>
      <c r="AN51" s="43">
        <f t="shared" si="75"/>
        <v>0</v>
      </c>
      <c r="AO51" s="43">
        <f t="shared" si="75"/>
        <v>0</v>
      </c>
      <c r="AP51" s="44">
        <f t="shared" si="75"/>
        <v>0</v>
      </c>
      <c r="AQ51" s="44">
        <f t="shared" si="75"/>
        <v>0</v>
      </c>
      <c r="AR51" s="128">
        <f t="shared" si="58"/>
        <v>37530</v>
      </c>
      <c r="AS51" s="44">
        <f t="shared" si="39"/>
        <v>0</v>
      </c>
      <c r="AT51" s="51"/>
      <c r="AU51" s="51"/>
      <c r="AV51" s="51"/>
      <c r="AW51" s="51"/>
      <c r="AX51" s="51"/>
      <c r="AY51" s="51"/>
      <c r="AZ51" s="51"/>
      <c r="BA51" s="51"/>
      <c r="BB51" s="142">
        <f t="shared" si="78"/>
        <v>37257</v>
      </c>
      <c r="BC51" s="238">
        <f>_xll.xSPRDOPT((VLOOKUP(G51,NGPrices,2,FALSE)+HLOOKUP(D51,Prices,VLOOKUP(G51,move_down,2,FALSE),FALSE)),VLOOKUP(G51,NGPrices,2,FALSE),I51,VLOOKUP(G51,NGPREVPRICES,4,FALSE),HLOOKUP(D51,PREVVOLS,VLOOKUP(G51,MOVE_DOWN2,2,FALSE),FALSE),VLOOKUP(G51,NGPREVPRICES,3,FALSE),HLOOKUP(D51,Correllate,VLOOKUP(G51,CorMove,2,FALSE),FALSE),Q51-$BC$3,R51,$BC$5)*H51-BI51</f>
        <v>-33478.430681908387</v>
      </c>
      <c r="BD51" s="238">
        <f>_xll.xSPRDOPT((VLOOKUP(G51,NGPREVPRICES,2,FALSE)+HLOOKUP(D51,PREVCURVES,VLOOKUP(G51,MOVE_DOWN2,2,FALSE),FALSE)),VLOOKUP(G51,NGPREVPRICES,2,FALSE),BJ51,VLOOKUP(G51,NGPrices,4,FALSE),HLOOKUP(D51,PREVVOLS,VLOOKUP(G51,MOVE_DOWN2,2,FALSE),FALSE),VLOOKUP(G51,NGPREVPRICES,3,FALSE),HLOOKUP(D51,Correllate,VLOOKUP(G51,CorMove,2,FALSE),FALSE),Q51-$BC$3,R51,$BI$5)*H51-BI51</f>
        <v>-557.73884869122412</v>
      </c>
      <c r="BE51" s="10">
        <f t="shared" si="79"/>
        <v>97.326392550487071</v>
      </c>
      <c r="BF51" s="238">
        <f>_xll.xSPRDOPT((VLOOKUP(G51,NGPREVPRICES,2,FALSE)+HLOOKUP(D51,PREVCURVES,VLOOKUP(G51,MOVE_DOWN2,2,FALSE),FALSE)),VLOOKUP(G51,NGPREVPRICES,2,FALSE),BJ51,VLOOKUP(G51,NGPREVPRICES,4,FALSE),HLOOKUP(D51,VOLS,VLOOKUP(G51,move_down,2,FALSE),FALSE),VLOOKUP(G51,NGPrices,3,FALSE),HLOOKUP(D51,Correllate,VLOOKUP(G51,CorMove,2,FALSE),FALSE),Q51-$BC$3,R51,$BI$5)*H51-BI51</f>
        <v>0</v>
      </c>
      <c r="BG51" s="238">
        <f>_xll.xSPRDOPT((VLOOKUP(G51,NGPREVPRICES,2,FALSE)+HLOOKUP(D51,PREVCURVES,VLOOKUP(G51,MOVE_DOWN2,2,FALSE),FALSE)),VLOOKUP(G51,NGPREVPRICES,2,FALSE),BJ51,VLOOKUP(G51,NGPREVPRICES,4,FALSE),HLOOKUP(D51,PREVVOLS,VLOOKUP(G51,MOVE_DOWN2,2,FALSE),FALSE),VLOOKUP(G51,NGPREVPRICES,3,FALSE),HLOOKUP(D51,Correllate,VLOOKUP(G51,CorMove,2,FALSE),FALSE),Q51-$C$3,R51,$BI$5)*H51-BI51</f>
        <v>80.62050041242037</v>
      </c>
      <c r="BH51" s="238">
        <f t="shared" si="80"/>
        <v>-33858.222637636703</v>
      </c>
      <c r="BI51" s="238">
        <f>_xll.xSPRDOPT((VLOOKUP(G51,NGPREVPRICES,2,FALSE)+HLOOKUP(D51,PREVCURVES,VLOOKUP(G51,MOVE_DOWN2,2,FALSE),FALSE)),VLOOKUP(G51,NGPREVPRICES,2,FALSE),BJ51,VLOOKUP(G51,NGPREVPRICES,4,FALSE),HLOOKUP(D51,PREVVOLS,VLOOKUP(G51,MOVE_DOWN2,2,FALSE),FALSE),VLOOKUP(G51,NGPREVPRICES,3,FALSE),HLOOKUP(D51,Correllate,VLOOKUP(G51,CorMove,2,FALSE),FALSE),Q51-$BC$3,R51,$BI$5)*H51</f>
        <v>-458197.18533835514</v>
      </c>
      <c r="BJ51" s="239">
        <f t="shared" si="81"/>
        <v>0.95</v>
      </c>
      <c r="BL51" t="str">
        <f t="shared" si="82"/>
        <v>37257Curve Shift/Gamma</v>
      </c>
      <c r="BM51" t="str">
        <f t="shared" si="22"/>
        <v>37257Rho</v>
      </c>
      <c r="BN51" t="str">
        <f t="shared" si="23"/>
        <v>37257Drift</v>
      </c>
      <c r="BO51" t="str">
        <f t="shared" si="24"/>
        <v>37257Vega</v>
      </c>
      <c r="BP51" t="str">
        <f t="shared" si="25"/>
        <v>37257Theta</v>
      </c>
    </row>
    <row r="52" spans="1:68" ht="12" customHeight="1" x14ac:dyDescent="0.25">
      <c r="A52" s="141" t="s">
        <v>279</v>
      </c>
      <c r="B52" t="s">
        <v>253</v>
      </c>
      <c r="C52" s="7" t="s">
        <v>268</v>
      </c>
      <c r="D52" s="4" t="s">
        <v>7</v>
      </c>
      <c r="E52" s="4" t="s">
        <v>20</v>
      </c>
      <c r="F52" s="5" t="s">
        <v>21</v>
      </c>
      <c r="G52" s="5">
        <v>37288</v>
      </c>
      <c r="H52" s="130">
        <v>-1000000</v>
      </c>
      <c r="I52" s="4">
        <v>0.95</v>
      </c>
      <c r="J52" s="53">
        <f t="shared" si="1"/>
        <v>2.9449999999999998</v>
      </c>
      <c r="K52" s="7">
        <f t="shared" si="2"/>
        <v>1.42</v>
      </c>
      <c r="L52" s="4">
        <f t="shared" si="3"/>
        <v>4.3650000000000002</v>
      </c>
      <c r="M52" s="159">
        <f t="shared" si="4"/>
        <v>6.9569655552267004E-2</v>
      </c>
      <c r="N52" s="4">
        <f t="shared" si="5"/>
        <v>0.26650000000000001</v>
      </c>
      <c r="O52" s="4">
        <f t="shared" si="6"/>
        <v>0.29299999999999998</v>
      </c>
      <c r="P52" s="9">
        <f t="shared" si="45"/>
        <v>0.95</v>
      </c>
      <c r="Q52" s="5">
        <f t="shared" si="54"/>
        <v>37286</v>
      </c>
      <c r="R52" s="4">
        <f t="shared" si="9"/>
        <v>1</v>
      </c>
      <c r="S52" s="160">
        <f>_xll.xSPRDOPT($L52,$J52,$I52,$M52,$O52,$N52,$P52,$Q52-$C$3,$R52,0)</f>
        <v>0.49999292412736579</v>
      </c>
      <c r="T52" s="161">
        <f>_xll.xSPRDOPT($L52,$J52,$I52,$M52,$O52,$N52,$P52,$Q52-$C$3,$R52,1)*H52</f>
        <v>-699494.53860410524</v>
      </c>
      <c r="U52" s="162">
        <f t="shared" si="46"/>
        <v>-499992.92412736581</v>
      </c>
      <c r="V52" s="161">
        <f>_xll.xSPRDOPT($L52,$J52,$I52,$M52,$O52,$N52,$P52,$Q52-$C$3,$R52,2)*H52</f>
        <v>672840.81451206608</v>
      </c>
      <c r="W52" s="161">
        <f t="shared" si="47"/>
        <v>-26653.724092039163</v>
      </c>
      <c r="X52" s="51" t="str">
        <f t="shared" si="77"/>
        <v>37288IF-TRANSCO/Z6</v>
      </c>
      <c r="Y52" s="431">
        <f t="shared" si="31"/>
        <v>-100</v>
      </c>
      <c r="Z52" s="51"/>
      <c r="AA52" s="128">
        <f t="shared" si="55"/>
        <v>37561</v>
      </c>
      <c r="AB52" s="43">
        <f t="shared" si="74"/>
        <v>0</v>
      </c>
      <c r="AC52" s="43">
        <f t="shared" si="74"/>
        <v>0</v>
      </c>
      <c r="AD52" s="43">
        <f t="shared" si="74"/>
        <v>0</v>
      </c>
      <c r="AE52" s="43">
        <f t="shared" si="74"/>
        <v>0</v>
      </c>
      <c r="AF52" s="44">
        <f t="shared" si="74"/>
        <v>0</v>
      </c>
      <c r="AG52" s="44">
        <f t="shared" si="74"/>
        <v>0</v>
      </c>
      <c r="AH52" s="128">
        <f t="shared" si="56"/>
        <v>37561</v>
      </c>
      <c r="AI52" s="44">
        <f t="shared" si="38"/>
        <v>0</v>
      </c>
      <c r="AJ52" s="51"/>
      <c r="AK52" s="128">
        <f t="shared" si="57"/>
        <v>37561</v>
      </c>
      <c r="AL52" s="43">
        <f t="shared" si="75"/>
        <v>0</v>
      </c>
      <c r="AM52" s="43">
        <f t="shared" si="75"/>
        <v>0</v>
      </c>
      <c r="AN52" s="43">
        <f t="shared" si="75"/>
        <v>0</v>
      </c>
      <c r="AO52" s="43">
        <f t="shared" si="75"/>
        <v>0</v>
      </c>
      <c r="AP52" s="44">
        <f t="shared" si="75"/>
        <v>0</v>
      </c>
      <c r="AQ52" s="44">
        <f t="shared" si="75"/>
        <v>0</v>
      </c>
      <c r="AR52" s="128">
        <f t="shared" si="58"/>
        <v>37561</v>
      </c>
      <c r="AS52" s="44">
        <f t="shared" si="39"/>
        <v>0</v>
      </c>
      <c r="AT52" s="51"/>
      <c r="AU52" s="51"/>
      <c r="AV52" s="51"/>
      <c r="AW52" s="51"/>
      <c r="AX52" s="51"/>
      <c r="AY52" s="51"/>
      <c r="AZ52" s="51"/>
      <c r="BA52" s="51"/>
      <c r="BB52" s="142">
        <f t="shared" si="78"/>
        <v>37288</v>
      </c>
      <c r="BC52" s="238">
        <f>_xll.xSPRDOPT((VLOOKUP(G52,NGPrices,2,FALSE)+HLOOKUP(D52,Prices,VLOOKUP(G52,move_down,2,FALSE),FALSE)),VLOOKUP(G52,NGPrices,2,FALSE),I52,VLOOKUP(G52,NGPREVPRICES,4,FALSE),HLOOKUP(D52,PREVVOLS,VLOOKUP(G52,MOVE_DOWN2,2,FALSE),FALSE),VLOOKUP(G52,NGPREVPRICES,3,FALSE),HLOOKUP(D52,Correllate,VLOOKUP(G52,CorMove,2,FALSE),FALSE),Q52-$BC$3,R52,$BC$5)*H52-BI52</f>
        <v>-4207.9629907914205</v>
      </c>
      <c r="BD52" s="238">
        <f>_xll.xSPRDOPT((VLOOKUP(G52,NGPREVPRICES,2,FALSE)+HLOOKUP(D52,PREVCURVES,VLOOKUP(G52,MOVE_DOWN2,2,FALSE),FALSE)),VLOOKUP(G52,NGPREVPRICES,2,FALSE),BJ52,VLOOKUP(G52,NGPrices,4,FALSE),HLOOKUP(D52,PREVVOLS,VLOOKUP(G52,MOVE_DOWN2,2,FALSE),FALSE),VLOOKUP(G52,NGPREVPRICES,3,FALSE),HLOOKUP(D52,Correllate,VLOOKUP(G52,CorMove,2,FALSE),FALSE),Q52-$BC$3,R52,$BI$5)*H52-BI52</f>
        <v>-649.16050430032192</v>
      </c>
      <c r="BE52" s="10">
        <f t="shared" si="79"/>
        <v>106.05387570359744</v>
      </c>
      <c r="BF52" s="238">
        <f>_xll.xSPRDOPT((VLOOKUP(G52,NGPREVPRICES,2,FALSE)+HLOOKUP(D52,PREVCURVES,VLOOKUP(G52,MOVE_DOWN2,2,FALSE),FALSE)),VLOOKUP(G52,NGPREVPRICES,2,FALSE),BJ52,VLOOKUP(G52,NGPREVPRICES,4,FALSE),HLOOKUP(D52,VOLS,VLOOKUP(G52,move_down,2,FALSE),FALSE),VLOOKUP(G52,NGPrices,3,FALSE),HLOOKUP(D52,Correllate,VLOOKUP(G52,CorMove,2,FALSE),FALSE),Q52-$BC$3,R52,$BI$5)*H52-BI52</f>
        <v>0</v>
      </c>
      <c r="BG52" s="238">
        <f>_xll.xSPRDOPT((VLOOKUP(G52,NGPREVPRICES,2,FALSE)+HLOOKUP(D52,PREVCURVES,VLOOKUP(G52,MOVE_DOWN2,2,FALSE),FALSE)),VLOOKUP(G52,NGPREVPRICES,2,FALSE),BJ52,VLOOKUP(G52,NGPREVPRICES,4,FALSE),HLOOKUP(D52,PREVVOLS,VLOOKUP(G52,MOVE_DOWN2,2,FALSE),FALSE),VLOOKUP(G52,NGPREVPRICES,3,FALSE),HLOOKUP(D52,Correllate,VLOOKUP(G52,CorMove,2,FALSE),FALSE),Q52-$C$3,R52,$BI$5)*H52-BI52</f>
        <v>135.97568056068849</v>
      </c>
      <c r="BH52" s="238">
        <f t="shared" si="80"/>
        <v>-4615.0939388274564</v>
      </c>
      <c r="BI52" s="238">
        <f>_xll.xSPRDOPT((VLOOKUP(G52,NGPREVPRICES,2,FALSE)+HLOOKUP(D52,PREVCURVES,VLOOKUP(G52,MOVE_DOWN2,2,FALSE),FALSE)),VLOOKUP(G52,NGPREVPRICES,2,FALSE),BJ52,VLOOKUP(G52,NGPREVPRICES,4,FALSE),HLOOKUP(D52,PREVVOLS,VLOOKUP(G52,MOVE_DOWN2,2,FALSE),FALSE),VLOOKUP(G52,NGPREVPRICES,3,FALSE),HLOOKUP(D52,Correllate,VLOOKUP(G52,CorMove,2,FALSE),FALSE),Q52-$BC$3,R52,$BI$5)*H52</f>
        <v>-495267.79741357605</v>
      </c>
      <c r="BJ52" s="239">
        <f t="shared" si="81"/>
        <v>0.95</v>
      </c>
      <c r="BL52" t="str">
        <f t="shared" si="82"/>
        <v>37288Curve Shift/Gamma</v>
      </c>
      <c r="BM52" t="str">
        <f t="shared" si="22"/>
        <v>37288Rho</v>
      </c>
      <c r="BN52" t="str">
        <f t="shared" si="23"/>
        <v>37288Drift</v>
      </c>
      <c r="BO52" t="str">
        <f t="shared" si="24"/>
        <v>37288Vega</v>
      </c>
      <c r="BP52" t="str">
        <f t="shared" si="25"/>
        <v>37288Theta</v>
      </c>
    </row>
    <row r="53" spans="1:68" ht="12" customHeight="1" x14ac:dyDescent="0.25">
      <c r="A53" s="141" t="s">
        <v>279</v>
      </c>
      <c r="B53" t="s">
        <v>253</v>
      </c>
      <c r="C53" s="7" t="s">
        <v>268</v>
      </c>
      <c r="D53" s="4" t="s">
        <v>7</v>
      </c>
      <c r="E53" s="4" t="s">
        <v>20</v>
      </c>
      <c r="F53" s="5" t="s">
        <v>21</v>
      </c>
      <c r="G53" s="5">
        <v>37316</v>
      </c>
      <c r="H53" s="130">
        <v>-1000000</v>
      </c>
      <c r="I53" s="4">
        <v>0.95</v>
      </c>
      <c r="J53" s="53">
        <f t="shared" si="1"/>
        <v>2.8069999999999999</v>
      </c>
      <c r="K53" s="7">
        <f t="shared" si="2"/>
        <v>0.875</v>
      </c>
      <c r="L53" s="4">
        <f t="shared" si="3"/>
        <v>3.6819999999999999</v>
      </c>
      <c r="M53" s="159">
        <f t="shared" si="4"/>
        <v>6.9682902690216E-2</v>
      </c>
      <c r="N53" s="4">
        <f t="shared" si="5"/>
        <v>0.24399999999999999</v>
      </c>
      <c r="O53" s="4">
        <f t="shared" si="6"/>
        <v>0.26800000000000002</v>
      </c>
      <c r="P53" s="9">
        <f t="shared" si="45"/>
        <v>0.95</v>
      </c>
      <c r="Q53" s="5">
        <f t="shared" si="54"/>
        <v>37314</v>
      </c>
      <c r="R53" s="4">
        <f t="shared" si="9"/>
        <v>1</v>
      </c>
      <c r="S53" s="160">
        <f>_xll.xSPRDOPT($L53,$J53,$I53,$M53,$O53,$N53,$P53,$Q53-$C$3,$R53,0)</f>
        <v>0.16440674357997567</v>
      </c>
      <c r="T53" s="161">
        <f>_xll.xSPRDOPT($L53,$J53,$I53,$M53,$O53,$N53,$P53,$Q53-$C$3,$R53,1)*H53</f>
        <v>-428310.48513143143</v>
      </c>
      <c r="U53" s="162">
        <f t="shared" si="46"/>
        <v>-164406.74357997568</v>
      </c>
      <c r="V53" s="161">
        <f>_xll.xSPRDOPT($L53,$J53,$I53,$M53,$O53,$N53,$P53,$Q53-$C$3,$R53,2)*H53</f>
        <v>394362.73171918362</v>
      </c>
      <c r="W53" s="161">
        <f t="shared" si="47"/>
        <v>-33947.75341224781</v>
      </c>
      <c r="X53" s="51" t="str">
        <f t="shared" si="77"/>
        <v>37316IF-TRANSCO/Z6</v>
      </c>
      <c r="Y53" s="431">
        <f t="shared" si="31"/>
        <v>-100</v>
      </c>
      <c r="Z53" s="51"/>
      <c r="AA53" s="128">
        <f t="shared" si="55"/>
        <v>37591</v>
      </c>
      <c r="AB53" s="43">
        <f t="shared" si="74"/>
        <v>0</v>
      </c>
      <c r="AC53" s="43">
        <f t="shared" si="74"/>
        <v>0</v>
      </c>
      <c r="AD53" s="43">
        <f t="shared" si="74"/>
        <v>0</v>
      </c>
      <c r="AE53" s="43">
        <f t="shared" si="74"/>
        <v>0</v>
      </c>
      <c r="AF53" s="44">
        <f t="shared" si="74"/>
        <v>0</v>
      </c>
      <c r="AG53" s="44">
        <f t="shared" si="74"/>
        <v>0</v>
      </c>
      <c r="AH53" s="128">
        <f t="shared" si="56"/>
        <v>37591</v>
      </c>
      <c r="AI53" s="44">
        <f t="shared" si="38"/>
        <v>0</v>
      </c>
      <c r="AJ53" s="51"/>
      <c r="AK53" s="128">
        <f t="shared" si="57"/>
        <v>37591</v>
      </c>
      <c r="AL53" s="43">
        <f t="shared" si="75"/>
        <v>0</v>
      </c>
      <c r="AM53" s="43">
        <f t="shared" si="75"/>
        <v>0</v>
      </c>
      <c r="AN53" s="43">
        <f t="shared" si="75"/>
        <v>0</v>
      </c>
      <c r="AO53" s="43">
        <f t="shared" si="75"/>
        <v>0</v>
      </c>
      <c r="AP53" s="44">
        <f t="shared" si="75"/>
        <v>0</v>
      </c>
      <c r="AQ53" s="44">
        <f t="shared" si="75"/>
        <v>0</v>
      </c>
      <c r="AR53" s="128">
        <f t="shared" si="58"/>
        <v>37591</v>
      </c>
      <c r="AS53" s="44">
        <f t="shared" si="39"/>
        <v>0</v>
      </c>
      <c r="AT53" s="51"/>
      <c r="AU53" s="51"/>
      <c r="AV53" s="51"/>
      <c r="AW53" s="51"/>
      <c r="AX53" s="51"/>
      <c r="AY53" s="51"/>
      <c r="AZ53" s="51"/>
      <c r="BA53" s="51"/>
      <c r="BB53" s="142">
        <f t="shared" si="78"/>
        <v>37316</v>
      </c>
      <c r="BC53" s="238">
        <f>_xll.xSPRDOPT((VLOOKUP(G53,NGPrices,2,FALSE)+HLOOKUP(D53,Prices,VLOOKUP(G53,move_down,2,FALSE),FALSE)),VLOOKUP(G53,NGPrices,2,FALSE),I53,VLOOKUP(G53,NGPREVPRICES,4,FALSE),HLOOKUP(D53,PREVVOLS,VLOOKUP(G53,MOVE_DOWN2,2,FALSE),FALSE),VLOOKUP(G53,NGPREVPRICES,3,FALSE),HLOOKUP(D53,Correllate,VLOOKUP(G53,CorMove,2,FALSE),FALSE),Q53-$BC$3,R53,$BC$5)*H53-BI53</f>
        <v>-916.00490455198451</v>
      </c>
      <c r="BD53" s="238">
        <f>_xll.xSPRDOPT((VLOOKUP(G53,NGPREVPRICES,2,FALSE)+HLOOKUP(D53,PREVCURVES,VLOOKUP(G53,MOVE_DOWN2,2,FALSE),FALSE)),VLOOKUP(G53,NGPREVPRICES,2,FALSE),BJ53,VLOOKUP(G53,NGPrices,4,FALSE),HLOOKUP(D53,PREVVOLS,VLOOKUP(G53,MOVE_DOWN2,2,FALSE),FALSE),VLOOKUP(G53,NGPREVPRICES,3,FALSE),HLOOKUP(D53,Correllate,VLOOKUP(G53,CorMove,2,FALSE),FALSE),Q53-$BC$3,R53,$BI$5)*H53-BI53</f>
        <v>-228.0449023807887</v>
      </c>
      <c r="BE53" s="10">
        <f t="shared" si="79"/>
        <v>35.287729029369075</v>
      </c>
      <c r="BF53" s="238">
        <f>_xll.xSPRDOPT((VLOOKUP(G53,NGPREVPRICES,2,FALSE)+HLOOKUP(D53,PREVCURVES,VLOOKUP(G53,MOVE_DOWN2,2,FALSE),FALSE)),VLOOKUP(G53,NGPREVPRICES,2,FALSE),BJ53,VLOOKUP(G53,NGPREVPRICES,4,FALSE),HLOOKUP(D53,VOLS,VLOOKUP(G53,move_down,2,FALSE),FALSE),VLOOKUP(G53,NGPrices,3,FALSE),HLOOKUP(D53,Correllate,VLOOKUP(G53,CorMove,2,FALSE),FALSE),Q53-$BC$3,R53,$BI$5)*H53-BI53</f>
        <v>0</v>
      </c>
      <c r="BG53" s="238">
        <f>_xll.xSPRDOPT((VLOOKUP(G53,NGPREVPRICES,2,FALSE)+HLOOKUP(D53,PREVCURVES,VLOOKUP(G53,MOVE_DOWN2,2,FALSE),FALSE)),VLOOKUP(G53,NGPREVPRICES,2,FALSE),BJ53,VLOOKUP(G53,NGPREVPRICES,4,FALSE),HLOOKUP(D53,PREVVOLS,VLOOKUP(G53,MOVE_DOWN2,2,FALSE),FALSE),VLOOKUP(G53,NGPREVPRICES,3,FALSE),HLOOKUP(D53,Correllate,VLOOKUP(G53,CorMove,2,FALSE),FALSE),Q53-$C$3,R53,$BI$5)*H53-BI53</f>
        <v>327.32214720075717</v>
      </c>
      <c r="BH53" s="238">
        <f t="shared" si="80"/>
        <v>-781.43993070264696</v>
      </c>
      <c r="BI53" s="238">
        <f>_xll.xSPRDOPT((VLOOKUP(G53,NGPREVPRICES,2,FALSE)+HLOOKUP(D53,PREVCURVES,VLOOKUP(G53,MOVE_DOWN2,2,FALSE),FALSE)),VLOOKUP(G53,NGPREVPRICES,2,FALSE),BJ53,VLOOKUP(G53,NGPREVPRICES,4,FALSE),HLOOKUP(D53,PREVVOLS,VLOOKUP(G53,MOVE_DOWN2,2,FALSE),FALSE),VLOOKUP(G53,NGPREVPRICES,3,FALSE),HLOOKUP(D53,Correllate,VLOOKUP(G53,CorMove,2,FALSE),FALSE),Q53-$BC$3,R53,$BI$5)*H53</f>
        <v>-163591.74193576857</v>
      </c>
      <c r="BJ53" s="239">
        <f t="shared" si="81"/>
        <v>0.95</v>
      </c>
      <c r="BL53" t="str">
        <f t="shared" si="82"/>
        <v>37316Curve Shift/Gamma</v>
      </c>
      <c r="BM53" t="str">
        <f t="shared" si="22"/>
        <v>37316Rho</v>
      </c>
      <c r="BN53" t="str">
        <f t="shared" si="23"/>
        <v>37316Drift</v>
      </c>
      <c r="BO53" t="str">
        <f t="shared" si="24"/>
        <v>37316Vega</v>
      </c>
      <c r="BP53" t="str">
        <f t="shared" si="25"/>
        <v>37316Theta</v>
      </c>
    </row>
    <row r="54" spans="1:68" ht="12" customHeight="1" x14ac:dyDescent="0.25">
      <c r="A54" t="s">
        <v>284</v>
      </c>
      <c r="B54" t="s">
        <v>253</v>
      </c>
      <c r="C54" t="s">
        <v>285</v>
      </c>
      <c r="D54" s="4" t="s">
        <v>7</v>
      </c>
      <c r="E54" t="s">
        <v>20</v>
      </c>
      <c r="F54" t="s">
        <v>21</v>
      </c>
      <c r="G54" s="142">
        <v>36831</v>
      </c>
      <c r="H54" s="130">
        <v>900000</v>
      </c>
      <c r="I54">
        <v>1</v>
      </c>
      <c r="J54" s="53">
        <f t="shared" ref="J54:J59" si="83">VLOOKUP(G54,NGPrices,2,FALSE)</f>
        <v>3.2650000000000001</v>
      </c>
      <c r="K54" s="7">
        <f t="shared" ref="K54:K59" si="84">HLOOKUP(D54,Prices,VLOOKUP(G54,move_down,2,FALSE),FALSE)</f>
        <v>0.70750000000000002</v>
      </c>
      <c r="L54" s="4">
        <f t="shared" ref="L54:L59" si="85">K54+J54</f>
        <v>3.9725000000000001</v>
      </c>
      <c r="M54" s="159">
        <f t="shared" ref="M54:M59" si="86">VLOOKUP(G54,NGPrices,4,FALSE)</f>
        <v>6.6244373635737999E-2</v>
      </c>
      <c r="N54" s="4">
        <f t="shared" ref="N54:N59" si="87">VLOOKUP(G54,NGPrices,3,FALSE)</f>
        <v>0.42749999999999999</v>
      </c>
      <c r="O54" s="4">
        <f t="shared" ref="O54:O59" si="88">HLOOKUP(D54,VOLS,VLOOKUP(G54,move_down,2,FALSE),FALSE)</f>
        <v>0.42799999999999999</v>
      </c>
      <c r="P54" s="9">
        <f t="shared" ref="P54:P59" si="89">HLOOKUP(D54,Correllate,VLOOKUP(G54,CorMove,2,FALSE),FALSE)</f>
        <v>0.95</v>
      </c>
      <c r="Q54" s="5">
        <f t="shared" si="54"/>
        <v>36829</v>
      </c>
      <c r="R54" s="4">
        <f t="shared" ref="R54:R59" si="90">IF(F54="P",0,1)</f>
        <v>1</v>
      </c>
      <c r="S54" s="160">
        <f>_xll.xSPRDOPT($L54,$J54,$I54,$M54,$O54,$N54,$P54,$Q54-$C$3,$R54,0)</f>
        <v>7.1826802108523088E-2</v>
      </c>
      <c r="T54" s="161">
        <f>_xll.xSPRDOPT($L54,$J54,$I54,$M54,$O54,$N54,$P54,$Q54-$C$3,$R54,1)*H54</f>
        <v>250870.55909717953</v>
      </c>
      <c r="U54" s="162">
        <f t="shared" ref="U54:U59" si="91">S54*H54</f>
        <v>64644.121897670782</v>
      </c>
      <c r="V54" s="161">
        <f>_xll.xSPRDOPT($L54,$J54,$I54,$M54,$O54,$N54,$P54,$Q54-$C$3,$R54,2)*H54</f>
        <v>-227836.31160577084</v>
      </c>
      <c r="W54" s="161">
        <f t="shared" ref="W54:W59" si="92">+V54+T54</f>
        <v>23034.247491408692</v>
      </c>
      <c r="X54" s="51" t="str">
        <f t="shared" si="77"/>
        <v>36831IF-TRANSCO/Z6</v>
      </c>
      <c r="Y54" s="431">
        <f t="shared" si="31"/>
        <v>90</v>
      </c>
      <c r="Z54" s="51"/>
      <c r="AA54" s="128">
        <f t="shared" si="55"/>
        <v>37622</v>
      </c>
      <c r="AB54" s="43">
        <f t="shared" si="74"/>
        <v>0</v>
      </c>
      <c r="AC54" s="43">
        <f t="shared" si="74"/>
        <v>0</v>
      </c>
      <c r="AD54" s="43">
        <f t="shared" si="74"/>
        <v>0</v>
      </c>
      <c r="AE54" s="43">
        <f t="shared" si="74"/>
        <v>0</v>
      </c>
      <c r="AF54" s="44">
        <f t="shared" si="74"/>
        <v>0</v>
      </c>
      <c r="AG54" s="44">
        <f t="shared" si="74"/>
        <v>0</v>
      </c>
      <c r="AH54" s="128">
        <f t="shared" si="56"/>
        <v>37622</v>
      </c>
      <c r="AI54" s="44">
        <f t="shared" si="38"/>
        <v>0</v>
      </c>
      <c r="AJ54" s="51"/>
      <c r="AK54" s="128">
        <f t="shared" si="57"/>
        <v>37622</v>
      </c>
      <c r="AL54" s="43">
        <f t="shared" si="75"/>
        <v>0</v>
      </c>
      <c r="AM54" s="43">
        <f t="shared" si="75"/>
        <v>0</v>
      </c>
      <c r="AN54" s="43">
        <f t="shared" si="75"/>
        <v>0</v>
      </c>
      <c r="AO54" s="43">
        <f t="shared" si="75"/>
        <v>0</v>
      </c>
      <c r="AP54" s="44">
        <f t="shared" si="75"/>
        <v>0</v>
      </c>
      <c r="AQ54" s="44">
        <f t="shared" si="75"/>
        <v>0</v>
      </c>
      <c r="AR54" s="128">
        <f t="shared" si="58"/>
        <v>37622</v>
      </c>
      <c r="AS54" s="44">
        <f t="shared" si="39"/>
        <v>0</v>
      </c>
      <c r="AT54" s="51"/>
      <c r="AU54" s="51"/>
      <c r="AV54" s="51"/>
      <c r="AW54" s="51"/>
      <c r="AX54" s="51"/>
      <c r="AY54" s="51"/>
      <c r="AZ54" s="51"/>
      <c r="BA54" s="51"/>
      <c r="BB54" s="142">
        <f t="shared" si="78"/>
        <v>36831</v>
      </c>
      <c r="BC54" s="238">
        <f>_xll.xSPRDOPT((VLOOKUP(G54,NGPrices,2,FALSE)+HLOOKUP(D54,Prices,VLOOKUP(G54,move_down,2,FALSE),FALSE)),VLOOKUP(G54,NGPrices,2,FALSE),I54,VLOOKUP(G54,NGPREVPRICES,4,FALSE),HLOOKUP(D54,PREVVOLS,VLOOKUP(G54,MOVE_DOWN2,2,FALSE),FALSE),VLOOKUP(G54,NGPREVPRICES,3,FALSE),HLOOKUP(D54,Correllate,VLOOKUP(G54,CorMove,2,FALSE),FALSE),Q54-$BC$3,R54,$BC$5)*H54-BI54</f>
        <v>1503.4931485720954</v>
      </c>
      <c r="BD54" s="238">
        <f>_xll.xSPRDOPT((VLOOKUP(G54,NGPREVPRICES,2,FALSE)+HLOOKUP(D54,PREVCURVES,VLOOKUP(G54,MOVE_DOWN2,2,FALSE),FALSE)),VLOOKUP(G54,NGPREVPRICES,2,FALSE),BJ54,VLOOKUP(G54,NGPrices,4,FALSE),HLOOKUP(D54,PREVVOLS,VLOOKUP(G54,MOVE_DOWN2,2,FALSE),FALSE),VLOOKUP(G54,NGPREVPRICES,3,FALSE),HLOOKUP(D54,Correllate,VLOOKUP(G54,CorMove,2,FALSE),FALSE),Q54-$BC$3,R54,$BI$5)*H54-BI54</f>
        <v>2.4839309386879904</v>
      </c>
      <c r="BE54" s="10">
        <f t="shared" si="79"/>
        <v>-11.577446339222661</v>
      </c>
      <c r="BF54" s="238">
        <f>_xll.xSPRDOPT((VLOOKUP(G54,NGPREVPRICES,2,FALSE)+HLOOKUP(D54,PREVCURVES,VLOOKUP(G54,MOVE_DOWN2,2,FALSE),FALSE)),VLOOKUP(G54,NGPREVPRICES,2,FALSE),BJ54,VLOOKUP(G54,NGPREVPRICES,4,FALSE),HLOOKUP(D54,VOLS,VLOOKUP(G54,move_down,2,FALSE),FALSE),VLOOKUP(G54,NGPrices,3,FALSE),HLOOKUP(D54,Correllate,VLOOKUP(G54,CorMove,2,FALSE),FALSE),Q54-$BC$3,R54,$BI$5)*H54-BI54</f>
        <v>1528.0179134506907</v>
      </c>
      <c r="BG54" s="238">
        <f>_xll.xSPRDOPT((VLOOKUP(G54,NGPREVPRICES,2,FALSE)+HLOOKUP(D54,PREVCURVES,VLOOKUP(G54,MOVE_DOWN2,2,FALSE),FALSE)),VLOOKUP(G54,NGPREVPRICES,2,FALSE),BJ54,VLOOKUP(G54,NGPREVPRICES,4,FALSE),HLOOKUP(D54,PREVVOLS,VLOOKUP(G54,MOVE_DOWN2,2,FALSE),FALSE),VLOOKUP(G54,NGPREVPRICES,3,FALSE),HLOOKUP(D54,Correllate,VLOOKUP(G54,CorMove,2,FALSE),FALSE),Q54-$C$3,R54,$BI$5)*H54-BI54</f>
        <v>-941.77829193546495</v>
      </c>
      <c r="BH54" s="238">
        <f t="shared" si="80"/>
        <v>2080.6392546867864</v>
      </c>
      <c r="BI54" s="238">
        <f>_xll.xSPRDOPT((VLOOKUP(G54,NGPREVPRICES,2,FALSE)+HLOOKUP(D54,PREVCURVES,VLOOKUP(G54,MOVE_DOWN2,2,FALSE),FALSE)),VLOOKUP(G54,NGPREVPRICES,2,FALSE),BJ54,VLOOKUP(G54,NGPREVPRICES,4,FALSE),HLOOKUP(D54,PREVVOLS,VLOOKUP(G54,MOVE_DOWN2,2,FALSE),FALSE),VLOOKUP(G54,NGPREVPRICES,3,FALSE),HLOOKUP(D54,Correllate,VLOOKUP(G54,CorMove,2,FALSE),FALSE),Q54-$BC$3,R54,$BI$5)*H54</f>
        <v>62557.696978292093</v>
      </c>
      <c r="BJ54" s="239">
        <f t="shared" si="81"/>
        <v>1</v>
      </c>
      <c r="BL54" t="str">
        <f t="shared" si="82"/>
        <v>36831Curve Shift/Gamma</v>
      </c>
      <c r="BM54" t="str">
        <f t="shared" si="22"/>
        <v>36831Rho</v>
      </c>
      <c r="BN54" t="str">
        <f t="shared" si="23"/>
        <v>36831Drift</v>
      </c>
      <c r="BO54" t="str">
        <f t="shared" si="24"/>
        <v>36831Vega</v>
      </c>
      <c r="BP54" t="str">
        <f t="shared" si="25"/>
        <v>36831Theta</v>
      </c>
    </row>
    <row r="55" spans="1:68" ht="12" customHeight="1" x14ac:dyDescent="0.25">
      <c r="A55" t="s">
        <v>286</v>
      </c>
      <c r="B55" t="s">
        <v>253</v>
      </c>
      <c r="C55" t="s">
        <v>287</v>
      </c>
      <c r="D55" s="4" t="s">
        <v>7</v>
      </c>
      <c r="E55" t="s">
        <v>20</v>
      </c>
      <c r="F55" t="s">
        <v>1</v>
      </c>
      <c r="G55" s="142">
        <v>36831</v>
      </c>
      <c r="H55" s="130">
        <v>300000</v>
      </c>
      <c r="I55">
        <v>0.45</v>
      </c>
      <c r="J55" s="53">
        <f t="shared" si="83"/>
        <v>3.2650000000000001</v>
      </c>
      <c r="K55" s="7">
        <f t="shared" si="84"/>
        <v>0.70750000000000002</v>
      </c>
      <c r="L55" s="4">
        <f t="shared" si="85"/>
        <v>3.9725000000000001</v>
      </c>
      <c r="M55" s="159">
        <f t="shared" si="86"/>
        <v>6.6244373635737999E-2</v>
      </c>
      <c r="N55" s="4">
        <f t="shared" si="87"/>
        <v>0.42749999999999999</v>
      </c>
      <c r="O55" s="4">
        <f t="shared" si="88"/>
        <v>0.42799999999999999</v>
      </c>
      <c r="P55" s="9">
        <f t="shared" si="89"/>
        <v>0.95</v>
      </c>
      <c r="Q55" s="5">
        <f t="shared" si="54"/>
        <v>36829</v>
      </c>
      <c r="R55" s="4">
        <f t="shared" si="90"/>
        <v>0</v>
      </c>
      <c r="S55" s="160">
        <f>_xll.xSPRDOPT($L55,$J55,$I55,$M55,$O55,$N55,$P55,$Q55-$C$3,$R55,0)</f>
        <v>5.6739710102957142E-2</v>
      </c>
      <c r="T55" s="161">
        <f>_xll.xSPRDOPT($L55,$J55,$I55,$M55,$O55,$N55,$P55,$Q55-$C$3,$R55,1)*H55</f>
        <v>-68437.572742890814</v>
      </c>
      <c r="U55" s="162">
        <f t="shared" si="91"/>
        <v>17021.913030887143</v>
      </c>
      <c r="V55" s="161">
        <f>_xll.xSPRDOPT($L55,$J55,$I55,$M55,$O55,$N55,$P55,$Q55-$C$3,$R55,2)*H55</f>
        <v>76849.813800897755</v>
      </c>
      <c r="W55" s="161">
        <f t="shared" si="92"/>
        <v>8412.2410580069409</v>
      </c>
      <c r="X55" s="51" t="str">
        <f t="shared" si="77"/>
        <v>36831IF-TRANSCO/Z6</v>
      </c>
      <c r="Y55" s="431">
        <f t="shared" si="31"/>
        <v>30</v>
      </c>
      <c r="Z55" s="51"/>
      <c r="AA55" s="128">
        <f t="shared" si="55"/>
        <v>37653</v>
      </c>
      <c r="AB55" s="43">
        <f t="shared" si="74"/>
        <v>0</v>
      </c>
      <c r="AC55" s="43">
        <f t="shared" si="74"/>
        <v>0</v>
      </c>
      <c r="AD55" s="43">
        <f t="shared" si="74"/>
        <v>0</v>
      </c>
      <c r="AE55" s="43">
        <f t="shared" si="74"/>
        <v>0</v>
      </c>
      <c r="AF55" s="44">
        <f t="shared" si="74"/>
        <v>0</v>
      </c>
      <c r="AG55" s="44">
        <f t="shared" si="74"/>
        <v>0</v>
      </c>
      <c r="AH55" s="128">
        <f t="shared" si="56"/>
        <v>37653</v>
      </c>
      <c r="AI55" s="44">
        <f t="shared" si="38"/>
        <v>0</v>
      </c>
      <c r="AJ55" s="51"/>
      <c r="AK55" s="128">
        <f t="shared" si="57"/>
        <v>37653</v>
      </c>
      <c r="AL55" s="43">
        <f t="shared" si="75"/>
        <v>0</v>
      </c>
      <c r="AM55" s="43">
        <f t="shared" si="75"/>
        <v>0</v>
      </c>
      <c r="AN55" s="43">
        <f t="shared" si="75"/>
        <v>0</v>
      </c>
      <c r="AO55" s="43">
        <f t="shared" si="75"/>
        <v>0</v>
      </c>
      <c r="AP55" s="44">
        <f t="shared" si="75"/>
        <v>0</v>
      </c>
      <c r="AQ55" s="44">
        <f t="shared" si="75"/>
        <v>0</v>
      </c>
      <c r="AR55" s="128">
        <f t="shared" si="58"/>
        <v>37653</v>
      </c>
      <c r="AS55" s="44">
        <f t="shared" si="39"/>
        <v>0</v>
      </c>
      <c r="AT55" s="51"/>
      <c r="AU55" s="51"/>
      <c r="AV55" s="51"/>
      <c r="AW55" s="51"/>
      <c r="AX55" s="51"/>
      <c r="AY55" s="51"/>
      <c r="AZ55" s="51"/>
      <c r="BA55" s="51"/>
      <c r="BB55" s="142">
        <f t="shared" si="78"/>
        <v>36831</v>
      </c>
      <c r="BC55" s="238">
        <f>_xll.xSPRDOPT((VLOOKUP(G55,NGPrices,2,FALSE)+HLOOKUP(D55,Prices,VLOOKUP(G55,move_down,2,FALSE),FALSE)),VLOOKUP(G55,NGPrices,2,FALSE),I55,VLOOKUP(G55,NGPREVPRICES,4,FALSE),HLOOKUP(D55,PREVVOLS,VLOOKUP(G55,MOVE_DOWN2,2,FALSE),FALSE),VLOOKUP(G55,NGPREVPRICES,3,FALSE),HLOOKUP(D55,Correllate,VLOOKUP(G55,CorMove,2,FALSE),FALSE),Q55-$BC$3,R55,$BC$5)*H55-BI55</f>
        <v>548.68830105587949</v>
      </c>
      <c r="BD55" s="238">
        <f>_xll.xSPRDOPT((VLOOKUP(G55,NGPREVPRICES,2,FALSE)+HLOOKUP(D55,PREVCURVES,VLOOKUP(G55,MOVE_DOWN2,2,FALSE),FALSE)),VLOOKUP(G55,NGPREVPRICES,2,FALSE),BJ55,VLOOKUP(G55,NGPrices,4,FALSE),HLOOKUP(D55,PREVVOLS,VLOOKUP(G55,MOVE_DOWN2,2,FALSE),FALSE),VLOOKUP(G55,NGPREVPRICES,3,FALSE),HLOOKUP(D55,Correllate,VLOOKUP(G55,CorMove,2,FALSE),FALSE),Q55-$BC$3,R55,$BI$5)*H55-BI55</f>
        <v>0.64778233503966476</v>
      </c>
      <c r="BE55" s="10">
        <f t="shared" si="79"/>
        <v>-3.0192728417096077</v>
      </c>
      <c r="BF55" s="238">
        <f>_xll.xSPRDOPT((VLOOKUP(G55,NGPREVPRICES,2,FALSE)+HLOOKUP(D55,PREVCURVES,VLOOKUP(G55,MOVE_DOWN2,2,FALSE),FALSE)),VLOOKUP(G55,NGPREVPRICES,2,FALSE),BJ55,VLOOKUP(G55,NGPREVPRICES,4,FALSE),HLOOKUP(D55,VOLS,VLOOKUP(G55,move_down,2,FALSE),FALSE),VLOOKUP(G55,NGPrices,3,FALSE),HLOOKUP(D55,Correllate,VLOOKUP(G55,CorMove,2,FALSE),FALSE),Q55-$BC$3,R55,$BI$5)*H55-BI55</f>
        <v>414.56298650399731</v>
      </c>
      <c r="BG55" s="238">
        <f>_xll.xSPRDOPT((VLOOKUP(G55,NGPREVPRICES,2,FALSE)+HLOOKUP(D55,PREVCURVES,VLOOKUP(G55,MOVE_DOWN2,2,FALSE),FALSE)),VLOOKUP(G55,NGPREVPRICES,2,FALSE),BJ55,VLOOKUP(G55,NGPREVPRICES,4,FALSE),HLOOKUP(D55,PREVVOLS,VLOOKUP(G55,MOVE_DOWN2,2,FALSE),FALSE),VLOOKUP(G55,NGPREVPRICES,3,FALSE),HLOOKUP(D55,Correllate,VLOOKUP(G55,CorMove,2,FALSE),FALSE),Q55-$C$3,R55,$BI$5)*H55-BI55</f>
        <v>-255.61585542144712</v>
      </c>
      <c r="BH55" s="238">
        <f t="shared" si="80"/>
        <v>705.26394163175974</v>
      </c>
      <c r="BI55" s="238">
        <f>_xll.xSPRDOPT((VLOOKUP(G55,NGPREVPRICES,2,FALSE)+HLOOKUP(D55,PREVCURVES,VLOOKUP(G55,MOVE_DOWN2,2,FALSE),FALSE)),VLOOKUP(G55,NGPREVPRICES,2,FALSE),BJ55,VLOOKUP(G55,NGPREVPRICES,4,FALSE),HLOOKUP(D55,PREVVOLS,VLOOKUP(G55,MOVE_DOWN2,2,FALSE),FALSE),VLOOKUP(G55,NGPREVPRICES,3,FALSE),HLOOKUP(D55,Correllate,VLOOKUP(G55,CorMove,2,FALSE),FALSE),Q55-$BC$3,R55,$BI$5)*H55</f>
        <v>16314.371061822896</v>
      </c>
      <c r="BJ55" s="239">
        <f t="shared" si="81"/>
        <v>0.45</v>
      </c>
      <c r="BL55" t="str">
        <f t="shared" si="82"/>
        <v>36831Curve Shift/Gamma</v>
      </c>
      <c r="BM55" t="str">
        <f t="shared" si="22"/>
        <v>36831Rho</v>
      </c>
      <c r="BN55" t="str">
        <f t="shared" si="23"/>
        <v>36831Drift</v>
      </c>
      <c r="BO55" t="str">
        <f t="shared" si="24"/>
        <v>36831Vega</v>
      </c>
      <c r="BP55" t="str">
        <f t="shared" si="25"/>
        <v>36831Theta</v>
      </c>
    </row>
    <row r="56" spans="1:68" ht="12" customHeight="1" x14ac:dyDescent="0.25">
      <c r="A56" t="s">
        <v>288</v>
      </c>
      <c r="B56" t="s">
        <v>253</v>
      </c>
      <c r="C56" t="s">
        <v>289</v>
      </c>
      <c r="D56" s="4" t="s">
        <v>7</v>
      </c>
      <c r="E56" t="s">
        <v>20</v>
      </c>
      <c r="F56" t="s">
        <v>1</v>
      </c>
      <c r="G56" s="142">
        <v>36831</v>
      </c>
      <c r="H56" s="130">
        <v>900000</v>
      </c>
      <c r="I56">
        <v>0.45</v>
      </c>
      <c r="J56" s="53">
        <f t="shared" si="83"/>
        <v>3.2650000000000001</v>
      </c>
      <c r="K56" s="7">
        <f t="shared" si="84"/>
        <v>0.70750000000000002</v>
      </c>
      <c r="L56" s="4">
        <f t="shared" si="85"/>
        <v>3.9725000000000001</v>
      </c>
      <c r="M56" s="159">
        <f t="shared" si="86"/>
        <v>6.6244373635737999E-2</v>
      </c>
      <c r="N56" s="4">
        <f t="shared" si="87"/>
        <v>0.42749999999999999</v>
      </c>
      <c r="O56" s="4">
        <f t="shared" si="88"/>
        <v>0.42799999999999999</v>
      </c>
      <c r="P56" s="9">
        <f t="shared" si="89"/>
        <v>0.95</v>
      </c>
      <c r="Q56" s="5">
        <f t="shared" si="54"/>
        <v>36829</v>
      </c>
      <c r="R56" s="4">
        <f t="shared" si="90"/>
        <v>0</v>
      </c>
      <c r="S56" s="160">
        <f>_xll.xSPRDOPT($L56,$J56,$I56,$M56,$O56,$N56,$P56,$Q56-$C$3,$R56,0)</f>
        <v>5.6739710102957142E-2</v>
      </c>
      <c r="T56" s="161">
        <f>_xll.xSPRDOPT($L56,$J56,$I56,$M56,$O56,$N56,$P56,$Q56-$C$3,$R56,1)*H56</f>
        <v>-205312.71822867246</v>
      </c>
      <c r="U56" s="162">
        <f t="shared" si="91"/>
        <v>51065.739092661424</v>
      </c>
      <c r="V56" s="161">
        <f>_xll.xSPRDOPT($L56,$J56,$I56,$M56,$O56,$N56,$P56,$Q56-$C$3,$R56,2)*H56</f>
        <v>230549.44140269328</v>
      </c>
      <c r="W56" s="161">
        <f t="shared" si="92"/>
        <v>25236.723174020823</v>
      </c>
      <c r="X56" s="51" t="str">
        <f t="shared" si="77"/>
        <v>36831IF-TRANSCO/Z6</v>
      </c>
      <c r="Y56" s="431">
        <f t="shared" si="31"/>
        <v>90</v>
      </c>
      <c r="Z56" s="51"/>
      <c r="AA56" s="128">
        <f t="shared" si="55"/>
        <v>37681</v>
      </c>
      <c r="AB56" s="43">
        <f t="shared" si="74"/>
        <v>0</v>
      </c>
      <c r="AC56" s="43">
        <f t="shared" si="74"/>
        <v>0</v>
      </c>
      <c r="AD56" s="43">
        <f t="shared" si="74"/>
        <v>0</v>
      </c>
      <c r="AE56" s="43">
        <f t="shared" si="74"/>
        <v>0</v>
      </c>
      <c r="AF56" s="44">
        <f t="shared" si="74"/>
        <v>0</v>
      </c>
      <c r="AG56" s="44">
        <f t="shared" si="74"/>
        <v>0</v>
      </c>
      <c r="AH56" s="128">
        <f t="shared" si="56"/>
        <v>37681</v>
      </c>
      <c r="AI56" s="44">
        <f t="shared" si="38"/>
        <v>0</v>
      </c>
      <c r="AJ56" s="51"/>
      <c r="AK56" s="128">
        <f t="shared" si="57"/>
        <v>37681</v>
      </c>
      <c r="AL56" s="43">
        <f t="shared" si="75"/>
        <v>0</v>
      </c>
      <c r="AM56" s="43">
        <f t="shared" si="75"/>
        <v>0</v>
      </c>
      <c r="AN56" s="43">
        <f t="shared" si="75"/>
        <v>0</v>
      </c>
      <c r="AO56" s="43">
        <f t="shared" si="75"/>
        <v>0</v>
      </c>
      <c r="AP56" s="44">
        <f t="shared" si="75"/>
        <v>0</v>
      </c>
      <c r="AQ56" s="44">
        <f t="shared" si="75"/>
        <v>0</v>
      </c>
      <c r="AR56" s="128">
        <f t="shared" si="58"/>
        <v>37681</v>
      </c>
      <c r="AS56" s="44">
        <f t="shared" si="39"/>
        <v>0</v>
      </c>
      <c r="AT56" s="51"/>
      <c r="AU56" s="51"/>
      <c r="AV56" s="51"/>
      <c r="AW56" s="51"/>
      <c r="AX56" s="51"/>
      <c r="AY56" s="51"/>
      <c r="AZ56" s="51"/>
      <c r="BA56" s="51"/>
      <c r="BB56" s="142">
        <f t="shared" si="78"/>
        <v>36831</v>
      </c>
      <c r="BC56" s="238">
        <f>_xll.xSPRDOPT((VLOOKUP(G56,NGPrices,2,FALSE)+HLOOKUP(D56,Prices,VLOOKUP(G56,move_down,2,FALSE),FALSE)),VLOOKUP(G56,NGPrices,2,FALSE),I56,VLOOKUP(G56,NGPREVPRICES,4,FALSE),HLOOKUP(D56,PREVVOLS,VLOOKUP(G56,MOVE_DOWN2,2,FALSE),FALSE),VLOOKUP(G56,NGPREVPRICES,3,FALSE),HLOOKUP(D56,Correllate,VLOOKUP(G56,CorMove,2,FALSE),FALSE),Q56-$BC$3,R56,$BC$5)*H56-BI56</f>
        <v>1646.0649031676294</v>
      </c>
      <c r="BD56" s="238">
        <f>_xll.xSPRDOPT((VLOOKUP(G56,NGPREVPRICES,2,FALSE)+HLOOKUP(D56,PREVCURVES,VLOOKUP(G56,MOVE_DOWN2,2,FALSE),FALSE)),VLOOKUP(G56,NGPREVPRICES,2,FALSE),BJ56,VLOOKUP(G56,NGPrices,4,FALSE),HLOOKUP(D56,PREVVOLS,VLOOKUP(G56,MOVE_DOWN2,2,FALSE),FALSE),VLOOKUP(G56,NGPREVPRICES,3,FALSE),HLOOKUP(D56,Correllate,VLOOKUP(G56,CorMove,2,FALSE),FALSE),Q56-$BC$3,R56,$BI$5)*H56-BI56</f>
        <v>1.9433470051153563</v>
      </c>
      <c r="BE56" s="10">
        <f t="shared" si="79"/>
        <v>-9.0578185251288232</v>
      </c>
      <c r="BF56" s="238">
        <f>_xll.xSPRDOPT((VLOOKUP(G56,NGPREVPRICES,2,FALSE)+HLOOKUP(D56,PREVCURVES,VLOOKUP(G56,MOVE_DOWN2,2,FALSE),FALSE)),VLOOKUP(G56,NGPREVPRICES,2,FALSE),BJ56,VLOOKUP(G56,NGPREVPRICES,4,FALSE),HLOOKUP(D56,VOLS,VLOOKUP(G56,move_down,2,FALSE),FALSE),VLOOKUP(G56,NGPrices,3,FALSE),HLOOKUP(D56,Correllate,VLOOKUP(G56,CorMove,2,FALSE),FALSE),Q56-$BC$3,R56,$BI$5)*H56-BI56</f>
        <v>1243.6889595119865</v>
      </c>
      <c r="BG56" s="238">
        <f>_xll.xSPRDOPT((VLOOKUP(G56,NGPREVPRICES,2,FALSE)+HLOOKUP(D56,PREVCURVES,VLOOKUP(G56,MOVE_DOWN2,2,FALSE),FALSE)),VLOOKUP(G56,NGPREVPRICES,2,FALSE),BJ56,VLOOKUP(G56,NGPREVPRICES,4,FALSE),HLOOKUP(D56,PREVVOLS,VLOOKUP(G56,MOVE_DOWN2,2,FALSE),FALSE),VLOOKUP(G56,NGPREVPRICES,3,FALSE),HLOOKUP(D56,Correllate,VLOOKUP(G56,CorMove,2,FALSE),FALSE),Q56-$C$3,R56,$BI$5)*H56-BI56</f>
        <v>-766.84756626434682</v>
      </c>
      <c r="BH56" s="238">
        <f t="shared" si="80"/>
        <v>2115.7918248952556</v>
      </c>
      <c r="BI56" s="238">
        <f>_xll.xSPRDOPT((VLOOKUP(G56,NGPREVPRICES,2,FALSE)+HLOOKUP(D56,PREVCURVES,VLOOKUP(G56,MOVE_DOWN2,2,FALSE),FALSE)),VLOOKUP(G56,NGPREVPRICES,2,FALSE),BJ56,VLOOKUP(G56,NGPREVPRICES,4,FALSE),HLOOKUP(D56,PREVVOLS,VLOOKUP(G56,MOVE_DOWN2,2,FALSE),FALSE),VLOOKUP(G56,NGPREVPRICES,3,FALSE),HLOOKUP(D56,Correllate,VLOOKUP(G56,CorMove,2,FALSE),FALSE),Q56-$BC$3,R56,$BI$5)*H56</f>
        <v>48943.11318546869</v>
      </c>
      <c r="BJ56" s="239">
        <f t="shared" si="81"/>
        <v>0.45</v>
      </c>
      <c r="BL56" t="str">
        <f t="shared" si="82"/>
        <v>36831Curve Shift/Gamma</v>
      </c>
      <c r="BM56" t="str">
        <f t="shared" si="22"/>
        <v>36831Rho</v>
      </c>
      <c r="BN56" t="str">
        <f t="shared" si="23"/>
        <v>36831Drift</v>
      </c>
      <c r="BO56" t="str">
        <f t="shared" si="24"/>
        <v>36831Vega</v>
      </c>
      <c r="BP56" t="str">
        <f t="shared" si="25"/>
        <v>36831Theta</v>
      </c>
    </row>
    <row r="57" spans="1:68" ht="12" customHeight="1" x14ac:dyDescent="0.25">
      <c r="A57" t="s">
        <v>290</v>
      </c>
      <c r="B57" t="s">
        <v>253</v>
      </c>
      <c r="C57" t="s">
        <v>291</v>
      </c>
      <c r="D57" s="4" t="s">
        <v>7</v>
      </c>
      <c r="E57" t="s">
        <v>20</v>
      </c>
      <c r="F57" t="s">
        <v>1</v>
      </c>
      <c r="G57" s="142">
        <v>36831</v>
      </c>
      <c r="H57" s="130">
        <v>1500000</v>
      </c>
      <c r="I57">
        <v>0.45</v>
      </c>
      <c r="J57" s="53">
        <f t="shared" si="83"/>
        <v>3.2650000000000001</v>
      </c>
      <c r="K57" s="7">
        <f t="shared" si="84"/>
        <v>0.70750000000000002</v>
      </c>
      <c r="L57" s="4">
        <f t="shared" si="85"/>
        <v>3.9725000000000001</v>
      </c>
      <c r="M57" s="159">
        <f t="shared" si="86"/>
        <v>6.6244373635737999E-2</v>
      </c>
      <c r="N57" s="4">
        <f t="shared" si="87"/>
        <v>0.42749999999999999</v>
      </c>
      <c r="O57" s="4">
        <f t="shared" si="88"/>
        <v>0.42799999999999999</v>
      </c>
      <c r="P57" s="9">
        <f t="shared" si="89"/>
        <v>0.95</v>
      </c>
      <c r="Q57" s="5">
        <f t="shared" si="54"/>
        <v>36829</v>
      </c>
      <c r="R57" s="4">
        <f t="shared" si="90"/>
        <v>0</v>
      </c>
      <c r="S57" s="160">
        <f>_xll.xSPRDOPT($L57,$J57,$I57,$M57,$O57,$N57,$P57,$Q57-$C$3,$R57,0)</f>
        <v>5.6739710102957142E-2</v>
      </c>
      <c r="T57" s="161">
        <f>_xll.xSPRDOPT($L57,$J57,$I57,$M57,$O57,$N57,$P57,$Q57-$C$3,$R57,1)*H57</f>
        <v>-342187.86371445411</v>
      </c>
      <c r="U57" s="162">
        <f t="shared" si="91"/>
        <v>85109.56515443571</v>
      </c>
      <c r="V57" s="161">
        <f>_xll.xSPRDOPT($L57,$J57,$I57,$M57,$O57,$N57,$P57,$Q57-$C$3,$R57,2)*H57</f>
        <v>384249.06900448882</v>
      </c>
      <c r="W57" s="161">
        <f t="shared" si="92"/>
        <v>42061.205290034704</v>
      </c>
      <c r="X57" s="51" t="str">
        <f t="shared" si="77"/>
        <v>36831IF-TRANSCO/Z6</v>
      </c>
      <c r="Y57" s="431">
        <f t="shared" si="31"/>
        <v>150</v>
      </c>
      <c r="Z57" s="51"/>
      <c r="AA57" s="128">
        <f t="shared" si="55"/>
        <v>37712</v>
      </c>
      <c r="AB57" s="43">
        <f t="shared" ref="AB57:AG66" si="93">SUMIF($X:$X,CONCATENATE($AA57,AB$6),$T:$T)/10000</f>
        <v>0</v>
      </c>
      <c r="AC57" s="43">
        <f t="shared" si="93"/>
        <v>0</v>
      </c>
      <c r="AD57" s="43">
        <f t="shared" si="93"/>
        <v>0</v>
      </c>
      <c r="AE57" s="43">
        <f t="shared" si="93"/>
        <v>0</v>
      </c>
      <c r="AF57" s="44">
        <f t="shared" si="93"/>
        <v>0</v>
      </c>
      <c r="AG57" s="44">
        <f t="shared" si="93"/>
        <v>0</v>
      </c>
      <c r="AH57" s="128">
        <f t="shared" si="56"/>
        <v>37712</v>
      </c>
      <c r="AI57" s="44">
        <f t="shared" si="38"/>
        <v>0</v>
      </c>
      <c r="AJ57" s="51"/>
      <c r="AK57" s="128">
        <f t="shared" si="57"/>
        <v>37712</v>
      </c>
      <c r="AL57" s="43">
        <f t="shared" ref="AL57:AQ66" si="94">SUMIF($X:$X,CONCATENATE($AA57,AL$6),$W:$W)</f>
        <v>0</v>
      </c>
      <c r="AM57" s="43">
        <f t="shared" si="94"/>
        <v>0</v>
      </c>
      <c r="AN57" s="43">
        <f t="shared" si="94"/>
        <v>0</v>
      </c>
      <c r="AO57" s="43">
        <f t="shared" si="94"/>
        <v>0</v>
      </c>
      <c r="AP57" s="44">
        <f t="shared" si="94"/>
        <v>0</v>
      </c>
      <c r="AQ57" s="44">
        <f t="shared" si="94"/>
        <v>0</v>
      </c>
      <c r="AR57" s="128">
        <f t="shared" si="58"/>
        <v>37712</v>
      </c>
      <c r="AS57" s="44">
        <f t="shared" si="39"/>
        <v>0</v>
      </c>
      <c r="AT57" s="51"/>
      <c r="AU57" s="51"/>
      <c r="AV57" s="51"/>
      <c r="AW57" s="51"/>
      <c r="AX57" s="51"/>
      <c r="AY57" s="51"/>
      <c r="AZ57" s="51"/>
      <c r="BA57" s="51"/>
      <c r="BB57" s="142">
        <f t="shared" si="78"/>
        <v>36831</v>
      </c>
      <c r="BC57" s="238">
        <f>_xll.xSPRDOPT((VLOOKUP(G57,NGPrices,2,FALSE)+HLOOKUP(D57,Prices,VLOOKUP(G57,move_down,2,FALSE),FALSE)),VLOOKUP(G57,NGPrices,2,FALSE),I57,VLOOKUP(G57,NGPREVPRICES,4,FALSE),HLOOKUP(D57,PREVVOLS,VLOOKUP(G57,MOVE_DOWN2,2,FALSE),FALSE),VLOOKUP(G57,NGPREVPRICES,3,FALSE),HLOOKUP(D57,Correllate,VLOOKUP(G57,CorMove,2,FALSE),FALSE),Q57-$BC$3,R57,$BC$5)*H57-BI57</f>
        <v>2743.4415052793775</v>
      </c>
      <c r="BD57" s="238">
        <f>_xll.xSPRDOPT((VLOOKUP(G57,NGPREVPRICES,2,FALSE)+HLOOKUP(D57,PREVCURVES,VLOOKUP(G57,MOVE_DOWN2,2,FALSE),FALSE)),VLOOKUP(G57,NGPREVPRICES,2,FALSE),BJ57,VLOOKUP(G57,NGPrices,4,FALSE),HLOOKUP(D57,PREVVOLS,VLOOKUP(G57,MOVE_DOWN2,2,FALSE),FALSE),VLOOKUP(G57,NGPREVPRICES,3,FALSE),HLOOKUP(D57,Correllate,VLOOKUP(G57,CorMove,2,FALSE),FALSE),Q57-$BC$3,R57,$BI$5)*H57-BI57</f>
        <v>3.2389116751874099</v>
      </c>
      <c r="BE57" s="10">
        <f t="shared" si="79"/>
        <v>-15.096364208540763</v>
      </c>
      <c r="BF57" s="238">
        <f>_xll.xSPRDOPT((VLOOKUP(G57,NGPREVPRICES,2,FALSE)+HLOOKUP(D57,PREVCURVES,VLOOKUP(G57,MOVE_DOWN2,2,FALSE),FALSE)),VLOOKUP(G57,NGPREVPRICES,2,FALSE),BJ57,VLOOKUP(G57,NGPREVPRICES,4,FALSE),HLOOKUP(D57,VOLS,VLOOKUP(G57,move_down,2,FALSE),FALSE),VLOOKUP(G57,NGPrices,3,FALSE),HLOOKUP(D57,Correllate,VLOOKUP(G57,CorMove,2,FALSE),FALSE),Q57-$BC$3,R57,$BI$5)*H57-BI57</f>
        <v>2072.8149325199774</v>
      </c>
      <c r="BG57" s="238">
        <f>_xll.xSPRDOPT((VLOOKUP(G57,NGPREVPRICES,2,FALSE)+HLOOKUP(D57,PREVCURVES,VLOOKUP(G57,MOVE_DOWN2,2,FALSE),FALSE)),VLOOKUP(G57,NGPREVPRICES,2,FALSE),BJ57,VLOOKUP(G57,NGPREVPRICES,4,FALSE),HLOOKUP(D57,PREVVOLS,VLOOKUP(G57,MOVE_DOWN2,2,FALSE),FALSE),VLOOKUP(G57,NGPREVPRICES,3,FALSE),HLOOKUP(D57,Correllate,VLOOKUP(G57,CorMove,2,FALSE),FALSE),Q57-$C$3,R57,$BI$5)*H57-BI57</f>
        <v>-1278.0792771072447</v>
      </c>
      <c r="BH57" s="238">
        <f t="shared" si="80"/>
        <v>3526.3197081587568</v>
      </c>
      <c r="BI57" s="238">
        <f>_xll.xSPRDOPT((VLOOKUP(G57,NGPREVPRICES,2,FALSE)+HLOOKUP(D57,PREVCURVES,VLOOKUP(G57,MOVE_DOWN2,2,FALSE),FALSE)),VLOOKUP(G57,NGPREVPRICES,2,FALSE),BJ57,VLOOKUP(G57,NGPREVPRICES,4,FALSE),HLOOKUP(D57,PREVVOLS,VLOOKUP(G57,MOVE_DOWN2,2,FALSE),FALSE),VLOOKUP(G57,NGPREVPRICES,3,FALSE),HLOOKUP(D57,Correllate,VLOOKUP(G57,CorMove,2,FALSE),FALSE),Q57-$BC$3,R57,$BI$5)*H57</f>
        <v>81571.855309114486</v>
      </c>
      <c r="BJ57" s="239">
        <f t="shared" si="81"/>
        <v>0.45</v>
      </c>
      <c r="BL57" t="str">
        <f t="shared" si="82"/>
        <v>36831Curve Shift/Gamma</v>
      </c>
      <c r="BM57" t="str">
        <f t="shared" si="22"/>
        <v>36831Rho</v>
      </c>
      <c r="BN57" t="str">
        <f t="shared" si="23"/>
        <v>36831Drift</v>
      </c>
      <c r="BO57" t="str">
        <f t="shared" si="24"/>
        <v>36831Vega</v>
      </c>
      <c r="BP57" t="str">
        <f t="shared" si="25"/>
        <v>36831Theta</v>
      </c>
    </row>
    <row r="58" spans="1:68" ht="12" customHeight="1" x14ac:dyDescent="0.25">
      <c r="A58" t="s">
        <v>284</v>
      </c>
      <c r="B58" t="s">
        <v>253</v>
      </c>
      <c r="C58" t="s">
        <v>292</v>
      </c>
      <c r="D58" s="4" t="s">
        <v>7</v>
      </c>
      <c r="E58" t="s">
        <v>20</v>
      </c>
      <c r="F58" t="s">
        <v>21</v>
      </c>
      <c r="G58" s="5">
        <v>36951</v>
      </c>
      <c r="H58" s="130">
        <v>1240000</v>
      </c>
      <c r="I58">
        <v>1.25</v>
      </c>
      <c r="J58" s="53">
        <f t="shared" si="83"/>
        <v>3.0169999999999999</v>
      </c>
      <c r="K58" s="7">
        <f t="shared" si="84"/>
        <v>0.86</v>
      </c>
      <c r="L58" s="4">
        <f t="shared" si="85"/>
        <v>3.8769999999999998</v>
      </c>
      <c r="M58" s="159">
        <f t="shared" si="86"/>
        <v>6.7668917271508006E-2</v>
      </c>
      <c r="N58" s="4">
        <f t="shared" si="87"/>
        <v>0.375</v>
      </c>
      <c r="O58" s="4">
        <f t="shared" si="88"/>
        <v>0.41299999999999998</v>
      </c>
      <c r="P58" s="9">
        <f t="shared" si="89"/>
        <v>0.95</v>
      </c>
      <c r="Q58" s="5">
        <f t="shared" si="54"/>
        <v>36949</v>
      </c>
      <c r="R58" s="4">
        <f t="shared" si="90"/>
        <v>1</v>
      </c>
      <c r="S58" s="160">
        <f>_xll.xSPRDOPT($L58,$J58,$I58,$M58,$O58,$N58,$P58,$Q58-$C$3,$R58,0)</f>
        <v>0.10966510929882514</v>
      </c>
      <c r="T58" s="161">
        <f>_xll.xSPRDOPT($L58,$J58,$I58,$M58,$O58,$N58,$P58,$Q58-$C$3,$R58,1)*H58</f>
        <v>374759.06216208125</v>
      </c>
      <c r="U58" s="162">
        <f t="shared" si="91"/>
        <v>135984.73553054317</v>
      </c>
      <c r="V58" s="161">
        <f>_xll.xSPRDOPT($L58,$J58,$I58,$M58,$O58,$N58,$P58,$Q58-$C$3,$R58,2)*H58</f>
        <v>-333717.45533787279</v>
      </c>
      <c r="W58" s="161">
        <f t="shared" si="92"/>
        <v>41041.606824208458</v>
      </c>
      <c r="X58" s="51" t="str">
        <f>CONCATENATE(G58,D58)</f>
        <v>36951IF-TRANSCO/Z6</v>
      </c>
      <c r="Y58" s="431">
        <f>H58/10000</f>
        <v>124</v>
      </c>
      <c r="Z58" s="51"/>
      <c r="AA58" s="128">
        <f t="shared" si="55"/>
        <v>37742</v>
      </c>
      <c r="AB58" s="43">
        <f t="shared" si="93"/>
        <v>0</v>
      </c>
      <c r="AC58" s="43">
        <f t="shared" si="93"/>
        <v>0</v>
      </c>
      <c r="AD58" s="43">
        <f t="shared" si="93"/>
        <v>0</v>
      </c>
      <c r="AE58" s="43">
        <f t="shared" si="93"/>
        <v>0</v>
      </c>
      <c r="AF58" s="44">
        <f t="shared" si="93"/>
        <v>0</v>
      </c>
      <c r="AG58" s="44">
        <f t="shared" si="93"/>
        <v>0</v>
      </c>
      <c r="AH58" s="128">
        <f t="shared" si="56"/>
        <v>37742</v>
      </c>
      <c r="AI58" s="44">
        <f t="shared" si="38"/>
        <v>0</v>
      </c>
      <c r="AJ58" s="51"/>
      <c r="AK58" s="128">
        <f t="shared" si="57"/>
        <v>37742</v>
      </c>
      <c r="AL58" s="43">
        <f t="shared" si="94"/>
        <v>0</v>
      </c>
      <c r="AM58" s="43">
        <f t="shared" si="94"/>
        <v>0</v>
      </c>
      <c r="AN58" s="43">
        <f t="shared" si="94"/>
        <v>0</v>
      </c>
      <c r="AO58" s="43">
        <f t="shared" si="94"/>
        <v>0</v>
      </c>
      <c r="AP58" s="44">
        <f t="shared" si="94"/>
        <v>0</v>
      </c>
      <c r="AQ58" s="44">
        <f t="shared" si="94"/>
        <v>0</v>
      </c>
      <c r="AR58" s="128">
        <f t="shared" si="58"/>
        <v>37742</v>
      </c>
      <c r="AS58" s="44">
        <f t="shared" si="39"/>
        <v>0</v>
      </c>
      <c r="AT58" s="51"/>
      <c r="AU58" s="51"/>
      <c r="AV58" s="51"/>
      <c r="AW58" s="51"/>
      <c r="AX58" s="51"/>
      <c r="AY58" s="51"/>
      <c r="AZ58" s="51"/>
      <c r="BA58" s="51"/>
      <c r="BB58" s="142">
        <f t="shared" si="78"/>
        <v>36951</v>
      </c>
      <c r="BC58" s="238">
        <f>_xll.xSPRDOPT((VLOOKUP(G58,NGPrices,2,FALSE)+HLOOKUP(D58,Prices,VLOOKUP(G58,move_down,2,FALSE),FALSE)),VLOOKUP(G58,NGPrices,2,FALSE),I58,VLOOKUP(G58,NGPREVPRICES,4,FALSE),HLOOKUP(D58,PREVVOLS,VLOOKUP(G58,MOVE_DOWN2,2,FALSE),FALSE),VLOOKUP(G58,NGPREVPRICES,3,FALSE),HLOOKUP(D58,Correllate,VLOOKUP(G58,CorMove,2,FALSE),FALSE),Q58-$BC$3,R58,$BC$5)*H58-BI58</f>
        <v>-54548.096585697233</v>
      </c>
      <c r="BD58" s="238">
        <f>_xll.xSPRDOPT((VLOOKUP(G58,NGPREVPRICES,2,FALSE)+HLOOKUP(D58,PREVCURVES,VLOOKUP(G58,MOVE_DOWN2,2,FALSE),FALSE)),VLOOKUP(G58,NGPREVPRICES,2,FALSE),BJ58,VLOOKUP(G58,NGPrices,4,FALSE),HLOOKUP(D58,PREVVOLS,VLOOKUP(G58,MOVE_DOWN2,2,FALSE),FALSE),VLOOKUP(G58,NGPREVPRICES,3,FALSE),HLOOKUP(D58,Correllate,VLOOKUP(G58,CorMove,2,FALSE),FALSE),Q58-$BC$3,R58,$BI$5)*H58-BI58</f>
        <v>44.110927773115691</v>
      </c>
      <c r="BE58" s="10">
        <f t="shared" si="79"/>
        <v>-36.357311221770942</v>
      </c>
      <c r="BF58" s="238">
        <f>_xll.xSPRDOPT((VLOOKUP(G58,NGPREVPRICES,2,FALSE)+HLOOKUP(D58,PREVCURVES,VLOOKUP(G58,MOVE_DOWN2,2,FALSE),FALSE)),VLOOKUP(G58,NGPREVPRICES,2,FALSE),BJ58,VLOOKUP(G58,NGPREVPRICES,4,FALSE),HLOOKUP(D58,VOLS,VLOOKUP(G58,move_down,2,FALSE),FALSE),VLOOKUP(G58,NGPrices,3,FALSE),HLOOKUP(D58,Correllate,VLOOKUP(G58,CorMove,2,FALSE),FALSE),Q58-$BC$3,R58,$BI$5)*H58-BI58</f>
        <v>4662.5511975664704</v>
      </c>
      <c r="BG58" s="238">
        <f>_xll.xSPRDOPT((VLOOKUP(G58,NGPREVPRICES,2,FALSE)+HLOOKUP(D58,PREVCURVES,VLOOKUP(G58,MOVE_DOWN2,2,FALSE),FALSE)),VLOOKUP(G58,NGPREVPRICES,2,FALSE),BJ58,VLOOKUP(G58,NGPREVPRICES,4,FALSE),HLOOKUP(D58,PREVVOLS,VLOOKUP(G58,MOVE_DOWN2,2,FALSE),FALSE),VLOOKUP(G58,NGPREVPRICES,3,FALSE),HLOOKUP(D58,Correllate,VLOOKUP(G58,CorMove,2,FALSE),FALSE),Q58-$C$3,R58,$BI$5)*H58-BI58</f>
        <v>-1266.4724115309946</v>
      </c>
      <c r="BH58" s="238">
        <f t="shared" si="80"/>
        <v>-51144.264183110412</v>
      </c>
      <c r="BI58" s="238">
        <f>_xll.xSPRDOPT((VLOOKUP(G58,NGPREVPRICES,2,FALSE)+HLOOKUP(D58,PREVCURVES,VLOOKUP(G58,MOVE_DOWN2,2,FALSE),FALSE)),VLOOKUP(G58,NGPREVPRICES,2,FALSE),BJ58,VLOOKUP(G58,NGPREVPRICES,4,FALSE),HLOOKUP(D58,PREVVOLS,VLOOKUP(G58,MOVE_DOWN2,2,FALSE),FALSE),VLOOKUP(G58,NGPREVPRICES,3,FALSE),HLOOKUP(D58,Correllate,VLOOKUP(G58,CorMove,2,FALSE),FALSE),Q58-$BC$3,R58,$BI$5)*H58</f>
        <v>187516.8874097426</v>
      </c>
      <c r="BJ58" s="239">
        <f t="shared" si="81"/>
        <v>1.25</v>
      </c>
      <c r="BL58" t="str">
        <f t="shared" si="82"/>
        <v>36951Curve Shift/Gamma</v>
      </c>
      <c r="BM58" t="str">
        <f t="shared" si="22"/>
        <v>36951Rho</v>
      </c>
      <c r="BN58" t="str">
        <f t="shared" si="23"/>
        <v>36951Drift</v>
      </c>
      <c r="BO58" t="str">
        <f t="shared" si="24"/>
        <v>36951Vega</v>
      </c>
      <c r="BP58" t="str">
        <f t="shared" si="25"/>
        <v>36951Theta</v>
      </c>
    </row>
    <row r="59" spans="1:68" ht="12" customHeight="1" x14ac:dyDescent="0.25">
      <c r="A59" t="s">
        <v>294</v>
      </c>
      <c r="B59" t="s">
        <v>132</v>
      </c>
      <c r="C59" t="s">
        <v>293</v>
      </c>
      <c r="D59" s="4" t="s">
        <v>7</v>
      </c>
      <c r="E59" t="s">
        <v>20</v>
      </c>
      <c r="F59" t="s">
        <v>21</v>
      </c>
      <c r="G59" s="5">
        <v>36951</v>
      </c>
      <c r="H59" s="130">
        <v>-310000</v>
      </c>
      <c r="I59">
        <v>1.25</v>
      </c>
      <c r="J59" s="53">
        <f t="shared" si="83"/>
        <v>3.0169999999999999</v>
      </c>
      <c r="K59" s="7">
        <f t="shared" si="84"/>
        <v>0.86</v>
      </c>
      <c r="L59" s="4">
        <f t="shared" si="85"/>
        <v>3.8769999999999998</v>
      </c>
      <c r="M59" s="159">
        <f t="shared" si="86"/>
        <v>6.7668917271508006E-2</v>
      </c>
      <c r="N59" s="4">
        <f t="shared" si="87"/>
        <v>0.375</v>
      </c>
      <c r="O59" s="4">
        <f t="shared" si="88"/>
        <v>0.41299999999999998</v>
      </c>
      <c r="P59" s="9">
        <f t="shared" si="89"/>
        <v>0.95</v>
      </c>
      <c r="Q59" s="5">
        <f t="shared" si="54"/>
        <v>36949</v>
      </c>
      <c r="R59" s="4">
        <f t="shared" si="90"/>
        <v>1</v>
      </c>
      <c r="S59" s="160">
        <f>_xll.xSPRDOPT($L59,$J59,$I59,$M59,$O59,$N59,$P59,$Q59-$C$3,$R59,0)</f>
        <v>0.10966510929882514</v>
      </c>
      <c r="T59" s="161">
        <f>_xll.xSPRDOPT($L59,$J59,$I59,$M59,$O59,$N59,$P59,$Q59-$C$3,$R59,1)*H59</f>
        <v>-93689.765540520311</v>
      </c>
      <c r="U59" s="162">
        <f t="shared" si="91"/>
        <v>-33996.183882635793</v>
      </c>
      <c r="V59" s="161">
        <f>_xll.xSPRDOPT($L59,$J59,$I59,$M59,$O59,$N59,$P59,$Q59-$C$3,$R59,2)*H59</f>
        <v>83429.363834468197</v>
      </c>
      <c r="W59" s="161">
        <f t="shared" si="92"/>
        <v>-10260.401706052115</v>
      </c>
      <c r="X59" s="51" t="str">
        <f>CONCATENATE(G59,D59)</f>
        <v>36951IF-TRANSCO/Z6</v>
      </c>
      <c r="Y59" s="431">
        <f>H59/10000</f>
        <v>-31</v>
      </c>
      <c r="Z59" s="51"/>
      <c r="AA59" s="128">
        <f t="shared" si="55"/>
        <v>37773</v>
      </c>
      <c r="AB59" s="43">
        <f t="shared" si="93"/>
        <v>0</v>
      </c>
      <c r="AC59" s="43">
        <f t="shared" si="93"/>
        <v>0</v>
      </c>
      <c r="AD59" s="43">
        <f t="shared" si="93"/>
        <v>0</v>
      </c>
      <c r="AE59" s="43">
        <f t="shared" si="93"/>
        <v>0</v>
      </c>
      <c r="AF59" s="44">
        <f t="shared" si="93"/>
        <v>0</v>
      </c>
      <c r="AG59" s="44">
        <f t="shared" si="93"/>
        <v>0</v>
      </c>
      <c r="AH59" s="128">
        <f t="shared" si="56"/>
        <v>37773</v>
      </c>
      <c r="AI59" s="44">
        <f t="shared" si="38"/>
        <v>0</v>
      </c>
      <c r="AJ59" s="51"/>
      <c r="AK59" s="128">
        <f t="shared" si="57"/>
        <v>37773</v>
      </c>
      <c r="AL59" s="43">
        <f t="shared" si="94"/>
        <v>0</v>
      </c>
      <c r="AM59" s="43">
        <f t="shared" si="94"/>
        <v>0</v>
      </c>
      <c r="AN59" s="43">
        <f t="shared" si="94"/>
        <v>0</v>
      </c>
      <c r="AO59" s="43">
        <f t="shared" si="94"/>
        <v>0</v>
      </c>
      <c r="AP59" s="44">
        <f t="shared" si="94"/>
        <v>0</v>
      </c>
      <c r="AQ59" s="44">
        <f t="shared" si="94"/>
        <v>0</v>
      </c>
      <c r="AR59" s="128">
        <f t="shared" si="58"/>
        <v>37773</v>
      </c>
      <c r="AS59" s="44">
        <f t="shared" si="39"/>
        <v>0</v>
      </c>
      <c r="AT59" s="51"/>
      <c r="AU59" s="51"/>
      <c r="AV59" s="51"/>
      <c r="AW59" s="51"/>
      <c r="AX59" s="51"/>
      <c r="AY59" s="51"/>
      <c r="AZ59" s="51"/>
      <c r="BA59" s="51"/>
      <c r="BB59" s="142">
        <f t="shared" si="78"/>
        <v>36951</v>
      </c>
      <c r="BC59" s="238">
        <f>_xll.xSPRDOPT((VLOOKUP(G59,NGPrices,2,FALSE)+HLOOKUP(D59,Prices,VLOOKUP(G59,move_down,2,FALSE),FALSE)),VLOOKUP(G59,NGPrices,2,FALSE),I59,VLOOKUP(G59,NGPREVPRICES,4,FALSE),HLOOKUP(D59,PREVVOLS,VLOOKUP(G59,MOVE_DOWN2,2,FALSE),FALSE),VLOOKUP(G59,NGPREVPRICES,3,FALSE),HLOOKUP(D59,Correllate,VLOOKUP(G59,CorMove,2,FALSE),FALSE),Q59-$BC$3,R59,$BC$5)*H59-BI59</f>
        <v>13637.024146424308</v>
      </c>
      <c r="BD59" s="238">
        <f>_xll.xSPRDOPT((VLOOKUP(G59,NGPREVPRICES,2,FALSE)+HLOOKUP(D59,PREVCURVES,VLOOKUP(G59,MOVE_DOWN2,2,FALSE),FALSE)),VLOOKUP(G59,NGPREVPRICES,2,FALSE),BJ59,VLOOKUP(G59,NGPrices,4,FALSE),HLOOKUP(D59,PREVVOLS,VLOOKUP(G59,MOVE_DOWN2,2,FALSE),FALSE),VLOOKUP(G59,NGPREVPRICES,3,FALSE),HLOOKUP(D59,Correllate,VLOOKUP(G59,CorMove,2,FALSE),FALSE),Q59-$BC$3,R59,$BI$5)*H59-BI59</f>
        <v>-11.027731943278923</v>
      </c>
      <c r="BE59" s="10">
        <f t="shared" si="79"/>
        <v>9.0893278054427356</v>
      </c>
      <c r="BF59" s="238">
        <f>_xll.xSPRDOPT((VLOOKUP(G59,NGPREVPRICES,2,FALSE)+HLOOKUP(D59,PREVCURVES,VLOOKUP(G59,MOVE_DOWN2,2,FALSE),FALSE)),VLOOKUP(G59,NGPREVPRICES,2,FALSE),BJ59,VLOOKUP(G59,NGPREVPRICES,4,FALSE),HLOOKUP(D59,VOLS,VLOOKUP(G59,move_down,2,FALSE),FALSE),VLOOKUP(G59,NGPrices,3,FALSE),HLOOKUP(D59,Correllate,VLOOKUP(G59,CorMove,2,FALSE),FALSE),Q59-$BC$3,R59,$BI$5)*H59-BI59</f>
        <v>-1165.6377993916176</v>
      </c>
      <c r="BG59" s="238">
        <f>_xll.xSPRDOPT((VLOOKUP(G59,NGPREVPRICES,2,FALSE)+HLOOKUP(D59,PREVCURVES,VLOOKUP(G59,MOVE_DOWN2,2,FALSE),FALSE)),VLOOKUP(G59,NGPREVPRICES,2,FALSE),BJ59,VLOOKUP(G59,NGPREVPRICES,4,FALSE),HLOOKUP(D59,PREVVOLS,VLOOKUP(G59,MOVE_DOWN2,2,FALSE),FALSE),VLOOKUP(G59,NGPREVPRICES,3,FALSE),HLOOKUP(D59,Correllate,VLOOKUP(G59,CorMove,2,FALSE),FALSE),Q59-$C$3,R59,$BI$5)*H59-BI59</f>
        <v>316.61810288274864</v>
      </c>
      <c r="BH59" s="238">
        <f t="shared" si="80"/>
        <v>12786.066045777603</v>
      </c>
      <c r="BI59" s="238">
        <f>_xll.xSPRDOPT((VLOOKUP(G59,NGPREVPRICES,2,FALSE)+HLOOKUP(D59,PREVCURVES,VLOOKUP(G59,MOVE_DOWN2,2,FALSE),FALSE)),VLOOKUP(G59,NGPREVPRICES,2,FALSE),BJ59,VLOOKUP(G59,NGPREVPRICES,4,FALSE),HLOOKUP(D59,PREVVOLS,VLOOKUP(G59,MOVE_DOWN2,2,FALSE),FALSE),VLOOKUP(G59,NGPREVPRICES,3,FALSE),HLOOKUP(D59,Correllate,VLOOKUP(G59,CorMove,2,FALSE),FALSE),Q59-$BC$3,R59,$BI$5)*H59</f>
        <v>-46879.22185243565</v>
      </c>
      <c r="BJ59" s="239">
        <f t="shared" si="81"/>
        <v>1.25</v>
      </c>
      <c r="BL59" t="str">
        <f t="shared" si="82"/>
        <v>36951Curve Shift/Gamma</v>
      </c>
      <c r="BM59" t="str">
        <f t="shared" si="22"/>
        <v>36951Rho</v>
      </c>
      <c r="BN59" t="str">
        <f t="shared" si="23"/>
        <v>36951Drift</v>
      </c>
      <c r="BO59" t="str">
        <f t="shared" si="24"/>
        <v>36951Vega</v>
      </c>
      <c r="BP59" t="str">
        <f t="shared" si="25"/>
        <v>36951Theta</v>
      </c>
    </row>
    <row r="60" spans="1:68" ht="12" customHeight="1" x14ac:dyDescent="0.25">
      <c r="A60" t="s">
        <v>299</v>
      </c>
      <c r="B60" t="s">
        <v>253</v>
      </c>
      <c r="C60" t="s">
        <v>300</v>
      </c>
      <c r="D60" s="4" t="s">
        <v>9</v>
      </c>
      <c r="E60" t="s">
        <v>20</v>
      </c>
      <c r="F60" t="s">
        <v>21</v>
      </c>
      <c r="G60" s="5">
        <v>36647</v>
      </c>
      <c r="H60" s="130">
        <v>310000</v>
      </c>
      <c r="I60">
        <v>-0.32</v>
      </c>
      <c r="J60" s="53">
        <f t="shared" ref="J60:J66" si="95">VLOOKUP(G60,NGPrices,2,FALSE)</f>
        <v>3.1579999999999999</v>
      </c>
      <c r="K60" s="7">
        <f t="shared" ref="K60:K66" si="96">HLOOKUP(D60,Prices,VLOOKUP(G60,move_down,2,FALSE),FALSE)</f>
        <v>-0.34499999999999997</v>
      </c>
      <c r="L60" s="4">
        <f t="shared" ref="L60:L70" si="97">K60+J60</f>
        <v>2.8129999999999997</v>
      </c>
      <c r="M60" s="159">
        <f t="shared" ref="M60:M66" si="98">VLOOKUP(G60,NGPrices,4,FALSE)</f>
        <v>6.2683518517613002E-2</v>
      </c>
      <c r="N60" s="4">
        <f t="shared" ref="N60:N66" si="99">VLOOKUP(G60,NGPrices,3,FALSE)</f>
        <v>0.41</v>
      </c>
      <c r="O60" s="4">
        <f t="shared" ref="O60:O66" si="100">HLOOKUP(D60,VOLS,VLOOKUP(G60,move_down,2,FALSE),FALSE)</f>
        <v>0.377</v>
      </c>
      <c r="P60" s="9">
        <f t="shared" ref="P60:P66" si="101">HLOOKUP(D60,Correllate,VLOOKUP(G60,CorMove,2,FALSE),FALSE)</f>
        <v>0.96</v>
      </c>
      <c r="Q60" s="5">
        <f t="shared" si="54"/>
        <v>36643</v>
      </c>
      <c r="R60" s="4">
        <f t="shared" ref="R60:R66" si="102">IF(F60="P",0,1)</f>
        <v>1</v>
      </c>
      <c r="S60" s="160">
        <f>_xll.xSPRDOPT($L60,$J60,$I60,$M60,$O60,$N60,$P60,$Q60-$C$3,$R60,0)</f>
        <v>1.578739605507451E-2</v>
      </c>
      <c r="T60" s="161">
        <f>_xll.xSPRDOPT($L60,$J60,$I60,$M60,$O60,$N60,$P60,$Q60-$C$3,$R60,1)*H60</f>
        <v>109980.16353165914</v>
      </c>
      <c r="U60" s="162">
        <f t="shared" ref="U60:U66" si="103">S60*H60</f>
        <v>4894.0927770730977</v>
      </c>
      <c r="V60" s="161">
        <f>_xll.xSPRDOPT($L60,$J60,$I60,$M60,$O60,$N60,$P60,$Q60-$C$3,$R60,2)*H60</f>
        <v>-107878.29895132608</v>
      </c>
      <c r="W60" s="161">
        <f t="shared" ref="W60:W70" si="104">+V60+T60</f>
        <v>2101.8645803330583</v>
      </c>
      <c r="X60" s="51" t="str">
        <f t="shared" ref="X60:X66" si="105">CONCATENATE(G60,D60)</f>
        <v>36647IF-NWPL_ROCKY_M</v>
      </c>
      <c r="Y60" s="431">
        <f t="shared" ref="Y60:Y66" si="106">H60/10000</f>
        <v>31</v>
      </c>
      <c r="Z60" s="51"/>
      <c r="AA60" s="128">
        <f t="shared" si="55"/>
        <v>37803</v>
      </c>
      <c r="AB60" s="43">
        <f t="shared" si="93"/>
        <v>0</v>
      </c>
      <c r="AC60" s="43">
        <f t="shared" si="93"/>
        <v>0</v>
      </c>
      <c r="AD60" s="43">
        <f t="shared" si="93"/>
        <v>0</v>
      </c>
      <c r="AE60" s="43">
        <f t="shared" si="93"/>
        <v>0</v>
      </c>
      <c r="AF60" s="44">
        <f t="shared" si="93"/>
        <v>0</v>
      </c>
      <c r="AG60" s="44">
        <f t="shared" si="93"/>
        <v>0</v>
      </c>
      <c r="AH60" s="128">
        <f t="shared" si="56"/>
        <v>37803</v>
      </c>
      <c r="AI60" s="44">
        <f t="shared" si="38"/>
        <v>0</v>
      </c>
      <c r="AJ60" s="51"/>
      <c r="AK60" s="128">
        <f t="shared" si="57"/>
        <v>37803</v>
      </c>
      <c r="AL60" s="43">
        <f t="shared" si="94"/>
        <v>0</v>
      </c>
      <c r="AM60" s="43">
        <f t="shared" si="94"/>
        <v>0</v>
      </c>
      <c r="AN60" s="43">
        <f t="shared" si="94"/>
        <v>0</v>
      </c>
      <c r="AO60" s="43">
        <f t="shared" si="94"/>
        <v>0</v>
      </c>
      <c r="AP60" s="44">
        <f t="shared" si="94"/>
        <v>0</v>
      </c>
      <c r="AQ60" s="44">
        <f t="shared" si="94"/>
        <v>0</v>
      </c>
      <c r="AR60" s="128">
        <f t="shared" si="58"/>
        <v>37803</v>
      </c>
      <c r="AS60" s="44">
        <f t="shared" si="39"/>
        <v>0</v>
      </c>
      <c r="AT60" s="51"/>
      <c r="AU60" s="51"/>
      <c r="AV60" s="51"/>
      <c r="AW60" s="51"/>
      <c r="AX60" s="51"/>
      <c r="AY60" s="51"/>
      <c r="AZ60" s="51"/>
      <c r="BA60" s="51"/>
      <c r="BB60" s="142">
        <f t="shared" ref="BB60:BB83" si="107">G60</f>
        <v>36647</v>
      </c>
      <c r="BC60" s="238">
        <f>_xll.xSPRDOPT((VLOOKUP(G60,NGPrices,2,FALSE)+HLOOKUP(D60,Prices,VLOOKUP(G60,move_down,2,FALSE),FALSE)),VLOOKUP(G60,NGPrices,2,FALSE),I60,VLOOKUP(G60,NGPREVPRICES,4,FALSE),HLOOKUP(D60,PREVVOLS,VLOOKUP(G60,MOVE_DOWN2,2,FALSE),FALSE),VLOOKUP(G60,NGPREVPRICES,3,FALSE),HLOOKUP(D60,Correllate,VLOOKUP(G60,CorMove,2,FALSE),FALSE),Q60-$BC$3,R60,$BC$5)*H60-BI60</f>
        <v>-4343.6309465191371</v>
      </c>
      <c r="BD60" s="238">
        <f>_xll.xSPRDOPT((VLOOKUP(G60,NGPREVPRICES,2,FALSE)+HLOOKUP(D60,PREVCURVES,VLOOKUP(G60,MOVE_DOWN2,2,FALSE),FALSE)),VLOOKUP(G60,NGPREVPRICES,2,FALSE),BJ60,VLOOKUP(G60,NGPrices,4,FALSE),HLOOKUP(D60,PREVVOLS,VLOOKUP(G60,MOVE_DOWN2,2,FALSE),FALSE),VLOOKUP(G60,NGPREVPRICES,3,FALSE),HLOOKUP(D60,Correllate,VLOOKUP(G60,CorMove,2,FALSE),FALSE),Q60-$BC$3,R60,$BI$5)*H60-BI60</f>
        <v>-3.1582688074195175E-2</v>
      </c>
      <c r="BE60" s="10">
        <f t="shared" ref="BE60:BE83" si="108">(BI60/VLOOKUP(BB60,discount,3,FALSE))-(BI60/VLOOKUP(BB60,discount,2,FALSE))</f>
        <v>-1.5430191750001541</v>
      </c>
      <c r="BF60" s="238">
        <f>_xll.xSPRDOPT((VLOOKUP(G60,NGPREVPRICES,2,FALSE)+HLOOKUP(D60,PREVCURVES,VLOOKUP(G60,MOVE_DOWN2,2,FALSE),FALSE)),VLOOKUP(G60,NGPREVPRICES,2,FALSE),BJ60,VLOOKUP(G60,NGPREVPRICES,4,FALSE),HLOOKUP(D60,VOLS,VLOOKUP(G60,move_down,2,FALSE),FALSE),VLOOKUP(G60,NGPrices,3,FALSE),HLOOKUP(D60,Correllate,VLOOKUP(G60,CorMove,2,FALSE),FALSE),Q60-$BC$3,R60,$BI$5)*H60-BI60</f>
        <v>1236.444674274986</v>
      </c>
      <c r="BG60" s="238">
        <f>_xll.xSPRDOPT((VLOOKUP(G60,NGPREVPRICES,2,FALSE)+HLOOKUP(D60,PREVCURVES,VLOOKUP(G60,MOVE_DOWN2,2,FALSE),FALSE)),VLOOKUP(G60,NGPREVPRICES,2,FALSE),BJ60,VLOOKUP(G60,NGPREVPRICES,4,FALSE),HLOOKUP(D60,PREVVOLS,VLOOKUP(G60,MOVE_DOWN2,2,FALSE),FALSE),VLOOKUP(G60,NGPREVPRICES,3,FALSE),HLOOKUP(D60,Correllate,VLOOKUP(G60,CorMove,2,FALSE),FALSE),Q60-$C$3,R60,$BI$5)*H60-BI60</f>
        <v>-960.57376150401524</v>
      </c>
      <c r="BH60" s="238">
        <f t="shared" ref="BH60:BH83" si="109">SUM(BC60:BG60)</f>
        <v>-4069.3346356112406</v>
      </c>
      <c r="BI60" s="238">
        <f>_xll.xSPRDOPT((VLOOKUP(G60,NGPREVPRICES,2,FALSE)+HLOOKUP(D60,PREVCURVES,VLOOKUP(G60,MOVE_DOWN2,2,FALSE),FALSE)),VLOOKUP(G60,NGPREVPRICES,2,FALSE),BJ60,VLOOKUP(G60,NGPREVPRICES,4,FALSE),HLOOKUP(D60,PREVVOLS,VLOOKUP(G60,MOVE_DOWN2,2,FALSE),FALSE),VLOOKUP(G60,NGPREVPRICES,3,FALSE),HLOOKUP(D60,Correllate,VLOOKUP(G60,CorMove,2,FALSE),FALSE),Q60-$BC$3,R60,$BI$5)*H60</f>
        <v>9122.8039838886234</v>
      </c>
      <c r="BJ60" s="239">
        <f t="shared" ref="BJ60:BJ83" si="110">I60</f>
        <v>-0.32</v>
      </c>
      <c r="BL60" t="str">
        <f t="shared" ref="BL60:BL83" si="111">CONCATENATE(BB60,$BC$6)</f>
        <v>36647Curve Shift/Gamma</v>
      </c>
      <c r="BM60" t="str">
        <f t="shared" si="22"/>
        <v>36647Rho</v>
      </c>
      <c r="BN60" t="str">
        <f t="shared" si="23"/>
        <v>36647Drift</v>
      </c>
      <c r="BO60" t="str">
        <f t="shared" si="24"/>
        <v>36647Vega</v>
      </c>
      <c r="BP60" t="str">
        <f t="shared" si="25"/>
        <v>36647Theta</v>
      </c>
    </row>
    <row r="61" spans="1:68" ht="12" customHeight="1" x14ac:dyDescent="0.25">
      <c r="A61" t="s">
        <v>299</v>
      </c>
      <c r="B61" t="s">
        <v>253</v>
      </c>
      <c r="C61" t="s">
        <v>300</v>
      </c>
      <c r="D61" s="4" t="s">
        <v>9</v>
      </c>
      <c r="E61" t="s">
        <v>20</v>
      </c>
      <c r="F61" t="s">
        <v>21</v>
      </c>
      <c r="G61" s="5">
        <v>36678</v>
      </c>
      <c r="H61" s="130">
        <v>300000</v>
      </c>
      <c r="I61">
        <v>-0.32</v>
      </c>
      <c r="J61" s="53">
        <f t="shared" si="95"/>
        <v>3.1720000000000002</v>
      </c>
      <c r="K61" s="7">
        <f t="shared" si="96"/>
        <v>-0.34</v>
      </c>
      <c r="L61" s="4">
        <f t="shared" si="97"/>
        <v>2.8320000000000003</v>
      </c>
      <c r="M61" s="159">
        <f t="shared" si="98"/>
        <v>6.3039999833066004E-2</v>
      </c>
      <c r="N61" s="4">
        <f t="shared" si="99"/>
        <v>0.38250000000000001</v>
      </c>
      <c r="O61" s="4">
        <f t="shared" si="100"/>
        <v>0.375</v>
      </c>
      <c r="P61" s="9">
        <f t="shared" si="101"/>
        <v>0.96</v>
      </c>
      <c r="Q61" s="5">
        <f t="shared" si="54"/>
        <v>36676</v>
      </c>
      <c r="R61" s="4">
        <f t="shared" si="102"/>
        <v>1</v>
      </c>
      <c r="S61" s="160">
        <f>_xll.xSPRDOPT($L61,$J61,$I61,$M61,$O61,$N61,$P61,$Q61-$C$3,$R61,0)</f>
        <v>3.8566083010680985E-2</v>
      </c>
      <c r="T61" s="161">
        <f>_xll.xSPRDOPT($L61,$J61,$I61,$M61,$O61,$N61,$P61,$Q61-$C$3,$R61,1)*H61</f>
        <v>130957.07866581265</v>
      </c>
      <c r="U61" s="162">
        <f t="shared" si="103"/>
        <v>11569.824903204295</v>
      </c>
      <c r="V61" s="161">
        <f>_xll.xSPRDOPT($L61,$J61,$I61,$M61,$O61,$N61,$P61,$Q61-$C$3,$R61,2)*H61</f>
        <v>-126903.54300273901</v>
      </c>
      <c r="W61" s="161">
        <f t="shared" si="104"/>
        <v>4053.5356630736351</v>
      </c>
      <c r="X61" s="51" t="str">
        <f t="shared" si="105"/>
        <v>36678IF-NWPL_ROCKY_M</v>
      </c>
      <c r="Y61" s="431">
        <f t="shared" si="106"/>
        <v>30</v>
      </c>
      <c r="Z61" s="51"/>
      <c r="AA61" s="128">
        <f t="shared" si="55"/>
        <v>37834</v>
      </c>
      <c r="AB61" s="43">
        <f t="shared" si="93"/>
        <v>0</v>
      </c>
      <c r="AC61" s="43">
        <f t="shared" si="93"/>
        <v>0</v>
      </c>
      <c r="AD61" s="43">
        <f t="shared" si="93"/>
        <v>0</v>
      </c>
      <c r="AE61" s="43">
        <f t="shared" si="93"/>
        <v>0</v>
      </c>
      <c r="AF61" s="44">
        <f t="shared" si="93"/>
        <v>0</v>
      </c>
      <c r="AG61" s="44">
        <f t="shared" si="93"/>
        <v>0</v>
      </c>
      <c r="AH61" s="128">
        <f t="shared" si="56"/>
        <v>37834</v>
      </c>
      <c r="AI61" s="44">
        <f t="shared" si="38"/>
        <v>0</v>
      </c>
      <c r="AJ61" s="51"/>
      <c r="AK61" s="128">
        <f t="shared" si="57"/>
        <v>37834</v>
      </c>
      <c r="AL61" s="43">
        <f t="shared" si="94"/>
        <v>0</v>
      </c>
      <c r="AM61" s="43">
        <f t="shared" si="94"/>
        <v>0</v>
      </c>
      <c r="AN61" s="43">
        <f t="shared" si="94"/>
        <v>0</v>
      </c>
      <c r="AO61" s="43">
        <f t="shared" si="94"/>
        <v>0</v>
      </c>
      <c r="AP61" s="44">
        <f t="shared" si="94"/>
        <v>0</v>
      </c>
      <c r="AQ61" s="44">
        <f t="shared" si="94"/>
        <v>0</v>
      </c>
      <c r="AR61" s="128">
        <f t="shared" si="58"/>
        <v>37834</v>
      </c>
      <c r="AS61" s="44">
        <f t="shared" si="39"/>
        <v>0</v>
      </c>
      <c r="AT61" s="51"/>
      <c r="AU61" s="51"/>
      <c r="AV61" s="51"/>
      <c r="AW61" s="51"/>
      <c r="AX61" s="51"/>
      <c r="AY61" s="51"/>
      <c r="AZ61" s="51"/>
      <c r="BA61" s="51"/>
      <c r="BB61" s="142">
        <f t="shared" si="107"/>
        <v>36678</v>
      </c>
      <c r="BC61" s="238">
        <f>_xll.xSPRDOPT((VLOOKUP(G61,NGPrices,2,FALSE)+HLOOKUP(D61,Prices,VLOOKUP(G61,move_down,2,FALSE),FALSE)),VLOOKUP(G61,NGPrices,2,FALSE),I61,VLOOKUP(G61,NGPREVPRICES,4,FALSE),HLOOKUP(D61,PREVVOLS,VLOOKUP(G61,MOVE_DOWN2,2,FALSE),FALSE),VLOOKUP(G61,NGPREVPRICES,3,FALSE),HLOOKUP(D61,Correllate,VLOOKUP(G61,CorMove,2,FALSE),FALSE),Q61-$BC$3,R61,$BC$5)*H61-BI61</f>
        <v>-3236.5608124818027</v>
      </c>
      <c r="BD61" s="238">
        <f>_xll.xSPRDOPT((VLOOKUP(G61,NGPREVPRICES,2,FALSE)+HLOOKUP(D61,PREVCURVES,VLOOKUP(G61,MOVE_DOWN2,2,FALSE),FALSE)),VLOOKUP(G61,NGPREVPRICES,2,FALSE),BJ61,VLOOKUP(G61,NGPrices,4,FALSE),HLOOKUP(D61,PREVVOLS,VLOOKUP(G61,MOVE_DOWN2,2,FALSE),FALSE),VLOOKUP(G61,NGPREVPRICES,3,FALSE),HLOOKUP(D61,Correllate,VLOOKUP(G61,CorMove,2,FALSE),FALSE),Q61-$BC$3,R61,$BI$5)*H61-BI61</f>
        <v>-4.7504926291367155E-2</v>
      </c>
      <c r="BE61" s="10">
        <f t="shared" si="108"/>
        <v>-2.5522116685679066</v>
      </c>
      <c r="BF61" s="238">
        <f>_xll.xSPRDOPT((VLOOKUP(G61,NGPREVPRICES,2,FALSE)+HLOOKUP(D61,PREVCURVES,VLOOKUP(G61,MOVE_DOWN2,2,FALSE),FALSE)),VLOOKUP(G61,NGPREVPRICES,2,FALSE),BJ61,VLOOKUP(G61,NGPREVPRICES,4,FALSE),HLOOKUP(D61,VOLS,VLOOKUP(G61,move_down,2,FALSE),FALSE),VLOOKUP(G61,NGPrices,3,FALSE),HLOOKUP(D61,Correllate,VLOOKUP(G61,CorMove,2,FALSE),FALSE),Q61-$BC$3,R61,$BI$5)*H61-BI61</f>
        <v>373.29969123867158</v>
      </c>
      <c r="BG61" s="238">
        <f>_xll.xSPRDOPT((VLOOKUP(G61,NGPREVPRICES,2,FALSE)+HLOOKUP(D61,PREVCURVES,VLOOKUP(G61,MOVE_DOWN2,2,FALSE),FALSE)),VLOOKUP(G61,NGPREVPRICES,2,FALSE),BJ61,VLOOKUP(G61,NGPREVPRICES,4,FALSE),HLOOKUP(D61,PREVVOLS,VLOOKUP(G61,MOVE_DOWN2,2,FALSE),FALSE),VLOOKUP(G61,NGPREVPRICES,3,FALSE),HLOOKUP(D61,Correllate,VLOOKUP(G61,CorMove,2,FALSE),FALSE),Q61-$C$3,R61,$BI$5)*H61-BI61</f>
        <v>-461.59759981906791</v>
      </c>
      <c r="BH61" s="238">
        <f t="shared" si="109"/>
        <v>-3327.4584376570583</v>
      </c>
      <c r="BI61" s="238">
        <f>_xll.xSPRDOPT((VLOOKUP(G61,NGPREVPRICES,2,FALSE)+HLOOKUP(D61,PREVCURVES,VLOOKUP(G61,MOVE_DOWN2,2,FALSE),FALSE)),VLOOKUP(G61,NGPREVPRICES,2,FALSE),BJ61,VLOOKUP(G61,NGPREVPRICES,4,FALSE),HLOOKUP(D61,PREVVOLS,VLOOKUP(G61,MOVE_DOWN2,2,FALSE),FALSE),VLOOKUP(G61,NGPREVPRICES,3,FALSE),HLOOKUP(D61,Correllate,VLOOKUP(G61,CorMove,2,FALSE),FALSE),Q61-$BC$3,R61,$BI$5)*H61</f>
        <v>14909.464993838033</v>
      </c>
      <c r="BJ61" s="239">
        <f t="shared" si="110"/>
        <v>-0.32</v>
      </c>
      <c r="BL61" t="str">
        <f t="shared" si="111"/>
        <v>36678Curve Shift/Gamma</v>
      </c>
      <c r="BM61" t="str">
        <f t="shared" si="22"/>
        <v>36678Rho</v>
      </c>
      <c r="BN61" t="str">
        <f t="shared" si="23"/>
        <v>36678Drift</v>
      </c>
      <c r="BO61" t="str">
        <f t="shared" si="24"/>
        <v>36678Vega</v>
      </c>
      <c r="BP61" t="str">
        <f t="shared" si="25"/>
        <v>36678Theta</v>
      </c>
    </row>
    <row r="62" spans="1:68" ht="12" customHeight="1" x14ac:dyDescent="0.25">
      <c r="A62" t="s">
        <v>299</v>
      </c>
      <c r="B62" t="s">
        <v>253</v>
      </c>
      <c r="C62" t="s">
        <v>300</v>
      </c>
      <c r="D62" s="4" t="s">
        <v>9</v>
      </c>
      <c r="E62" t="s">
        <v>20</v>
      </c>
      <c r="F62" t="s">
        <v>21</v>
      </c>
      <c r="G62" s="5">
        <v>36708</v>
      </c>
      <c r="H62" s="130">
        <v>310000</v>
      </c>
      <c r="I62">
        <v>-0.32</v>
      </c>
      <c r="J62" s="53">
        <f t="shared" si="95"/>
        <v>3.181</v>
      </c>
      <c r="K62" s="7">
        <f t="shared" si="96"/>
        <v>-0.32250000000000001</v>
      </c>
      <c r="L62" s="4">
        <f t="shared" si="97"/>
        <v>2.8585000000000003</v>
      </c>
      <c r="M62" s="159">
        <f t="shared" si="98"/>
        <v>6.3695649345076003E-2</v>
      </c>
      <c r="N62" s="4">
        <f t="shared" si="99"/>
        <v>0.39500000000000002</v>
      </c>
      <c r="O62" s="4">
        <f t="shared" si="100"/>
        <v>0.38700000000000001</v>
      </c>
      <c r="P62" s="9">
        <f t="shared" si="101"/>
        <v>0.96</v>
      </c>
      <c r="Q62" s="5">
        <f t="shared" si="54"/>
        <v>36706</v>
      </c>
      <c r="R62" s="4">
        <f t="shared" si="102"/>
        <v>1</v>
      </c>
      <c r="S62" s="160">
        <f>_xll.xSPRDOPT($L62,$J62,$I62,$M62,$O62,$N62,$P62,$Q62-$C$3,$R62,0)</f>
        <v>6.3142152782796557E-2</v>
      </c>
      <c r="T62" s="161">
        <f>_xll.xSPRDOPT($L62,$J62,$I62,$M62,$O62,$N62,$P62,$Q62-$C$3,$R62,1)*H62</f>
        <v>153486.51964006183</v>
      </c>
      <c r="U62" s="162">
        <f t="shared" si="103"/>
        <v>19574.067362666934</v>
      </c>
      <c r="V62" s="161">
        <f>_xll.xSPRDOPT($L62,$J62,$I62,$M62,$O62,$N62,$P62,$Q62-$C$3,$R62,2)*H62</f>
        <v>-147792.62898761919</v>
      </c>
      <c r="W62" s="161">
        <f t="shared" si="104"/>
        <v>5693.890652442642</v>
      </c>
      <c r="X62" s="51" t="str">
        <f t="shared" si="105"/>
        <v>36708IF-NWPL_ROCKY_M</v>
      </c>
      <c r="Y62" s="431">
        <f t="shared" si="106"/>
        <v>31</v>
      </c>
      <c r="AA62" s="128">
        <f t="shared" si="55"/>
        <v>37865</v>
      </c>
      <c r="AB62" s="43">
        <f t="shared" si="93"/>
        <v>0</v>
      </c>
      <c r="AC62" s="43">
        <f t="shared" si="93"/>
        <v>0</v>
      </c>
      <c r="AD62" s="43">
        <f t="shared" si="93"/>
        <v>0</v>
      </c>
      <c r="AE62" s="43">
        <f t="shared" si="93"/>
        <v>0</v>
      </c>
      <c r="AF62" s="44">
        <f t="shared" si="93"/>
        <v>0</v>
      </c>
      <c r="AG62" s="44">
        <f t="shared" si="93"/>
        <v>0</v>
      </c>
      <c r="AH62" s="128">
        <f t="shared" si="56"/>
        <v>37865</v>
      </c>
      <c r="AI62" s="44">
        <f t="shared" si="38"/>
        <v>0</v>
      </c>
      <c r="AJ62" s="51"/>
      <c r="AK62" s="128">
        <f t="shared" si="57"/>
        <v>37865</v>
      </c>
      <c r="AL62" s="43">
        <f t="shared" si="94"/>
        <v>0</v>
      </c>
      <c r="AM62" s="43">
        <f t="shared" si="94"/>
        <v>0</v>
      </c>
      <c r="AN62" s="43">
        <f t="shared" si="94"/>
        <v>0</v>
      </c>
      <c r="AO62" s="43">
        <f t="shared" si="94"/>
        <v>0</v>
      </c>
      <c r="AP62" s="44">
        <f t="shared" si="94"/>
        <v>0</v>
      </c>
      <c r="AQ62" s="44">
        <f t="shared" si="94"/>
        <v>0</v>
      </c>
      <c r="AR62" s="128">
        <f t="shared" si="58"/>
        <v>37865</v>
      </c>
      <c r="AS62" s="44">
        <f t="shared" si="39"/>
        <v>0</v>
      </c>
      <c r="AT62" s="51"/>
      <c r="AU62" s="51"/>
      <c r="AV62" s="51"/>
      <c r="AW62" s="51"/>
      <c r="AX62" s="51"/>
      <c r="AY62" s="51"/>
      <c r="AZ62" s="51"/>
      <c r="BA62" s="51"/>
      <c r="BB62" s="142">
        <f t="shared" si="107"/>
        <v>36708</v>
      </c>
      <c r="BC62" s="238">
        <f>_xll.xSPRDOPT((VLOOKUP(G62,NGPrices,2,FALSE)+HLOOKUP(D62,Prices,VLOOKUP(G62,move_down,2,FALSE),FALSE)),VLOOKUP(G62,NGPrices,2,FALSE),I62,VLOOKUP(G62,NGPREVPRICES,4,FALSE),HLOOKUP(D62,PREVVOLS,VLOOKUP(G62,MOVE_DOWN2,2,FALSE),FALSE),VLOOKUP(G62,NGPREVPRICES,3,FALSE),HLOOKUP(D62,Correllate,VLOOKUP(G62,CorMove,2,FALSE),FALSE),Q62-$BC$3,R62,$BC$5)*H62-BI62</f>
        <v>-1939.3221091082269</v>
      </c>
      <c r="BD62" s="238">
        <f>_xll.xSPRDOPT((VLOOKUP(G62,NGPREVPRICES,2,FALSE)+HLOOKUP(D62,PREVCURVES,VLOOKUP(G62,MOVE_DOWN2,2,FALSE),FALSE)),VLOOKUP(G62,NGPREVPRICES,2,FALSE),BJ62,VLOOKUP(G62,NGPrices,4,FALSE),HLOOKUP(D62,PREVVOLS,VLOOKUP(G62,MOVE_DOWN2,2,FALSE),FALSE),VLOOKUP(G62,NGPREVPRICES,3,FALSE),HLOOKUP(D62,Correllate,VLOOKUP(G62,CorMove,2,FALSE),FALSE),Q62-$BC$3,R62,$BI$5)*H62-BI62</f>
        <v>-0.20392075172640034</v>
      </c>
      <c r="BE62" s="10">
        <f t="shared" si="108"/>
        <v>-3.7194196585478494</v>
      </c>
      <c r="BF62" s="238">
        <f>_xll.xSPRDOPT((VLOOKUP(G62,NGPREVPRICES,2,FALSE)+HLOOKUP(D62,PREVCURVES,VLOOKUP(G62,MOVE_DOWN2,2,FALSE),FALSE)),VLOOKUP(G62,NGPREVPRICES,2,FALSE),BJ62,VLOOKUP(G62,NGPREVPRICES,4,FALSE),HLOOKUP(D62,VOLS,VLOOKUP(G62,move_down,2,FALSE),FALSE),VLOOKUP(G62,NGPrices,3,FALSE),HLOOKUP(D62,Correllate,VLOOKUP(G62,CorMove,2,FALSE),FALSE),Q62-$BC$3,R62,$BI$5)*H62-BI62</f>
        <v>494.75089478538212</v>
      </c>
      <c r="BG62" s="238">
        <f>_xll.xSPRDOPT((VLOOKUP(G62,NGPREVPRICES,2,FALSE)+HLOOKUP(D62,PREVCURVES,VLOOKUP(G62,MOVE_DOWN2,2,FALSE),FALSE)),VLOOKUP(G62,NGPREVPRICES,2,FALSE),BJ62,VLOOKUP(G62,NGPREVPRICES,4,FALSE),HLOOKUP(D62,PREVVOLS,VLOOKUP(G62,MOVE_DOWN2,2,FALSE),FALSE),VLOOKUP(G62,NGPREVPRICES,3,FALSE),HLOOKUP(D62,Correllate,VLOOKUP(G62,CorMove,2,FALSE),FALSE),Q62-$C$3,R62,$BI$5)*H62-BI62</f>
        <v>-375.45684597802028</v>
      </c>
      <c r="BH62" s="238">
        <f t="shared" si="109"/>
        <v>-1823.9514007111393</v>
      </c>
      <c r="BI62" s="238">
        <f>_xll.xSPRDOPT((VLOOKUP(G62,NGPREVPRICES,2,FALSE)+HLOOKUP(D62,PREVCURVES,VLOOKUP(G62,MOVE_DOWN2,2,FALSE),FALSE)),VLOOKUP(G62,NGPREVPRICES,2,FALSE),BJ62,VLOOKUP(G62,NGPREVPRICES,4,FALSE),HLOOKUP(D62,PREVVOLS,VLOOKUP(G62,MOVE_DOWN2,2,FALSE),FALSE),VLOOKUP(G62,NGPREVPRICES,3,FALSE),HLOOKUP(D62,Correllate,VLOOKUP(G62,CorMove,2,FALSE),FALSE),Q62-$BC$3,R62,$BI$5)*H62</f>
        <v>21402.464896429716</v>
      </c>
      <c r="BJ62" s="239">
        <f t="shared" si="110"/>
        <v>-0.32</v>
      </c>
      <c r="BL62" t="str">
        <f t="shared" si="111"/>
        <v>36708Curve Shift/Gamma</v>
      </c>
      <c r="BM62" t="str">
        <f t="shared" si="22"/>
        <v>36708Rho</v>
      </c>
      <c r="BN62" t="str">
        <f t="shared" si="23"/>
        <v>36708Drift</v>
      </c>
      <c r="BO62" t="str">
        <f t="shared" si="24"/>
        <v>36708Vega</v>
      </c>
      <c r="BP62" t="str">
        <f t="shared" si="25"/>
        <v>36708Theta</v>
      </c>
    </row>
    <row r="63" spans="1:68" ht="12" customHeight="1" x14ac:dyDescent="0.25">
      <c r="A63" t="s">
        <v>299</v>
      </c>
      <c r="B63" t="s">
        <v>253</v>
      </c>
      <c r="C63" t="s">
        <v>300</v>
      </c>
      <c r="D63" s="4" t="s">
        <v>9</v>
      </c>
      <c r="E63" t="s">
        <v>20</v>
      </c>
      <c r="F63" t="s">
        <v>21</v>
      </c>
      <c r="G63" s="5">
        <v>36739</v>
      </c>
      <c r="H63" s="130">
        <v>310000</v>
      </c>
      <c r="I63">
        <v>-0.32</v>
      </c>
      <c r="J63" s="53">
        <f t="shared" si="95"/>
        <v>3.1829999999999998</v>
      </c>
      <c r="K63" s="7">
        <f t="shared" si="96"/>
        <v>-0.32250000000000001</v>
      </c>
      <c r="L63" s="4">
        <f t="shared" si="97"/>
        <v>2.8605</v>
      </c>
      <c r="M63" s="159">
        <f t="shared" si="98"/>
        <v>6.4500399973534003E-2</v>
      </c>
      <c r="N63" s="4">
        <f t="shared" si="99"/>
        <v>0.41249999999999998</v>
      </c>
      <c r="O63" s="4">
        <f t="shared" si="100"/>
        <v>0.40400000000000003</v>
      </c>
      <c r="P63" s="9">
        <f t="shared" si="101"/>
        <v>0.96</v>
      </c>
      <c r="Q63" s="5">
        <f t="shared" si="54"/>
        <v>36735</v>
      </c>
      <c r="R63" s="4">
        <f t="shared" si="102"/>
        <v>1</v>
      </c>
      <c r="S63" s="160">
        <f>_xll.xSPRDOPT($L63,$J63,$I63,$M63,$O63,$N63,$P63,$Q63-$C$3,$R63,0)</f>
        <v>7.7903439049721079E-2</v>
      </c>
      <c r="T63" s="161">
        <f>_xll.xSPRDOPT($L63,$J63,$I63,$M63,$O63,$N63,$P63,$Q63-$C$3,$R63,1)*H63</f>
        <v>153566.52949680309</v>
      </c>
      <c r="U63" s="162">
        <f t="shared" si="103"/>
        <v>24150.066105413534</v>
      </c>
      <c r="V63" s="161">
        <f>_xll.xSPRDOPT($L63,$J63,$I63,$M63,$O63,$N63,$P63,$Q63-$C$3,$R63,2)*H63</f>
        <v>-146574.41710433128</v>
      </c>
      <c r="W63" s="161">
        <f t="shared" si="104"/>
        <v>6992.1123924718122</v>
      </c>
      <c r="X63" s="51" t="str">
        <f t="shared" si="105"/>
        <v>36739IF-NWPL_ROCKY_M</v>
      </c>
      <c r="Y63" s="431">
        <f t="shared" si="106"/>
        <v>31</v>
      </c>
      <c r="AA63" s="128">
        <f t="shared" si="55"/>
        <v>37895</v>
      </c>
      <c r="AB63" s="43">
        <f t="shared" si="93"/>
        <v>0</v>
      </c>
      <c r="AC63" s="43">
        <f t="shared" si="93"/>
        <v>0</v>
      </c>
      <c r="AD63" s="43">
        <f t="shared" si="93"/>
        <v>0</v>
      </c>
      <c r="AE63" s="43">
        <f t="shared" si="93"/>
        <v>0</v>
      </c>
      <c r="AF63" s="44">
        <f t="shared" si="93"/>
        <v>0</v>
      </c>
      <c r="AG63" s="44">
        <f t="shared" si="93"/>
        <v>0</v>
      </c>
      <c r="AH63" s="128">
        <f t="shared" si="56"/>
        <v>37895</v>
      </c>
      <c r="AI63" s="44">
        <f t="shared" si="38"/>
        <v>0</v>
      </c>
      <c r="AJ63" s="51"/>
      <c r="AK63" s="128">
        <f t="shared" si="57"/>
        <v>37895</v>
      </c>
      <c r="AL63" s="43">
        <f t="shared" si="94"/>
        <v>0</v>
      </c>
      <c r="AM63" s="43">
        <f t="shared" si="94"/>
        <v>0</v>
      </c>
      <c r="AN63" s="43">
        <f t="shared" si="94"/>
        <v>0</v>
      </c>
      <c r="AO63" s="43">
        <f t="shared" si="94"/>
        <v>0</v>
      </c>
      <c r="AP63" s="44">
        <f t="shared" si="94"/>
        <v>0</v>
      </c>
      <c r="AQ63" s="44">
        <f t="shared" si="94"/>
        <v>0</v>
      </c>
      <c r="AR63" s="128">
        <f t="shared" si="58"/>
        <v>37895</v>
      </c>
      <c r="AS63" s="44">
        <f t="shared" si="39"/>
        <v>0</v>
      </c>
      <c r="AT63" s="51"/>
      <c r="AU63" s="51"/>
      <c r="AV63" s="51"/>
      <c r="AW63" s="51"/>
      <c r="AX63" s="51"/>
      <c r="AY63" s="51"/>
      <c r="AZ63" s="51"/>
      <c r="BA63" s="51"/>
      <c r="BB63" s="142">
        <f t="shared" si="107"/>
        <v>36739</v>
      </c>
      <c r="BC63" s="238">
        <f>_xll.xSPRDOPT((VLOOKUP(G63,NGPrices,2,FALSE)+HLOOKUP(D63,Prices,VLOOKUP(G63,move_down,2,FALSE),FALSE)),VLOOKUP(G63,NGPrices,2,FALSE),I63,VLOOKUP(G63,NGPREVPRICES,4,FALSE),HLOOKUP(D63,PREVVOLS,VLOOKUP(G63,MOVE_DOWN2,2,FALSE),FALSE),VLOOKUP(G63,NGPREVPRICES,3,FALSE),HLOOKUP(D63,Correllate,VLOOKUP(G63,CorMove,2,FALSE),FALSE),Q63-$BC$3,R63,$BC$5)*H63-BI63</f>
        <v>-1831.2681521802078</v>
      </c>
      <c r="BD63" s="238">
        <f>_xll.xSPRDOPT((VLOOKUP(G63,NGPREVPRICES,2,FALSE)+HLOOKUP(D63,PREVCURVES,VLOOKUP(G63,MOVE_DOWN2,2,FALSE),FALSE)),VLOOKUP(G63,NGPREVPRICES,2,FALSE),BJ63,VLOOKUP(G63,NGPrices,4,FALSE),HLOOKUP(D63,PREVVOLS,VLOOKUP(G63,MOVE_DOWN2,2,FALSE),FALSE),VLOOKUP(G63,NGPREVPRICES,3,FALSE),HLOOKUP(D63,Correllate,VLOOKUP(G63,CorMove,2,FALSE),FALSE),Q63-$BC$3,R63,$BI$5)*H63-BI63</f>
        <v>-0.19277728806264349</v>
      </c>
      <c r="BE63" s="10">
        <f t="shared" si="108"/>
        <v>-4.5543541573097173</v>
      </c>
      <c r="BF63" s="238">
        <f>_xll.xSPRDOPT((VLOOKUP(G63,NGPREVPRICES,2,FALSE)+HLOOKUP(D63,PREVCURVES,VLOOKUP(G63,MOVE_DOWN2,2,FALSE),FALSE)),VLOOKUP(G63,NGPREVPRICES,2,FALSE),BJ63,VLOOKUP(G63,NGPREVPRICES,4,FALSE),HLOOKUP(D63,VOLS,VLOOKUP(G63,move_down,2,FALSE),FALSE),VLOOKUP(G63,NGPrices,3,FALSE),HLOOKUP(D63,Correllate,VLOOKUP(G63,CorMove,2,FALSE),FALSE),Q63-$BC$3,R63,$BI$5)*H63-BI63</f>
        <v>579.93614047759547</v>
      </c>
      <c r="BG63" s="238">
        <f>_xll.xSPRDOPT((VLOOKUP(G63,NGPREVPRICES,2,FALSE)+HLOOKUP(D63,PREVCURVES,VLOOKUP(G63,MOVE_DOWN2,2,FALSE),FALSE)),VLOOKUP(G63,NGPREVPRICES,2,FALSE),BJ63,VLOOKUP(G63,NGPREVPRICES,4,FALSE),HLOOKUP(D63,PREVVOLS,VLOOKUP(G63,MOVE_DOWN2,2,FALSE),FALSE),VLOOKUP(G63,NGPREVPRICES,3,FALSE),HLOOKUP(D63,Correllate,VLOOKUP(G63,CorMove,2,FALSE),FALSE),Q63-$C$3,R63,$BI$5)*H63-BI63</f>
        <v>-328.47007733006467</v>
      </c>
      <c r="BH63" s="238">
        <f t="shared" si="109"/>
        <v>-1584.5492204780494</v>
      </c>
      <c r="BI63" s="238">
        <f>_xll.xSPRDOPT((VLOOKUP(G63,NGPREVPRICES,2,FALSE)+HLOOKUP(D63,PREVCURVES,VLOOKUP(G63,MOVE_DOWN2,2,FALSE),FALSE)),VLOOKUP(G63,NGPREVPRICES,2,FALSE),BJ63,VLOOKUP(G63,NGPREVPRICES,4,FALSE),HLOOKUP(D63,PREVVOLS,VLOOKUP(G63,MOVE_DOWN2,2,FALSE),FALSE),VLOOKUP(G63,NGPREVPRICES,3,FALSE),HLOOKUP(D63,Correllate,VLOOKUP(G63,CorMove,2,FALSE),FALSE),Q63-$BC$3,R63,$BI$5)*H63</f>
        <v>25733.709520391236</v>
      </c>
      <c r="BJ63" s="239">
        <f t="shared" si="110"/>
        <v>-0.32</v>
      </c>
      <c r="BL63" t="str">
        <f t="shared" si="111"/>
        <v>36739Curve Shift/Gamma</v>
      </c>
      <c r="BM63" t="str">
        <f t="shared" si="22"/>
        <v>36739Rho</v>
      </c>
      <c r="BN63" t="str">
        <f t="shared" si="23"/>
        <v>36739Drift</v>
      </c>
      <c r="BO63" t="str">
        <f t="shared" si="24"/>
        <v>36739Vega</v>
      </c>
      <c r="BP63" t="str">
        <f t="shared" si="25"/>
        <v>36739Theta</v>
      </c>
    </row>
    <row r="64" spans="1:68" ht="12" customHeight="1" x14ac:dyDescent="0.25">
      <c r="A64" t="s">
        <v>299</v>
      </c>
      <c r="B64" t="s">
        <v>253</v>
      </c>
      <c r="C64" t="s">
        <v>300</v>
      </c>
      <c r="D64" s="4" t="s">
        <v>9</v>
      </c>
      <c r="E64" t="s">
        <v>20</v>
      </c>
      <c r="F64" t="s">
        <v>21</v>
      </c>
      <c r="G64" s="5">
        <v>36770</v>
      </c>
      <c r="H64" s="130">
        <v>300000</v>
      </c>
      <c r="I64">
        <v>-0.32</v>
      </c>
      <c r="J64" s="53">
        <f t="shared" si="95"/>
        <v>3.173</v>
      </c>
      <c r="K64" s="7">
        <f t="shared" si="96"/>
        <v>-0.32250000000000001</v>
      </c>
      <c r="L64" s="4">
        <f t="shared" si="97"/>
        <v>2.8505000000000003</v>
      </c>
      <c r="M64" s="159">
        <f t="shared" si="98"/>
        <v>6.5221012015626995E-2</v>
      </c>
      <c r="N64" s="4">
        <f t="shared" si="99"/>
        <v>0.42</v>
      </c>
      <c r="O64" s="4">
        <f t="shared" si="100"/>
        <v>0.41199999999999998</v>
      </c>
      <c r="P64" s="9">
        <f t="shared" si="101"/>
        <v>0.96</v>
      </c>
      <c r="Q64" s="5">
        <f t="shared" si="54"/>
        <v>36768</v>
      </c>
      <c r="R64" s="4">
        <f t="shared" si="102"/>
        <v>1</v>
      </c>
      <c r="S64" s="160">
        <f>_xll.xSPRDOPT($L64,$J64,$I64,$M64,$O64,$N64,$P64,$Q64-$C$3,$R64,0)</f>
        <v>9.0546705422620555E-2</v>
      </c>
      <c r="T64" s="161">
        <f>_xll.xSPRDOPT($L64,$J64,$I64,$M64,$O64,$N64,$P64,$Q64-$C$3,$R64,1)*H64</f>
        <v>148387.09407739271</v>
      </c>
      <c r="U64" s="162">
        <f t="shared" si="103"/>
        <v>27164.011626786167</v>
      </c>
      <c r="V64" s="161">
        <f>_xll.xSPRDOPT($L64,$J64,$I64,$M64,$O64,$N64,$P64,$Q64-$C$3,$R64,2)*H64</f>
        <v>-140511.65615582402</v>
      </c>
      <c r="W64" s="161">
        <f t="shared" si="104"/>
        <v>7875.4379215686931</v>
      </c>
      <c r="X64" s="51" t="str">
        <f t="shared" si="105"/>
        <v>36770IF-NWPL_ROCKY_M</v>
      </c>
      <c r="Y64" s="431">
        <f t="shared" si="106"/>
        <v>30</v>
      </c>
      <c r="AA64" s="128">
        <f t="shared" si="55"/>
        <v>37926</v>
      </c>
      <c r="AB64" s="43">
        <f t="shared" si="93"/>
        <v>0</v>
      </c>
      <c r="AC64" s="43">
        <f t="shared" si="93"/>
        <v>0</v>
      </c>
      <c r="AD64" s="43">
        <f t="shared" si="93"/>
        <v>0</v>
      </c>
      <c r="AE64" s="43">
        <f t="shared" si="93"/>
        <v>0</v>
      </c>
      <c r="AF64" s="44">
        <f t="shared" si="93"/>
        <v>0</v>
      </c>
      <c r="AG64" s="44">
        <f t="shared" si="93"/>
        <v>0</v>
      </c>
      <c r="AH64" s="128">
        <f t="shared" si="56"/>
        <v>37926</v>
      </c>
      <c r="AI64" s="44">
        <f t="shared" si="38"/>
        <v>0</v>
      </c>
      <c r="AJ64" s="51"/>
      <c r="AK64" s="128">
        <f t="shared" si="57"/>
        <v>37926</v>
      </c>
      <c r="AL64" s="43">
        <f t="shared" si="94"/>
        <v>0</v>
      </c>
      <c r="AM64" s="43">
        <f t="shared" si="94"/>
        <v>0</v>
      </c>
      <c r="AN64" s="43">
        <f t="shared" si="94"/>
        <v>0</v>
      </c>
      <c r="AO64" s="43">
        <f t="shared" si="94"/>
        <v>0</v>
      </c>
      <c r="AP64" s="44">
        <f t="shared" si="94"/>
        <v>0</v>
      </c>
      <c r="AQ64" s="44">
        <f t="shared" si="94"/>
        <v>0</v>
      </c>
      <c r="AR64" s="128">
        <f t="shared" si="58"/>
        <v>37926</v>
      </c>
      <c r="AS64" s="44">
        <f t="shared" si="39"/>
        <v>0</v>
      </c>
      <c r="AT64" s="51"/>
      <c r="AU64" s="51"/>
      <c r="AV64" s="51"/>
      <c r="AW64" s="51"/>
      <c r="AX64" s="51"/>
      <c r="AY64" s="51"/>
      <c r="AZ64" s="51"/>
      <c r="BA64" s="51"/>
      <c r="BB64" s="142">
        <f t="shared" si="107"/>
        <v>36770</v>
      </c>
      <c r="BC64" s="238">
        <f>_xll.xSPRDOPT((VLOOKUP(G64,NGPrices,2,FALSE)+HLOOKUP(D64,Prices,VLOOKUP(G64,move_down,2,FALSE),FALSE)),VLOOKUP(G64,NGPrices,2,FALSE),I64,VLOOKUP(G64,NGPREVPRICES,4,FALSE),HLOOKUP(D64,PREVVOLS,VLOOKUP(G64,MOVE_DOWN2,2,FALSE),FALSE),VLOOKUP(G64,NGPREVPRICES,3,FALSE),HLOOKUP(D64,Correllate,VLOOKUP(G64,CorMove,2,FALSE),FALSE),Q64-$BC$3,R64,$BC$5)*H64-BI64</f>
        <v>-1682.8521350805895</v>
      </c>
      <c r="BD64" s="238">
        <f>_xll.xSPRDOPT((VLOOKUP(G64,NGPREVPRICES,2,FALSE)+HLOOKUP(D64,PREVCURVES,VLOOKUP(G64,MOVE_DOWN2,2,FALSE),FALSE)),VLOOKUP(G64,NGPREVPRICES,2,FALSE),BJ64,VLOOKUP(G64,NGPrices,4,FALSE),HLOOKUP(D64,PREVVOLS,VLOOKUP(G64,MOVE_DOWN2,2,FALSE),FALSE),VLOOKUP(G64,NGPREVPRICES,3,FALSE),HLOOKUP(D64,Correllate,VLOOKUP(G64,CorMove,2,FALSE),FALSE),Q64-$BC$3,R64,$BI$5)*H64-BI64</f>
        <v>4.7588122775778174E-2</v>
      </c>
      <c r="BE64" s="10">
        <f t="shared" si="108"/>
        <v>-5.1277835858745675</v>
      </c>
      <c r="BF64" s="238">
        <f>_xll.xSPRDOPT((VLOOKUP(G64,NGPREVPRICES,2,FALSE)+HLOOKUP(D64,PREVCURVES,VLOOKUP(G64,MOVE_DOWN2,2,FALSE),FALSE)),VLOOKUP(G64,NGPREVPRICES,2,FALSE),BJ64,VLOOKUP(G64,NGPREVPRICES,4,FALSE),HLOOKUP(D64,VOLS,VLOOKUP(G64,move_down,2,FALSE),FALSE),VLOOKUP(G64,NGPrices,3,FALSE),HLOOKUP(D64,Correllate,VLOOKUP(G64,CorMove,2,FALSE),FALSE),Q64-$BC$3,R64,$BI$5)*H64-BI64</f>
        <v>638.80380991055063</v>
      </c>
      <c r="BG64" s="238">
        <f>_xll.xSPRDOPT((VLOOKUP(G64,NGPREVPRICES,2,FALSE)+HLOOKUP(D64,PREVCURVES,VLOOKUP(G64,MOVE_DOWN2,2,FALSE),FALSE)),VLOOKUP(G64,NGPREVPRICES,2,FALSE),BJ64,VLOOKUP(G64,NGPREVPRICES,4,FALSE),HLOOKUP(D64,PREVVOLS,VLOOKUP(G64,MOVE_DOWN2,2,FALSE),FALSE),VLOOKUP(G64,NGPREVPRICES,3,FALSE),HLOOKUP(D64,Correllate,VLOOKUP(G64,CorMove,2,FALSE),FALSE),Q64-$C$3,R64,$BI$5)*H64-BI64</f>
        <v>-275.80360471144377</v>
      </c>
      <c r="BH64" s="238">
        <f t="shared" si="109"/>
        <v>-1324.9321253445814</v>
      </c>
      <c r="BI64" s="238">
        <f>_xll.xSPRDOPT((VLOOKUP(G64,NGPREVPRICES,2,FALSE)+HLOOKUP(D64,PREVCURVES,VLOOKUP(G64,MOVE_DOWN2,2,FALSE),FALSE)),VLOOKUP(G64,NGPREVPRICES,2,FALSE),BJ64,VLOOKUP(G64,NGPREVPRICES,4,FALSE),HLOOKUP(D64,PREVVOLS,VLOOKUP(G64,MOVE_DOWN2,2,FALSE),FALSE),VLOOKUP(G64,NGPREVPRICES,3,FALSE),HLOOKUP(D64,Correllate,VLOOKUP(G64,CorMove,2,FALSE),FALSE),Q64-$BC$3,R64,$BI$5)*H64</f>
        <v>28483.716884322967</v>
      </c>
      <c r="BJ64" s="239">
        <f t="shared" si="110"/>
        <v>-0.32</v>
      </c>
      <c r="BL64" t="str">
        <f t="shared" si="111"/>
        <v>36770Curve Shift/Gamma</v>
      </c>
      <c r="BM64" t="str">
        <f t="shared" si="22"/>
        <v>36770Rho</v>
      </c>
      <c r="BN64" t="str">
        <f t="shared" si="23"/>
        <v>36770Drift</v>
      </c>
      <c r="BO64" t="str">
        <f t="shared" si="24"/>
        <v>36770Vega</v>
      </c>
      <c r="BP64" t="str">
        <f t="shared" si="25"/>
        <v>36770Theta</v>
      </c>
    </row>
    <row r="65" spans="1:68" ht="12" customHeight="1" x14ac:dyDescent="0.25">
      <c r="A65" t="s">
        <v>299</v>
      </c>
      <c r="B65" t="s">
        <v>253</v>
      </c>
      <c r="C65" t="s">
        <v>300</v>
      </c>
      <c r="D65" s="4" t="s">
        <v>9</v>
      </c>
      <c r="E65" t="s">
        <v>20</v>
      </c>
      <c r="F65" t="s">
        <v>21</v>
      </c>
      <c r="G65" s="5">
        <v>36800</v>
      </c>
      <c r="H65" s="130">
        <v>310000</v>
      </c>
      <c r="I65">
        <v>-0.32</v>
      </c>
      <c r="J65" s="53">
        <f t="shared" si="95"/>
        <v>3.18</v>
      </c>
      <c r="K65" s="7">
        <f t="shared" si="96"/>
        <v>-0.29749999999999999</v>
      </c>
      <c r="L65" s="4">
        <f t="shared" si="97"/>
        <v>2.8825000000000003</v>
      </c>
      <c r="M65" s="159">
        <f t="shared" si="98"/>
        <v>6.5817989695161006E-2</v>
      </c>
      <c r="N65" s="4">
        <f t="shared" si="99"/>
        <v>0.42249999999999999</v>
      </c>
      <c r="O65" s="4">
        <f t="shared" si="100"/>
        <v>0.41399999999999998</v>
      </c>
      <c r="P65" s="9">
        <f t="shared" si="101"/>
        <v>0.96</v>
      </c>
      <c r="Q65" s="5">
        <f t="shared" si="54"/>
        <v>36797</v>
      </c>
      <c r="R65" s="4">
        <f t="shared" si="102"/>
        <v>1</v>
      </c>
      <c r="S65" s="160">
        <f>_xll.xSPRDOPT($L65,$J65,$I65,$M65,$O65,$N65,$P65,$Q65-$C$3,$R65,0)</f>
        <v>0.11308842639577898</v>
      </c>
      <c r="T65" s="161">
        <f>_xll.xSPRDOPT($L65,$J65,$I65,$M65,$O65,$N65,$P65,$Q65-$C$3,$R65,1)*H65</f>
        <v>164402.47960170516</v>
      </c>
      <c r="U65" s="162">
        <f t="shared" si="103"/>
        <v>35057.412182691485</v>
      </c>
      <c r="V65" s="161">
        <f>_xll.xSPRDOPT($L65,$J65,$I65,$M65,$O65,$N65,$P65,$Q65-$C$3,$R65,2)*H65</f>
        <v>-155438.77755835879</v>
      </c>
      <c r="W65" s="161">
        <f t="shared" si="104"/>
        <v>8963.7020433463622</v>
      </c>
      <c r="X65" s="51" t="str">
        <f t="shared" si="105"/>
        <v>36800IF-NWPL_ROCKY_M</v>
      </c>
      <c r="Y65" s="431">
        <f t="shared" si="106"/>
        <v>31</v>
      </c>
      <c r="AA65" s="128">
        <f t="shared" si="55"/>
        <v>37956</v>
      </c>
      <c r="AB65" s="43">
        <f t="shared" si="93"/>
        <v>0</v>
      </c>
      <c r="AC65" s="43">
        <f t="shared" si="93"/>
        <v>0</v>
      </c>
      <c r="AD65" s="43">
        <f t="shared" si="93"/>
        <v>0</v>
      </c>
      <c r="AE65" s="43">
        <f t="shared" si="93"/>
        <v>0</v>
      </c>
      <c r="AF65" s="44">
        <f t="shared" si="93"/>
        <v>0</v>
      </c>
      <c r="AG65" s="44">
        <f t="shared" si="93"/>
        <v>0</v>
      </c>
      <c r="AH65" s="128">
        <f t="shared" si="56"/>
        <v>37956</v>
      </c>
      <c r="AI65" s="44">
        <f t="shared" si="38"/>
        <v>0</v>
      </c>
      <c r="AJ65" s="51"/>
      <c r="AK65" s="128">
        <f t="shared" si="57"/>
        <v>37956</v>
      </c>
      <c r="AL65" s="43">
        <f t="shared" si="94"/>
        <v>0</v>
      </c>
      <c r="AM65" s="43">
        <f t="shared" si="94"/>
        <v>0</v>
      </c>
      <c r="AN65" s="43">
        <f t="shared" si="94"/>
        <v>0</v>
      </c>
      <c r="AO65" s="43">
        <f t="shared" si="94"/>
        <v>0</v>
      </c>
      <c r="AP65" s="44">
        <f t="shared" si="94"/>
        <v>0</v>
      </c>
      <c r="AQ65" s="44">
        <f t="shared" si="94"/>
        <v>0</v>
      </c>
      <c r="AR65" s="128">
        <f t="shared" si="58"/>
        <v>37956</v>
      </c>
      <c r="AS65" s="44">
        <f t="shared" si="39"/>
        <v>0</v>
      </c>
      <c r="AT65" s="51"/>
      <c r="AU65" s="51"/>
      <c r="AV65" s="51"/>
      <c r="AW65" s="51"/>
      <c r="AX65" s="51"/>
      <c r="AY65" s="51"/>
      <c r="AZ65" s="51"/>
      <c r="BA65" s="51"/>
      <c r="BB65" s="142">
        <f t="shared" si="107"/>
        <v>36800</v>
      </c>
      <c r="BC65" s="238">
        <f>_xll.xSPRDOPT((VLOOKUP(G65,NGPrices,2,FALSE)+HLOOKUP(D65,Prices,VLOOKUP(G65,move_down,2,FALSE),FALSE)),VLOOKUP(G65,NGPrices,2,FALSE),I65,VLOOKUP(G65,NGPREVPRICES,4,FALSE),HLOOKUP(D65,PREVVOLS,VLOOKUP(G65,MOVE_DOWN2,2,FALSE),FALSE),VLOOKUP(G65,NGPREVPRICES,3,FALSE),HLOOKUP(D65,Correllate,VLOOKUP(G65,CorMove,2,FALSE),FALSE),Q65-$BC$3,R65,$BC$5)*H65-BI65</f>
        <v>-1868.9656467539462</v>
      </c>
      <c r="BD65" s="238">
        <f>_xll.xSPRDOPT((VLOOKUP(G65,NGPREVPRICES,2,FALSE)+HLOOKUP(D65,PREVCURVES,VLOOKUP(G65,MOVE_DOWN2,2,FALSE),FALSE)),VLOOKUP(G65,NGPREVPRICES,2,FALSE),BJ65,VLOOKUP(G65,NGPrices,4,FALSE),HLOOKUP(D65,PREVVOLS,VLOOKUP(G65,MOVE_DOWN2,2,FALSE),FALSE),VLOOKUP(G65,NGPREVPRICES,3,FALSE),HLOOKUP(D65,Correllate,VLOOKUP(G65,CorMove,2,FALSE),FALSE),Q65-$BC$3,R65,$BI$5)*H65-BI65</f>
        <v>0.60208458956185495</v>
      </c>
      <c r="BE65" s="10">
        <f t="shared" si="108"/>
        <v>-6.6617183645066689</v>
      </c>
      <c r="BF65" s="238">
        <f>_xll.xSPRDOPT((VLOOKUP(G65,NGPREVPRICES,2,FALSE)+HLOOKUP(D65,PREVCURVES,VLOOKUP(G65,MOVE_DOWN2,2,FALSE),FALSE)),VLOOKUP(G65,NGPREVPRICES,2,FALSE),BJ65,VLOOKUP(G65,NGPREVPRICES,4,FALSE),HLOOKUP(D65,VOLS,VLOOKUP(G65,move_down,2,FALSE),FALSE),VLOOKUP(G65,NGPrices,3,FALSE),HLOOKUP(D65,Correllate,VLOOKUP(G65,CorMove,2,FALSE),FALSE),Q65-$BC$3,R65,$BI$5)*H65-BI65</f>
        <v>720.22848900297686</v>
      </c>
      <c r="BG65" s="238">
        <f>_xll.xSPRDOPT((VLOOKUP(G65,NGPREVPRICES,2,FALSE)+HLOOKUP(D65,PREVCURVES,VLOOKUP(G65,MOVE_DOWN2,2,FALSE),FALSE)),VLOOKUP(G65,NGPREVPRICES,2,FALSE),BJ65,VLOOKUP(G65,NGPREVPRICES,4,FALSE),HLOOKUP(D65,PREVVOLS,VLOOKUP(G65,MOVE_DOWN2,2,FALSE),FALSE),VLOOKUP(G65,NGPREVPRICES,3,FALSE),HLOOKUP(D65,Correllate,VLOOKUP(G65,CorMove,2,FALSE),FALSE),Q65-$C$3,R65,$BI$5)*H65-BI65</f>
        <v>-252.96929673802515</v>
      </c>
      <c r="BH65" s="238">
        <f t="shared" si="109"/>
        <v>-1407.7660882639393</v>
      </c>
      <c r="BI65" s="238">
        <f>_xll.xSPRDOPT((VLOOKUP(G65,NGPREVPRICES,2,FALSE)+HLOOKUP(D65,PREVCURVES,VLOOKUP(G65,MOVE_DOWN2,2,FALSE),FALSE)),VLOOKUP(G65,NGPREVPRICES,2,FALSE),BJ65,VLOOKUP(G65,NGPREVPRICES,4,FALSE),HLOOKUP(D65,PREVVOLS,VLOOKUP(G65,MOVE_DOWN2,2,FALSE),FALSE),VLOOKUP(G65,NGPREVPRICES,3,FALSE),HLOOKUP(D65,Correllate,VLOOKUP(G65,CorMove,2,FALSE),FALSE),Q65-$BC$3,R65,$BI$5)*H65</f>
        <v>36453.816480513808</v>
      </c>
      <c r="BJ65" s="239">
        <f t="shared" si="110"/>
        <v>-0.32</v>
      </c>
      <c r="BL65" t="str">
        <f t="shared" si="111"/>
        <v>36800Curve Shift/Gamma</v>
      </c>
      <c r="BM65" t="str">
        <f t="shared" si="22"/>
        <v>36800Rho</v>
      </c>
      <c r="BN65" t="str">
        <f t="shared" si="23"/>
        <v>36800Drift</v>
      </c>
      <c r="BO65" t="str">
        <f t="shared" si="24"/>
        <v>36800Vega</v>
      </c>
      <c r="BP65" t="str">
        <f t="shared" si="25"/>
        <v>36800Theta</v>
      </c>
    </row>
    <row r="66" spans="1:68" ht="12" customHeight="1" x14ac:dyDescent="0.25">
      <c r="A66" t="s">
        <v>299</v>
      </c>
      <c r="B66" t="s">
        <v>253</v>
      </c>
      <c r="C66" t="s">
        <v>301</v>
      </c>
      <c r="D66" s="4" t="s">
        <v>9</v>
      </c>
      <c r="E66" t="s">
        <v>20</v>
      </c>
      <c r="F66" t="s">
        <v>1</v>
      </c>
      <c r="G66" s="5">
        <v>36647</v>
      </c>
      <c r="H66" s="130">
        <v>310000</v>
      </c>
      <c r="I66">
        <v>-0.32</v>
      </c>
      <c r="J66" s="53">
        <f t="shared" si="95"/>
        <v>3.1579999999999999</v>
      </c>
      <c r="K66" s="7">
        <f t="shared" si="96"/>
        <v>-0.34499999999999997</v>
      </c>
      <c r="L66" s="4">
        <f t="shared" si="97"/>
        <v>2.8129999999999997</v>
      </c>
      <c r="M66" s="159">
        <f t="shared" si="98"/>
        <v>6.2683518517613002E-2</v>
      </c>
      <c r="N66" s="4">
        <f t="shared" si="99"/>
        <v>0.41</v>
      </c>
      <c r="O66" s="4">
        <f t="shared" si="100"/>
        <v>0.377</v>
      </c>
      <c r="P66" s="9">
        <f t="shared" si="101"/>
        <v>0.96</v>
      </c>
      <c r="Q66" s="5">
        <f t="shared" si="54"/>
        <v>36643</v>
      </c>
      <c r="R66" s="4">
        <f t="shared" si="102"/>
        <v>0</v>
      </c>
      <c r="S66" s="160">
        <f>_xll.xSPRDOPT($L66,$J66,$I66,$M66,$O66,$N66,$P66,$Q66-$C$3,$R66,0)</f>
        <v>4.0744528319868197E-2</v>
      </c>
      <c r="T66" s="161">
        <f>_xll.xSPRDOPT($L66,$J66,$I66,$M66,$O66,$N66,$P66,$Q66-$C$3,$R66,1)*H66</f>
        <v>-199488.27655178361</v>
      </c>
      <c r="U66" s="162">
        <f t="shared" si="103"/>
        <v>12630.803779159141</v>
      </c>
      <c r="V66" s="161">
        <f>_xll.xSPRDOPT($L66,$J66,$I66,$M66,$O66,$N66,$P66,$Q66-$C$3,$R66,2)*H66</f>
        <v>201590.14113211664</v>
      </c>
      <c r="W66" s="161">
        <f t="shared" si="104"/>
        <v>2101.8645803330292</v>
      </c>
      <c r="X66" s="51" t="str">
        <f t="shared" si="105"/>
        <v>36647IF-NWPL_ROCKY_M</v>
      </c>
      <c r="Y66" s="431">
        <f t="shared" si="106"/>
        <v>31</v>
      </c>
      <c r="AA66" s="128">
        <f t="shared" si="55"/>
        <v>37987</v>
      </c>
      <c r="AB66" s="43">
        <f t="shared" si="93"/>
        <v>0</v>
      </c>
      <c r="AC66" s="43">
        <f t="shared" si="93"/>
        <v>0</v>
      </c>
      <c r="AD66" s="43">
        <f t="shared" si="93"/>
        <v>0</v>
      </c>
      <c r="AE66" s="43">
        <f t="shared" si="93"/>
        <v>0</v>
      </c>
      <c r="AF66" s="44">
        <f t="shared" si="93"/>
        <v>0</v>
      </c>
      <c r="AG66" s="44">
        <f t="shared" si="93"/>
        <v>0</v>
      </c>
      <c r="AH66" s="128">
        <f t="shared" si="56"/>
        <v>37987</v>
      </c>
      <c r="AI66" s="44">
        <f t="shared" si="38"/>
        <v>0</v>
      </c>
      <c r="AJ66" s="51"/>
      <c r="AK66" s="128">
        <f t="shared" si="57"/>
        <v>37987</v>
      </c>
      <c r="AL66" s="43">
        <f t="shared" si="94"/>
        <v>0</v>
      </c>
      <c r="AM66" s="43">
        <f t="shared" si="94"/>
        <v>0</v>
      </c>
      <c r="AN66" s="43">
        <f t="shared" si="94"/>
        <v>0</v>
      </c>
      <c r="AO66" s="43">
        <f t="shared" si="94"/>
        <v>0</v>
      </c>
      <c r="AP66" s="44">
        <f t="shared" si="94"/>
        <v>0</v>
      </c>
      <c r="AQ66" s="44">
        <f t="shared" si="94"/>
        <v>0</v>
      </c>
      <c r="AR66" s="128">
        <f t="shared" si="58"/>
        <v>37987</v>
      </c>
      <c r="AS66" s="44">
        <f t="shared" si="39"/>
        <v>0</v>
      </c>
      <c r="AT66" s="51"/>
      <c r="AU66" s="51"/>
      <c r="AV66" s="51"/>
      <c r="AW66" s="51"/>
      <c r="AX66" s="51"/>
      <c r="AY66" s="51"/>
      <c r="AZ66" s="51"/>
      <c r="BA66" s="51"/>
      <c r="BB66" s="142">
        <f t="shared" si="107"/>
        <v>36647</v>
      </c>
      <c r="BC66" s="238">
        <f>_xll.xSPRDOPT((VLOOKUP(G66,NGPrices,2,FALSE)+HLOOKUP(D66,Prices,VLOOKUP(G66,move_down,2,FALSE),FALSE)),VLOOKUP(G66,NGPrices,2,FALSE),I66,VLOOKUP(G66,NGPREVPRICES,4,FALSE),HLOOKUP(D66,PREVVOLS,VLOOKUP(G66,MOVE_DOWN2,2,FALSE),FALSE),VLOOKUP(G66,NGPREVPRICES,3,FALSE),HLOOKUP(D66,Correllate,VLOOKUP(G66,CorMove,2,FALSE),FALSE),Q66-$BC$3,R66,$BC$5)*H66-BI66</f>
        <v>5708.9512272988941</v>
      </c>
      <c r="BD66" s="238">
        <f>_xll.xSPRDOPT((VLOOKUP(G66,NGPREVPRICES,2,FALSE)+HLOOKUP(D66,PREVCURVES,VLOOKUP(G66,MOVE_DOWN2,2,FALSE),FALSE)),VLOOKUP(G66,NGPREVPRICES,2,FALSE),BJ66,VLOOKUP(G66,NGPrices,4,FALSE),HLOOKUP(D66,PREVVOLS,VLOOKUP(G66,MOVE_DOWN2,2,FALSE),FALSE),VLOOKUP(G66,NGPREVPRICES,3,FALSE),HLOOKUP(D66,Correllate,VLOOKUP(G66,CorMove,2,FALSE),FALSE),Q66-$BC$3,R66,$BI$5)*H66-BI66</f>
        <v>-2.3551564967419836E-2</v>
      </c>
      <c r="BE66" s="10">
        <f t="shared" si="108"/>
        <v>-1.1506467181952758</v>
      </c>
      <c r="BF66" s="238">
        <f>_xll.xSPRDOPT((VLOOKUP(G66,NGPREVPRICES,2,FALSE)+HLOOKUP(D66,PREVCURVES,VLOOKUP(G66,MOVE_DOWN2,2,FALSE),FALSE)),VLOOKUP(G66,NGPREVPRICES,2,FALSE),BJ66,VLOOKUP(G66,NGPREVPRICES,4,FALSE),HLOOKUP(D66,VOLS,VLOOKUP(G66,move_down,2,FALSE),FALSE),VLOOKUP(G66,NGPrices,3,FALSE),HLOOKUP(D66,Correllate,VLOOKUP(G66,CorMove,2,FALSE),FALSE),Q66-$BC$3,R66,$BI$5)*H66-BI66</f>
        <v>1236.444674275087</v>
      </c>
      <c r="BG66" s="238">
        <f>_xll.xSPRDOPT((VLOOKUP(G66,NGPREVPRICES,2,FALSE)+HLOOKUP(D66,PREVCURVES,VLOOKUP(G66,MOVE_DOWN2,2,FALSE),FALSE)),VLOOKUP(G66,NGPREVPRICES,2,FALSE),BJ66,VLOOKUP(G66,NGPREVPRICES,4,FALSE),HLOOKUP(D66,PREVVOLS,VLOOKUP(G66,MOVE_DOWN2,2,FALSE),FALSE),VLOOKUP(G66,NGPREVPRICES,3,FALSE),HLOOKUP(D66,Correllate,VLOOKUP(G66,CorMove,2,FALSE),FALSE),Q66-$C$3,R66,$BI$5)*H66-BI66</f>
        <v>-961.76658759928523</v>
      </c>
      <c r="BH66" s="238">
        <f t="shared" si="109"/>
        <v>5982.4551156915331</v>
      </c>
      <c r="BI66" s="238">
        <f>_xll.xSPRDOPT((VLOOKUP(G66,NGPREVPRICES,2,FALSE)+HLOOKUP(D66,PREVCURVES,VLOOKUP(G66,MOVE_DOWN2,2,FALSE),FALSE)),VLOOKUP(G66,NGPREVPRICES,2,FALSE),BJ66,VLOOKUP(G66,NGPREVPRICES,4,FALSE),HLOOKUP(D66,PREVVOLS,VLOOKUP(G66,MOVE_DOWN2,2,FALSE),FALSE),VLOOKUP(G66,NGPREVPRICES,3,FALSE),HLOOKUP(D66,Correllate,VLOOKUP(G66,CorMove,2,FALSE),FALSE),Q66-$BC$3,R66,$BI$5)*H66</f>
        <v>6802.9773283921277</v>
      </c>
      <c r="BJ66" s="239">
        <f t="shared" si="110"/>
        <v>-0.32</v>
      </c>
      <c r="BL66" t="str">
        <f t="shared" si="111"/>
        <v>36647Curve Shift/Gamma</v>
      </c>
      <c r="BM66" t="str">
        <f t="shared" si="22"/>
        <v>36647Rho</v>
      </c>
      <c r="BN66" t="str">
        <f t="shared" si="23"/>
        <v>36647Drift</v>
      </c>
      <c r="BO66" t="str">
        <f t="shared" si="24"/>
        <v>36647Vega</v>
      </c>
      <c r="BP66" t="str">
        <f t="shared" si="25"/>
        <v>36647Theta</v>
      </c>
    </row>
    <row r="67" spans="1:68" ht="12" customHeight="1" x14ac:dyDescent="0.25">
      <c r="A67" t="s">
        <v>299</v>
      </c>
      <c r="B67" t="s">
        <v>253</v>
      </c>
      <c r="C67" t="s">
        <v>301</v>
      </c>
      <c r="D67" s="4" t="s">
        <v>9</v>
      </c>
      <c r="E67" t="s">
        <v>20</v>
      </c>
      <c r="F67" t="s">
        <v>1</v>
      </c>
      <c r="G67" s="5">
        <v>36678</v>
      </c>
      <c r="H67" s="130">
        <v>300000</v>
      </c>
      <c r="I67">
        <v>-0.32</v>
      </c>
      <c r="J67" s="53">
        <f>VLOOKUP(G67,NGPrices,2,FALSE)</f>
        <v>3.1720000000000002</v>
      </c>
      <c r="K67" s="7">
        <f>HLOOKUP(D67,Prices,VLOOKUP(G67,move_down,2,FALSE),FALSE)</f>
        <v>-0.34</v>
      </c>
      <c r="L67" s="4">
        <f t="shared" si="97"/>
        <v>2.8320000000000003</v>
      </c>
      <c r="M67" s="159">
        <f>VLOOKUP(G67,NGPrices,4,FALSE)</f>
        <v>6.3039999833066004E-2</v>
      </c>
      <c r="N67" s="4">
        <f>VLOOKUP(G67,NGPrices,3,FALSE)</f>
        <v>0.38250000000000001</v>
      </c>
      <c r="O67" s="4">
        <f>HLOOKUP(D67,VOLS,VLOOKUP(G67,move_down,2,FALSE),FALSE)</f>
        <v>0.375</v>
      </c>
      <c r="P67" s="9">
        <f>HLOOKUP(D67,Correllate,VLOOKUP(G67,CorMove,2,FALSE),FALSE)</f>
        <v>0.96</v>
      </c>
      <c r="Q67" s="5">
        <f t="shared" si="54"/>
        <v>36676</v>
      </c>
      <c r="R67" s="4">
        <f>IF(F67="P",0,1)</f>
        <v>0</v>
      </c>
      <c r="S67" s="160">
        <f>_xll.xSPRDOPT($L67,$J67,$I67,$M67,$O67,$N67,$P67,$Q67-$C$3,$R67,0)</f>
        <v>5.8418201506883018E-2</v>
      </c>
      <c r="T67" s="161">
        <f>_xll.xSPRDOPT($L67,$J67,$I67,$M67,$O67,$N67,$P67,$Q67-$C$3,$R67,1)*H67</f>
        <v>-166824.69877722117</v>
      </c>
      <c r="U67" s="162">
        <f t="shared" ref="U67:U83" si="112">S67*H67</f>
        <v>17525.460452064905</v>
      </c>
      <c r="V67" s="161">
        <f>_xll.xSPRDOPT($L67,$J67,$I67,$M67,$O67,$N67,$P67,$Q67-$C$3,$R67,2)*H67</f>
        <v>170878.23444029479</v>
      </c>
      <c r="W67" s="161">
        <f t="shared" si="104"/>
        <v>4053.5356630736205</v>
      </c>
      <c r="X67" s="51" t="str">
        <f>CONCATENATE(G67,D67)</f>
        <v>36678IF-NWPL_ROCKY_M</v>
      </c>
      <c r="Y67" s="431">
        <f>H67/10000</f>
        <v>30</v>
      </c>
      <c r="Z67" s="51"/>
      <c r="AA67" s="128">
        <f t="shared" si="55"/>
        <v>38018</v>
      </c>
      <c r="AB67" s="43">
        <f t="shared" ref="AB67:AG76" si="113">SUMIF($X:$X,CONCATENATE($AA67,AB$6),$T:$T)/10000</f>
        <v>0</v>
      </c>
      <c r="AC67" s="43">
        <f t="shared" si="113"/>
        <v>0</v>
      </c>
      <c r="AD67" s="43">
        <f t="shared" si="113"/>
        <v>0</v>
      </c>
      <c r="AE67" s="43">
        <f t="shared" si="113"/>
        <v>0</v>
      </c>
      <c r="AF67" s="44">
        <f t="shared" si="113"/>
        <v>0</v>
      </c>
      <c r="AG67" s="44">
        <f t="shared" si="113"/>
        <v>0</v>
      </c>
      <c r="AH67" s="128">
        <f t="shared" si="56"/>
        <v>38018</v>
      </c>
      <c r="AI67" s="44">
        <f t="shared" si="38"/>
        <v>0</v>
      </c>
      <c r="AJ67" s="51"/>
      <c r="AK67" s="128">
        <f t="shared" si="57"/>
        <v>38018</v>
      </c>
      <c r="AL67" s="43">
        <f t="shared" ref="AL67:AQ76" si="114">SUMIF($X:$X,CONCATENATE($AA67,AL$6),$W:$W)</f>
        <v>0</v>
      </c>
      <c r="AM67" s="43">
        <f t="shared" si="114"/>
        <v>0</v>
      </c>
      <c r="AN67" s="43">
        <f t="shared" si="114"/>
        <v>0</v>
      </c>
      <c r="AO67" s="43">
        <f t="shared" si="114"/>
        <v>0</v>
      </c>
      <c r="AP67" s="44">
        <f t="shared" si="114"/>
        <v>0</v>
      </c>
      <c r="AQ67" s="44">
        <f t="shared" si="114"/>
        <v>0</v>
      </c>
      <c r="AR67" s="128">
        <f t="shared" si="58"/>
        <v>38018</v>
      </c>
      <c r="AS67" s="44">
        <f t="shared" si="39"/>
        <v>0</v>
      </c>
      <c r="AT67" s="51"/>
      <c r="AU67" s="51"/>
      <c r="AV67" s="51"/>
      <c r="AW67" s="51"/>
      <c r="AX67" s="51"/>
      <c r="AY67" s="51"/>
      <c r="AZ67" s="51"/>
      <c r="BA67" s="51"/>
      <c r="BB67" s="142">
        <f t="shared" si="107"/>
        <v>36678</v>
      </c>
      <c r="BC67" s="238">
        <f>_xll.xSPRDOPT((VLOOKUP(G67,NGPrices,2,FALSE)+HLOOKUP(D67,Prices,VLOOKUP(G67,move_down,2,FALSE),FALSE)),VLOOKUP(G67,NGPrices,2,FALSE),I67,VLOOKUP(G67,NGPREVPRICES,4,FALSE),HLOOKUP(D67,PREVVOLS,VLOOKUP(G67,MOVE_DOWN2,2,FALSE),FALSE),VLOOKUP(G67,NGPREVPRICES,3,FALSE),HLOOKUP(D67,Correllate,VLOOKUP(G67,CorMove,2,FALSE),FALSE),Q67-$BC$3,R67,$BC$5)*H67-BI67</f>
        <v>4204.1536755217967</v>
      </c>
      <c r="BD67" s="238">
        <f>_xll.xSPRDOPT((VLOOKUP(G67,NGPREVPRICES,2,FALSE)+HLOOKUP(D67,PREVCURVES,VLOOKUP(G67,MOVE_DOWN2,2,FALSE),FALSE)),VLOOKUP(G67,NGPREVPRICES,2,FALSE),BJ67,VLOOKUP(G67,NGPrices,4,FALSE),HLOOKUP(D67,PREVVOLS,VLOOKUP(G67,MOVE_DOWN2,2,FALSE),FALSE),VLOOKUP(G67,NGPREVPRICES,3,FALSE),HLOOKUP(D67,Correllate,VLOOKUP(G67,CorMove,2,FALSE),FALSE),Q67-$BC$3,R67,$BI$5)*H67-BI67</f>
        <v>-4.2763366536746616E-2</v>
      </c>
      <c r="BE67" s="10">
        <f t="shared" si="108"/>
        <v>-2.2974704240423307</v>
      </c>
      <c r="BF67" s="238">
        <f>_xll.xSPRDOPT((VLOOKUP(G67,NGPREVPRICES,2,FALSE)+HLOOKUP(D67,PREVCURVES,VLOOKUP(G67,MOVE_DOWN2,2,FALSE),FALSE)),VLOOKUP(G67,NGPREVPRICES,2,FALSE),BJ67,VLOOKUP(G67,NGPREVPRICES,4,FALSE),HLOOKUP(D67,VOLS,VLOOKUP(G67,move_down,2,FALSE),FALSE),VLOOKUP(G67,NGPrices,3,FALSE),HLOOKUP(D67,Correllate,VLOOKUP(G67,CorMove,2,FALSE),FALSE),Q67-$BC$3,R67,$BI$5)*H67-BI67</f>
        <v>373.29969123871524</v>
      </c>
      <c r="BG67" s="238">
        <f>_xll.xSPRDOPT((VLOOKUP(G67,NGPREVPRICES,2,FALSE)+HLOOKUP(D67,PREVCURVES,VLOOKUP(G67,MOVE_DOWN2,2,FALSE),FALSE)),VLOOKUP(G67,NGPREVPRICES,2,FALSE),BJ67,VLOOKUP(G67,NGPREVPRICES,4,FALSE),HLOOKUP(D67,PREVVOLS,VLOOKUP(G67,MOVE_DOWN2,2,FALSE),FALSE),VLOOKUP(G67,NGPREVPRICES,3,FALSE),HLOOKUP(D67,Correllate,VLOOKUP(G67,CorMove,2,FALSE),FALSE),Q67-$C$3,R67,$BI$5)*H67-BI67</f>
        <v>-462.36802405610251</v>
      </c>
      <c r="BH67" s="238">
        <f t="shared" si="109"/>
        <v>4112.7451089138303</v>
      </c>
      <c r="BI67" s="238">
        <f>_xll.xSPRDOPT((VLOOKUP(G67,NGPREVPRICES,2,FALSE)+HLOOKUP(D67,PREVCURVES,VLOOKUP(G67,MOVE_DOWN2,2,FALSE),FALSE)),VLOOKUP(G67,NGPREVPRICES,2,FALSE),BJ67,VLOOKUP(G67,NGPREVPRICES,4,FALSE),HLOOKUP(D67,PREVVOLS,VLOOKUP(G67,MOVE_DOWN2,2,FALSE),FALSE),VLOOKUP(G67,NGPREVPRICES,3,FALSE),HLOOKUP(D67,Correllate,VLOOKUP(G67,CorMove,2,FALSE),FALSE),Q67-$BC$3,R67,$BI$5)*H67</f>
        <v>13421.322096237283</v>
      </c>
      <c r="BJ67" s="239">
        <f t="shared" si="110"/>
        <v>-0.32</v>
      </c>
      <c r="BL67" t="str">
        <f t="shared" si="111"/>
        <v>36678Curve Shift/Gamma</v>
      </c>
      <c r="BM67" t="str">
        <f t="shared" si="22"/>
        <v>36678Rho</v>
      </c>
      <c r="BN67" t="str">
        <f t="shared" si="23"/>
        <v>36678Drift</v>
      </c>
      <c r="BO67" t="str">
        <f t="shared" si="24"/>
        <v>36678Vega</v>
      </c>
      <c r="BP67" t="str">
        <f t="shared" si="25"/>
        <v>36678Theta</v>
      </c>
    </row>
    <row r="68" spans="1:68" ht="12" customHeight="1" x14ac:dyDescent="0.25">
      <c r="A68" t="s">
        <v>299</v>
      </c>
      <c r="B68" t="s">
        <v>253</v>
      </c>
      <c r="C68" t="s">
        <v>301</v>
      </c>
      <c r="D68" s="4" t="s">
        <v>9</v>
      </c>
      <c r="E68" t="s">
        <v>20</v>
      </c>
      <c r="F68" t="s">
        <v>1</v>
      </c>
      <c r="G68" s="5">
        <v>36708</v>
      </c>
      <c r="H68" s="130">
        <v>310000</v>
      </c>
      <c r="I68">
        <v>-0.32</v>
      </c>
      <c r="J68" s="53">
        <f>VLOOKUP(G68,NGPrices,2,FALSE)</f>
        <v>3.181</v>
      </c>
      <c r="K68" s="7">
        <f>HLOOKUP(D68,Prices,VLOOKUP(G68,move_down,2,FALSE),FALSE)</f>
        <v>-0.32250000000000001</v>
      </c>
      <c r="L68" s="4">
        <f t="shared" si="97"/>
        <v>2.8585000000000003</v>
      </c>
      <c r="M68" s="159">
        <f>VLOOKUP(G68,NGPrices,4,FALSE)</f>
        <v>6.3695649345076003E-2</v>
      </c>
      <c r="N68" s="4">
        <f>VLOOKUP(G68,NGPrices,3,FALSE)</f>
        <v>0.39500000000000002</v>
      </c>
      <c r="O68" s="4">
        <f>HLOOKUP(D68,VOLS,VLOOKUP(G68,move_down,2,FALSE),FALSE)</f>
        <v>0.38700000000000001</v>
      </c>
      <c r="P68" s="9">
        <f>HLOOKUP(D68,Correllate,VLOOKUP(G68,CorMove,2,FALSE),FALSE)</f>
        <v>0.96</v>
      </c>
      <c r="Q68" s="5">
        <f t="shared" si="54"/>
        <v>36706</v>
      </c>
      <c r="R68" s="4">
        <f>IF(F68="P",0,1)</f>
        <v>0</v>
      </c>
      <c r="S68" s="160">
        <f>_xll.xSPRDOPT($L68,$J68,$I68,$M68,$O68,$N68,$P68,$Q68-$C$3,$R68,0)</f>
        <v>6.5610528479048608E-2</v>
      </c>
      <c r="T68" s="161">
        <f>_xll.xSPRDOPT($L68,$J68,$I68,$M68,$O68,$N68,$P68,$Q68-$C$3,$R68,1)*H68</f>
        <v>-152592.0666952031</v>
      </c>
      <c r="U68" s="162">
        <f t="shared" si="112"/>
        <v>20339.263828505067</v>
      </c>
      <c r="V68" s="161">
        <f>_xll.xSPRDOPT($L68,$J68,$I68,$M68,$O68,$N68,$P68,$Q68-$C$3,$R68,2)*H68</f>
        <v>158285.95734764574</v>
      </c>
      <c r="W68" s="161">
        <f t="shared" si="104"/>
        <v>5693.890652442642</v>
      </c>
      <c r="X68" s="51" t="str">
        <f>CONCATENATE(G68,D68)</f>
        <v>36708IF-NWPL_ROCKY_M</v>
      </c>
      <c r="Y68" s="431">
        <f>H68/10000</f>
        <v>31</v>
      </c>
      <c r="Z68" s="51"/>
      <c r="AA68" s="128">
        <f t="shared" si="55"/>
        <v>38047</v>
      </c>
      <c r="AB68" s="43">
        <f t="shared" si="113"/>
        <v>0</v>
      </c>
      <c r="AC68" s="43">
        <f t="shared" si="113"/>
        <v>0</v>
      </c>
      <c r="AD68" s="43">
        <f t="shared" si="113"/>
        <v>0</v>
      </c>
      <c r="AE68" s="43">
        <f t="shared" si="113"/>
        <v>0</v>
      </c>
      <c r="AF68" s="44">
        <f t="shared" si="113"/>
        <v>0</v>
      </c>
      <c r="AG68" s="44">
        <f t="shared" si="113"/>
        <v>0</v>
      </c>
      <c r="AH68" s="128">
        <f t="shared" si="56"/>
        <v>38047</v>
      </c>
      <c r="AI68" s="44">
        <f t="shared" si="38"/>
        <v>0</v>
      </c>
      <c r="AJ68" s="51"/>
      <c r="AK68" s="128">
        <f t="shared" si="57"/>
        <v>38047</v>
      </c>
      <c r="AL68" s="43">
        <f t="shared" si="114"/>
        <v>0</v>
      </c>
      <c r="AM68" s="43">
        <f t="shared" si="114"/>
        <v>0</v>
      </c>
      <c r="AN68" s="43">
        <f t="shared" si="114"/>
        <v>0</v>
      </c>
      <c r="AO68" s="43">
        <f t="shared" si="114"/>
        <v>0</v>
      </c>
      <c r="AP68" s="44">
        <f t="shared" si="114"/>
        <v>0</v>
      </c>
      <c r="AQ68" s="44">
        <f t="shared" si="114"/>
        <v>0</v>
      </c>
      <c r="AR68" s="128">
        <f t="shared" si="58"/>
        <v>38047</v>
      </c>
      <c r="AS68" s="44">
        <f t="shared" si="39"/>
        <v>0</v>
      </c>
      <c r="AT68" s="51"/>
      <c r="AU68" s="51"/>
      <c r="AV68" s="51"/>
      <c r="AW68" s="51"/>
      <c r="AX68" s="51"/>
      <c r="AY68" s="51"/>
      <c r="AZ68" s="51"/>
      <c r="BA68" s="51"/>
      <c r="BB68" s="142">
        <f t="shared" si="107"/>
        <v>36708</v>
      </c>
      <c r="BC68" s="238">
        <f>_xll.xSPRDOPT((VLOOKUP(G68,NGPrices,2,FALSE)+HLOOKUP(D68,Prices,VLOOKUP(G68,move_down,2,FALSE),FALSE)),VLOOKUP(G68,NGPrices,2,FALSE),I68,VLOOKUP(G68,NGPREVPRICES,4,FALSE),HLOOKUP(D68,PREVVOLS,VLOOKUP(G68,MOVE_DOWN2,2,FALSE),FALSE),VLOOKUP(G68,NGPREVPRICES,3,FALSE),HLOOKUP(D68,Correllate,VLOOKUP(G68,CorMove,2,FALSE),FALSE),Q68-$BC$3,R68,$BC$5)*H68-BI68</f>
        <v>2649.4990802306384</v>
      </c>
      <c r="BD68" s="238">
        <f>_xll.xSPRDOPT((VLOOKUP(G68,NGPREVPRICES,2,FALSE)+HLOOKUP(D68,PREVCURVES,VLOOKUP(G68,MOVE_DOWN2,2,FALSE),FALSE)),VLOOKUP(G68,NGPREVPRICES,2,FALSE),BJ68,VLOOKUP(G68,NGPrices,4,FALSE),HLOOKUP(D68,PREVVOLS,VLOOKUP(G68,MOVE_DOWN2,2,FALSE),FALSE),VLOOKUP(G68,NGPREVPRICES,3,FALSE),HLOOKUP(D68,Correllate,VLOOKUP(G68,CorMove,2,FALSE),FALSE),Q68-$BC$3,R68,$BI$5)*H68-BI68</f>
        <v>-0.16748585703317076</v>
      </c>
      <c r="BE68" s="10">
        <f t="shared" si="108"/>
        <v>-3.0548641262830643</v>
      </c>
      <c r="BF68" s="238">
        <f>_xll.xSPRDOPT((VLOOKUP(G68,NGPREVPRICES,2,FALSE)+HLOOKUP(D68,PREVCURVES,VLOOKUP(G68,MOVE_DOWN2,2,FALSE),FALSE)),VLOOKUP(G68,NGPREVPRICES,2,FALSE),BJ68,VLOOKUP(G68,NGPREVPRICES,4,FALSE),HLOOKUP(D68,VOLS,VLOOKUP(G68,move_down,2,FALSE),FALSE),VLOOKUP(G68,NGPrices,3,FALSE),HLOOKUP(D68,Correllate,VLOOKUP(G68,CorMove,2,FALSE),FALSE),Q68-$BC$3,R68,$BI$5)*H68-BI68</f>
        <v>494.75089478542213</v>
      </c>
      <c r="BG68" s="238">
        <f>_xll.xSPRDOPT((VLOOKUP(G68,NGPREVPRICES,2,FALSE)+HLOOKUP(D68,PREVCURVES,VLOOKUP(G68,MOVE_DOWN2,2,FALSE),FALSE)),VLOOKUP(G68,NGPREVPRICES,2,FALSE),BJ68,VLOOKUP(G68,NGPREVPRICES,4,FALSE),HLOOKUP(D68,PREVVOLS,VLOOKUP(G68,MOVE_DOWN2,2,FALSE),FALSE),VLOOKUP(G68,NGPREVPRICES,3,FALSE),HLOOKUP(D68,Correllate,VLOOKUP(G68,CorMove,2,FALSE),FALSE),Q68-$C$3,R68,$BI$5)*H68-BI68</f>
        <v>-377.45653236892031</v>
      </c>
      <c r="BH68" s="238">
        <f t="shared" si="109"/>
        <v>2763.5710926638239</v>
      </c>
      <c r="BI68" s="238">
        <f>_xll.xSPRDOPT((VLOOKUP(G68,NGPREVPRICES,2,FALSE)+HLOOKUP(D68,PREVCURVES,VLOOKUP(G68,MOVE_DOWN2,2,FALSE),FALSE)),VLOOKUP(G68,NGPREVPRICES,2,FALSE),BJ68,VLOOKUP(G68,NGPREVPRICES,4,FALSE),HLOOKUP(D68,PREVVOLS,VLOOKUP(G68,MOVE_DOWN2,2,FALSE),FALSE),VLOOKUP(G68,NGPREVPRICES,3,FALSE),HLOOKUP(D68,Correllate,VLOOKUP(G68,CorMove,2,FALSE),FALSE),Q68-$BC$3,R68,$BI$5)*H68</f>
        <v>17578.447238647241</v>
      </c>
      <c r="BJ68" s="239">
        <f t="shared" si="110"/>
        <v>-0.32</v>
      </c>
      <c r="BL68" t="str">
        <f t="shared" si="111"/>
        <v>36708Curve Shift/Gamma</v>
      </c>
      <c r="BM68" t="str">
        <f t="shared" si="22"/>
        <v>36708Rho</v>
      </c>
      <c r="BN68" t="str">
        <f t="shared" si="23"/>
        <v>36708Drift</v>
      </c>
      <c r="BO68" t="str">
        <f t="shared" si="24"/>
        <v>36708Vega</v>
      </c>
      <c r="BP68" t="str">
        <f t="shared" si="25"/>
        <v>36708Theta</v>
      </c>
    </row>
    <row r="69" spans="1:68" ht="12" customHeight="1" x14ac:dyDescent="0.25">
      <c r="A69" t="s">
        <v>299</v>
      </c>
      <c r="B69" t="s">
        <v>253</v>
      </c>
      <c r="C69" t="s">
        <v>301</v>
      </c>
      <c r="D69" s="4" t="s">
        <v>9</v>
      </c>
      <c r="E69" t="s">
        <v>20</v>
      </c>
      <c r="F69" t="s">
        <v>1</v>
      </c>
      <c r="G69" s="5">
        <v>36739</v>
      </c>
      <c r="H69" s="130">
        <v>310000</v>
      </c>
      <c r="I69">
        <v>-0.32</v>
      </c>
      <c r="J69" s="53">
        <f>VLOOKUP(G69,NGPrices,2,FALSE)</f>
        <v>3.1829999999999998</v>
      </c>
      <c r="K69" s="7">
        <f>HLOOKUP(D69,Prices,VLOOKUP(G69,move_down,2,FALSE),FALSE)</f>
        <v>-0.32250000000000001</v>
      </c>
      <c r="L69" s="4">
        <f t="shared" si="97"/>
        <v>2.8605</v>
      </c>
      <c r="M69" s="159">
        <f>VLOOKUP(G69,NGPrices,4,FALSE)</f>
        <v>6.4500399973534003E-2</v>
      </c>
      <c r="N69" s="4">
        <f>VLOOKUP(G69,NGPrices,3,FALSE)</f>
        <v>0.41249999999999998</v>
      </c>
      <c r="O69" s="4">
        <f>HLOOKUP(D69,VOLS,VLOOKUP(G69,move_down,2,FALSE),FALSE)</f>
        <v>0.40400000000000003</v>
      </c>
      <c r="P69" s="9">
        <f>HLOOKUP(D69,Correllate,VLOOKUP(G69,CorMove,2,FALSE),FALSE)</f>
        <v>0.96</v>
      </c>
      <c r="Q69" s="5">
        <f t="shared" si="54"/>
        <v>36735</v>
      </c>
      <c r="R69" s="4">
        <f>IF(F69="P",0,1)</f>
        <v>0</v>
      </c>
      <c r="S69" s="160">
        <f>_xll.xSPRDOPT($L69,$J69,$I69,$M69,$O69,$N69,$P69,$Q69-$C$3,$R69,0)</f>
        <v>8.0358811105179145E-2</v>
      </c>
      <c r="T69" s="161">
        <f>_xll.xSPRDOPT($L69,$J69,$I69,$M69,$O69,$N69,$P69,$Q69-$C$3,$R69,1)*H69</f>
        <v>-150899.60538000011</v>
      </c>
      <c r="U69" s="162">
        <f t="shared" si="112"/>
        <v>24911.231442605535</v>
      </c>
      <c r="V69" s="161">
        <f>_xll.xSPRDOPT($L69,$J69,$I69,$M69,$O69,$N69,$P69,$Q69-$C$3,$R69,2)*H69</f>
        <v>157891.71777247192</v>
      </c>
      <c r="W69" s="161">
        <f t="shared" si="104"/>
        <v>6992.1123924718122</v>
      </c>
      <c r="X69" s="51" t="str">
        <f>CONCATENATE(G69,D69)</f>
        <v>36739IF-NWPL_ROCKY_M</v>
      </c>
      <c r="Y69" s="431">
        <f>H69/10000</f>
        <v>31</v>
      </c>
      <c r="AA69" s="128">
        <f t="shared" si="55"/>
        <v>38078</v>
      </c>
      <c r="AB69" s="43">
        <f t="shared" si="113"/>
        <v>0</v>
      </c>
      <c r="AC69" s="43">
        <f t="shared" si="113"/>
        <v>0</v>
      </c>
      <c r="AD69" s="43">
        <f t="shared" si="113"/>
        <v>0</v>
      </c>
      <c r="AE69" s="43">
        <f t="shared" si="113"/>
        <v>0</v>
      </c>
      <c r="AF69" s="44">
        <f t="shared" si="113"/>
        <v>0</v>
      </c>
      <c r="AG69" s="44">
        <f t="shared" si="113"/>
        <v>0</v>
      </c>
      <c r="AH69" s="128">
        <f t="shared" si="56"/>
        <v>38078</v>
      </c>
      <c r="AI69" s="44">
        <f t="shared" si="38"/>
        <v>0</v>
      </c>
      <c r="AJ69" s="51"/>
      <c r="AK69" s="128">
        <f t="shared" si="57"/>
        <v>38078</v>
      </c>
      <c r="AL69" s="43">
        <f t="shared" si="114"/>
        <v>0</v>
      </c>
      <c r="AM69" s="43">
        <f t="shared" si="114"/>
        <v>0</v>
      </c>
      <c r="AN69" s="43">
        <f t="shared" si="114"/>
        <v>0</v>
      </c>
      <c r="AO69" s="43">
        <f t="shared" si="114"/>
        <v>0</v>
      </c>
      <c r="AP69" s="44">
        <f t="shared" si="114"/>
        <v>0</v>
      </c>
      <c r="AQ69" s="44">
        <f t="shared" si="114"/>
        <v>0</v>
      </c>
      <c r="AR69" s="128">
        <f t="shared" si="58"/>
        <v>38078</v>
      </c>
      <c r="AS69" s="44">
        <f t="shared" si="39"/>
        <v>0</v>
      </c>
      <c r="AT69" s="51"/>
      <c r="AU69" s="51"/>
      <c r="AV69" s="51"/>
      <c r="AW69" s="51"/>
      <c r="AX69" s="51"/>
      <c r="AY69" s="51"/>
      <c r="AZ69" s="51"/>
      <c r="BA69" s="51"/>
      <c r="BB69" s="142">
        <f t="shared" si="107"/>
        <v>36739</v>
      </c>
      <c r="BC69" s="238">
        <f>_xll.xSPRDOPT((VLOOKUP(G69,NGPrices,2,FALSE)+HLOOKUP(D69,Prices,VLOOKUP(G69,move_down,2,FALSE),FALSE)),VLOOKUP(G69,NGPrices,2,FALSE),I69,VLOOKUP(G69,NGPREVPRICES,4,FALSE),HLOOKUP(D69,PREVVOLS,VLOOKUP(G69,MOVE_DOWN2,2,FALSE),FALSE),VLOOKUP(G69,NGPREVPRICES,3,FALSE),HLOOKUP(D69,Correllate,VLOOKUP(G69,CorMove,2,FALSE),FALSE),Q69-$BC$3,R69,$BC$5)*H69-BI69</f>
        <v>2733.3392170874176</v>
      </c>
      <c r="BD69" s="238">
        <f>_xll.xSPRDOPT((VLOOKUP(G69,NGPREVPRICES,2,FALSE)+HLOOKUP(D69,PREVCURVES,VLOOKUP(G69,MOVE_DOWN2,2,FALSE),FALSE)),VLOOKUP(G69,NGPREVPRICES,2,FALSE),BJ69,VLOOKUP(G69,NGPrices,4,FALSE),HLOOKUP(D69,PREVVOLS,VLOOKUP(G69,MOVE_DOWN2,2,FALSE),FALSE),VLOOKUP(G69,NGPREVPRICES,3,FALSE),HLOOKUP(D69,Correllate,VLOOKUP(G69,CorMove,2,FALSE),FALSE),Q69-$BC$3,R69,$BI$5)*H69-BI69</f>
        <v>-0.16428182926392765</v>
      </c>
      <c r="BE69" s="10">
        <f t="shared" si="108"/>
        <v>-3.8811503150791395</v>
      </c>
      <c r="BF69" s="238">
        <f>_xll.xSPRDOPT((VLOOKUP(G69,NGPREVPRICES,2,FALSE)+HLOOKUP(D69,PREVCURVES,VLOOKUP(G69,MOVE_DOWN2,2,FALSE),FALSE)),VLOOKUP(G69,NGPREVPRICES,2,FALSE),BJ69,VLOOKUP(G69,NGPREVPRICES,4,FALSE),HLOOKUP(D69,VOLS,VLOOKUP(G69,move_down,2,FALSE),FALSE),VLOOKUP(G69,NGPrices,3,FALSE),HLOOKUP(D69,Correllate,VLOOKUP(G69,CorMove,2,FALSE),FALSE),Q69-$BC$3,R69,$BI$5)*H69-BI69</f>
        <v>579.93614047763185</v>
      </c>
      <c r="BG69" s="238">
        <f>_xll.xSPRDOPT((VLOOKUP(G69,NGPREVPRICES,2,FALSE)+HLOOKUP(D69,PREVCURVES,VLOOKUP(G69,MOVE_DOWN2,2,FALSE),FALSE)),VLOOKUP(G69,NGPREVPRICES,2,FALSE),BJ69,VLOOKUP(G69,NGPREVPRICES,4,FALSE),HLOOKUP(D69,PREVVOLS,VLOOKUP(G69,MOVE_DOWN2,2,FALSE),FALSE),VLOOKUP(G69,NGPREVPRICES,3,FALSE),HLOOKUP(D69,Correllate,VLOOKUP(G69,CorMove,2,FALSE),FALSE),Q69-$C$3,R69,$BI$5)*H69-BI69</f>
        <v>-330.48498486899189</v>
      </c>
      <c r="BH69" s="238">
        <f t="shared" si="109"/>
        <v>2978.7449405517145</v>
      </c>
      <c r="BI69" s="238">
        <f>_xll.xSPRDOPT((VLOOKUP(G69,NGPREVPRICES,2,FALSE)+HLOOKUP(D69,PREVCURVES,VLOOKUP(G69,MOVE_DOWN2,2,FALSE),FALSE)),VLOOKUP(G69,NGPREVPRICES,2,FALSE),BJ69,VLOOKUP(G69,NGPREVPRICES,4,FALSE),HLOOKUP(D69,PREVVOLS,VLOOKUP(G69,MOVE_DOWN2,2,FALSE),FALSE),VLOOKUP(G69,NGPREVPRICES,3,FALSE),HLOOKUP(D69,Correllate,VLOOKUP(G69,CorMove,2,FALSE),FALSE),Q69-$BC$3,R69,$BI$5)*H69</f>
        <v>21929.870046001499</v>
      </c>
      <c r="BJ69" s="239">
        <f t="shared" si="110"/>
        <v>-0.32</v>
      </c>
      <c r="BL69" t="str">
        <f t="shared" si="111"/>
        <v>36739Curve Shift/Gamma</v>
      </c>
      <c r="BM69" t="str">
        <f t="shared" si="22"/>
        <v>36739Rho</v>
      </c>
      <c r="BN69" t="str">
        <f t="shared" si="23"/>
        <v>36739Drift</v>
      </c>
      <c r="BO69" t="str">
        <f t="shared" si="24"/>
        <v>36739Vega</v>
      </c>
      <c r="BP69" t="str">
        <f t="shared" si="25"/>
        <v>36739Theta</v>
      </c>
    </row>
    <row r="70" spans="1:68" ht="12" customHeight="1" x14ac:dyDescent="0.25">
      <c r="A70" t="s">
        <v>299</v>
      </c>
      <c r="B70" t="s">
        <v>253</v>
      </c>
      <c r="C70" t="s">
        <v>301</v>
      </c>
      <c r="D70" s="4" t="s">
        <v>9</v>
      </c>
      <c r="E70" t="s">
        <v>20</v>
      </c>
      <c r="F70" t="s">
        <v>1</v>
      </c>
      <c r="G70" s="5">
        <v>36770</v>
      </c>
      <c r="H70" s="130">
        <v>300000</v>
      </c>
      <c r="I70">
        <v>-0.32</v>
      </c>
      <c r="J70" s="53">
        <f>VLOOKUP(G70,NGPrices,2,FALSE)</f>
        <v>3.173</v>
      </c>
      <c r="K70" s="7">
        <f>HLOOKUP(D70,Prices,VLOOKUP(G70,move_down,2,FALSE),FALSE)</f>
        <v>-0.32250000000000001</v>
      </c>
      <c r="L70" s="4">
        <f t="shared" si="97"/>
        <v>2.8505000000000003</v>
      </c>
      <c r="M70" s="159">
        <f>VLOOKUP(G70,NGPrices,4,FALSE)</f>
        <v>6.5221012015626995E-2</v>
      </c>
      <c r="N70" s="4">
        <f>VLOOKUP(G70,NGPrices,3,FALSE)</f>
        <v>0.42</v>
      </c>
      <c r="O70" s="4">
        <f>HLOOKUP(D70,VOLS,VLOOKUP(G70,move_down,2,FALSE),FALSE)</f>
        <v>0.41199999999999998</v>
      </c>
      <c r="P70" s="9">
        <f>HLOOKUP(D70,Correllate,VLOOKUP(G70,CorMove,2,FALSE),FALSE)</f>
        <v>0.96</v>
      </c>
      <c r="Q70" s="5">
        <f t="shared" si="54"/>
        <v>36768</v>
      </c>
      <c r="R70" s="4">
        <f>IF(F70="P",0,1)</f>
        <v>0</v>
      </c>
      <c r="S70" s="160">
        <f>_xll.xSPRDOPT($L70,$J70,$I70,$M70,$O70,$N70,$P70,$Q70-$C$3,$R70,0)</f>
        <v>9.2987160192405424E-2</v>
      </c>
      <c r="T70" s="161">
        <f>_xll.xSPRDOPT($L70,$J70,$I70,$M70,$O70,$N70,$P70,$Q70-$C$3,$R70,1)*H70</f>
        <v>-144467.47829680663</v>
      </c>
      <c r="U70" s="162">
        <f t="shared" si="112"/>
        <v>27896.148057721628</v>
      </c>
      <c r="V70" s="161">
        <f>_xll.xSPRDOPT($L70,$J70,$I70,$M70,$O70,$N70,$P70,$Q70-$C$3,$R70,2)*H70</f>
        <v>152342.91621837529</v>
      </c>
      <c r="W70" s="161">
        <f t="shared" si="104"/>
        <v>7875.437921568664</v>
      </c>
      <c r="X70" s="51" t="str">
        <f>CONCATENATE(G70,D70)</f>
        <v>36770IF-NWPL_ROCKY_M</v>
      </c>
      <c r="Y70" s="431">
        <f>H70/10000</f>
        <v>30</v>
      </c>
      <c r="Z70" s="51"/>
      <c r="AA70" s="128">
        <f t="shared" si="55"/>
        <v>38108</v>
      </c>
      <c r="AB70" s="43">
        <f t="shared" si="113"/>
        <v>0</v>
      </c>
      <c r="AC70" s="43">
        <f t="shared" si="113"/>
        <v>0</v>
      </c>
      <c r="AD70" s="43">
        <f t="shared" si="113"/>
        <v>0</v>
      </c>
      <c r="AE70" s="43">
        <f t="shared" si="113"/>
        <v>0</v>
      </c>
      <c r="AF70" s="44">
        <f t="shared" si="113"/>
        <v>0</v>
      </c>
      <c r="AG70" s="44">
        <f t="shared" si="113"/>
        <v>0</v>
      </c>
      <c r="AH70" s="128">
        <f t="shared" si="56"/>
        <v>38108</v>
      </c>
      <c r="AI70" s="44">
        <f t="shared" si="38"/>
        <v>0</v>
      </c>
      <c r="AJ70" s="51"/>
      <c r="AK70" s="128">
        <f t="shared" si="57"/>
        <v>38108</v>
      </c>
      <c r="AL70" s="43">
        <f t="shared" si="114"/>
        <v>0</v>
      </c>
      <c r="AM70" s="43">
        <f t="shared" si="114"/>
        <v>0</v>
      </c>
      <c r="AN70" s="43">
        <f t="shared" si="114"/>
        <v>0</v>
      </c>
      <c r="AO70" s="43">
        <f t="shared" si="114"/>
        <v>0</v>
      </c>
      <c r="AP70" s="44">
        <f t="shared" si="114"/>
        <v>0</v>
      </c>
      <c r="AQ70" s="44">
        <f t="shared" si="114"/>
        <v>0</v>
      </c>
      <c r="AR70" s="128">
        <f t="shared" si="58"/>
        <v>38108</v>
      </c>
      <c r="AS70" s="44">
        <f t="shared" si="39"/>
        <v>0</v>
      </c>
      <c r="AT70" s="51"/>
      <c r="AU70" s="51"/>
      <c r="AV70" s="51"/>
      <c r="AW70" s="51"/>
      <c r="AX70" s="51"/>
      <c r="AY70" s="51"/>
      <c r="AZ70" s="51"/>
      <c r="BA70" s="51"/>
      <c r="BB70" s="142">
        <f t="shared" si="107"/>
        <v>36770</v>
      </c>
      <c r="BC70" s="238">
        <f>_xll.xSPRDOPT((VLOOKUP(G70,NGPrices,2,FALSE)+HLOOKUP(D70,Prices,VLOOKUP(G70,move_down,2,FALSE),FALSE)),VLOOKUP(G70,NGPrices,2,FALSE),I70,VLOOKUP(G70,NGPREVPRICES,4,FALSE),HLOOKUP(D70,PREVVOLS,VLOOKUP(G70,MOVE_DOWN2,2,FALSE),FALSE),VLOOKUP(G70,NGPREVPRICES,3,FALSE),HLOOKUP(D70,Correllate,VLOOKUP(G70,CorMove,2,FALSE),FALSE),Q70-$BC$3,R70,$BC$5)*H70-BI70</f>
        <v>2707.6065293152387</v>
      </c>
      <c r="BD70" s="238">
        <f>_xll.xSPRDOPT((VLOOKUP(G70,NGPREVPRICES,2,FALSE)+HLOOKUP(D70,PREVCURVES,VLOOKUP(G70,MOVE_DOWN2,2,FALSE),FALSE)),VLOOKUP(G70,NGPREVPRICES,2,FALSE),BJ70,VLOOKUP(G70,NGPrices,4,FALSE),HLOOKUP(D70,PREVVOLS,VLOOKUP(G70,MOVE_DOWN2,2,FALSE),FALSE),VLOOKUP(G70,NGPREVPRICES,3,FALSE),HLOOKUP(D70,Correllate,VLOOKUP(G70,CorMove,2,FALSE),FALSE),Q70-$BC$3,R70,$BI$5)*H70-BI70</f>
        <v>4.1475458216154948E-2</v>
      </c>
      <c r="BE70" s="10">
        <f t="shared" si="108"/>
        <v>-4.4691230031385203</v>
      </c>
      <c r="BF70" s="238">
        <f>_xll.xSPRDOPT((VLOOKUP(G70,NGPREVPRICES,2,FALSE)+HLOOKUP(D70,PREVCURVES,VLOOKUP(G70,MOVE_DOWN2,2,FALSE),FALSE)),VLOOKUP(G70,NGPREVPRICES,2,FALSE),BJ70,VLOOKUP(G70,NGPREVPRICES,4,FALSE),HLOOKUP(D70,VOLS,VLOOKUP(G70,move_down,2,FALSE),FALSE),VLOOKUP(G70,NGPrices,3,FALSE),HLOOKUP(D70,Correllate,VLOOKUP(G70,CorMove,2,FALSE),FALSE),Q70-$BC$3,R70,$BI$5)*H70-BI70</f>
        <v>638.80380991050697</v>
      </c>
      <c r="BG70" s="238">
        <f>_xll.xSPRDOPT((VLOOKUP(G70,NGPREVPRICES,2,FALSE)+HLOOKUP(D70,PREVCURVES,VLOOKUP(G70,MOVE_DOWN2,2,FALSE),FALSE)),VLOOKUP(G70,NGPREVPRICES,2,FALSE),BJ70,VLOOKUP(G70,NGPREVPRICES,4,FALSE),HLOOKUP(D70,PREVVOLS,VLOOKUP(G70,MOVE_DOWN2,2,FALSE),FALSE),VLOOKUP(G70,NGPREVPRICES,3,FALSE),HLOOKUP(D70,Correllate,VLOOKUP(G70,CorMove,2,FALSE),FALSE),Q70-$C$3,R70,$BI$5)*H70-BI70</f>
        <v>-277.76422274102879</v>
      </c>
      <c r="BH70" s="238">
        <f t="shared" si="109"/>
        <v>3064.2184689397945</v>
      </c>
      <c r="BI70" s="238">
        <f>_xll.xSPRDOPT((VLOOKUP(G70,NGPREVPRICES,2,FALSE)+HLOOKUP(D70,PREVCURVES,VLOOKUP(G70,MOVE_DOWN2,2,FALSE),FALSE)),VLOOKUP(G70,NGPREVPRICES,2,FALSE),BJ70,VLOOKUP(G70,NGPREVPRICES,4,FALSE),HLOOKUP(D70,PREVVOLS,VLOOKUP(G70,MOVE_DOWN2,2,FALSE),FALSE),VLOOKUP(G70,NGPREVPRICES,3,FALSE),HLOOKUP(D70,Correllate,VLOOKUP(G70,CorMove,2,FALSE),FALSE),Q70-$BC$3,R70,$BI$5)*H70</f>
        <v>24825.001330659743</v>
      </c>
      <c r="BJ70" s="239">
        <f t="shared" si="110"/>
        <v>-0.32</v>
      </c>
      <c r="BL70" t="str">
        <f t="shared" si="111"/>
        <v>36770Curve Shift/Gamma</v>
      </c>
      <c r="BM70" t="str">
        <f t="shared" si="22"/>
        <v>36770Rho</v>
      </c>
      <c r="BN70" t="str">
        <f t="shared" si="23"/>
        <v>36770Drift</v>
      </c>
      <c r="BO70" t="str">
        <f t="shared" si="24"/>
        <v>36770Vega</v>
      </c>
      <c r="BP70" t="str">
        <f t="shared" si="25"/>
        <v>36770Theta</v>
      </c>
    </row>
    <row r="71" spans="1:68" ht="12" customHeight="1" x14ac:dyDescent="0.25">
      <c r="A71" t="s">
        <v>299</v>
      </c>
      <c r="B71" t="s">
        <v>253</v>
      </c>
      <c r="C71" t="s">
        <v>301</v>
      </c>
      <c r="D71" s="4" t="s">
        <v>9</v>
      </c>
      <c r="E71" t="s">
        <v>20</v>
      </c>
      <c r="F71" t="s">
        <v>1</v>
      </c>
      <c r="G71" s="5">
        <v>36800</v>
      </c>
      <c r="H71" s="130">
        <v>310000</v>
      </c>
      <c r="I71">
        <v>-0.32</v>
      </c>
      <c r="J71" s="53">
        <f t="shared" ref="J71:J83" si="115">VLOOKUP(G71,NGPrices,2,FALSE)</f>
        <v>3.18</v>
      </c>
      <c r="K71" s="7">
        <f t="shared" ref="K71:K83" si="116">HLOOKUP(D71,Prices,VLOOKUP(G71,move_down,2,FALSE),FALSE)</f>
        <v>-0.29749999999999999</v>
      </c>
      <c r="L71" s="4">
        <f t="shared" ref="L71:L83" si="117">K71+J71</f>
        <v>2.8825000000000003</v>
      </c>
      <c r="M71" s="159">
        <f t="shared" ref="M71:M83" si="118">VLOOKUP(G71,NGPrices,4,FALSE)</f>
        <v>6.5817989695161006E-2</v>
      </c>
      <c r="N71" s="4">
        <f t="shared" ref="N71:N83" si="119">VLOOKUP(G71,NGPrices,3,FALSE)</f>
        <v>0.42249999999999999</v>
      </c>
      <c r="O71" s="4">
        <f t="shared" ref="O71:O83" si="120">HLOOKUP(D71,VOLS,VLOOKUP(G71,move_down,2,FALSE),FALSE)</f>
        <v>0.41399999999999998</v>
      </c>
      <c r="P71" s="9">
        <f t="shared" ref="P71:P83" si="121">HLOOKUP(D71,Correllate,VLOOKUP(G71,CorMove,2,FALSE),FALSE)</f>
        <v>0.96</v>
      </c>
      <c r="Q71" s="5">
        <f t="shared" ref="Q71:Q102" si="122">WORKDAY(G71,-2)</f>
        <v>36797</v>
      </c>
      <c r="R71" s="4">
        <f t="shared" ref="R71:R83" si="123">IF(F71="P",0,1)</f>
        <v>0</v>
      </c>
      <c r="S71" s="160">
        <f>_xll.xSPRDOPT($L71,$J71,$I71,$M71,$O71,$N71,$P71,$Q71-$C$3,$R71,0)</f>
        <v>9.1243634492784956E-2</v>
      </c>
      <c r="T71" s="161">
        <f>_xll.xSPRDOPT($L71,$J71,$I71,$M71,$O71,$N71,$P71,$Q71-$C$3,$R71,1)*H71</f>
        <v>-136570.20883954217</v>
      </c>
      <c r="U71" s="162">
        <f t="shared" si="112"/>
        <v>28285.526692763335</v>
      </c>
      <c r="V71" s="161">
        <f>_xll.xSPRDOPT($L71,$J71,$I71,$M71,$O71,$N71,$P71,$Q71-$C$3,$R71,2)*H71</f>
        <v>145533.91088288851</v>
      </c>
      <c r="W71" s="161">
        <f t="shared" ref="W71:W83" si="124">+V71+T71</f>
        <v>8963.7020433463331</v>
      </c>
      <c r="X71" s="51" t="str">
        <f t="shared" ref="X71:X83" si="125">CONCATENATE(G71,D71)</f>
        <v>36800IF-NWPL_ROCKY_M</v>
      </c>
      <c r="Y71" s="431">
        <f t="shared" ref="Y71:Y83" si="126">H71/10000</f>
        <v>31</v>
      </c>
      <c r="Z71" s="51"/>
      <c r="AA71" s="128">
        <f t="shared" si="55"/>
        <v>38139</v>
      </c>
      <c r="AB71" s="43">
        <f t="shared" si="113"/>
        <v>0</v>
      </c>
      <c r="AC71" s="43">
        <f t="shared" si="113"/>
        <v>0</v>
      </c>
      <c r="AD71" s="43">
        <f t="shared" si="113"/>
        <v>0</v>
      </c>
      <c r="AE71" s="43">
        <f t="shared" si="113"/>
        <v>0</v>
      </c>
      <c r="AF71" s="44">
        <f t="shared" si="113"/>
        <v>0</v>
      </c>
      <c r="AG71" s="44">
        <f t="shared" si="113"/>
        <v>0</v>
      </c>
      <c r="AH71" s="128">
        <f t="shared" si="56"/>
        <v>38139</v>
      </c>
      <c r="AI71" s="44">
        <f t="shared" si="38"/>
        <v>0</v>
      </c>
      <c r="AJ71" s="51"/>
      <c r="AK71" s="128">
        <f t="shared" si="57"/>
        <v>38139</v>
      </c>
      <c r="AL71" s="43">
        <f t="shared" si="114"/>
        <v>0</v>
      </c>
      <c r="AM71" s="43">
        <f t="shared" si="114"/>
        <v>0</v>
      </c>
      <c r="AN71" s="43">
        <f t="shared" si="114"/>
        <v>0</v>
      </c>
      <c r="AO71" s="43">
        <f t="shared" si="114"/>
        <v>0</v>
      </c>
      <c r="AP71" s="44">
        <f t="shared" si="114"/>
        <v>0</v>
      </c>
      <c r="AQ71" s="44">
        <f t="shared" si="114"/>
        <v>0</v>
      </c>
      <c r="AR71" s="128">
        <f t="shared" si="58"/>
        <v>38139</v>
      </c>
      <c r="AS71" s="44">
        <f t="shared" si="39"/>
        <v>0</v>
      </c>
      <c r="AT71" s="51"/>
      <c r="AU71" s="51"/>
      <c r="AV71" s="51"/>
      <c r="AW71" s="51"/>
      <c r="AX71" s="51"/>
      <c r="AY71" s="51"/>
      <c r="AZ71" s="51"/>
      <c r="BA71" s="51"/>
      <c r="BB71" s="142">
        <f t="shared" si="107"/>
        <v>36800</v>
      </c>
      <c r="BC71" s="238">
        <f>_xll.xSPRDOPT((VLOOKUP(G71,NGPrices,2,FALSE)+HLOOKUP(D71,Prices,VLOOKUP(G71,move_down,2,FALSE),FALSE)),VLOOKUP(G71,NGPrices,2,FALSE),I71,VLOOKUP(G71,NGPREVPRICES,4,FALSE),HLOOKUP(D71,PREVVOLS,VLOOKUP(G71,MOVE_DOWN2,2,FALSE),FALSE),VLOOKUP(G71,NGPREVPRICES,3,FALSE),HLOOKUP(D71,Correllate,VLOOKUP(G71,CorMove,2,FALSE),FALSE),Q71-$BC$3,R71,$BC$5)*H71-BI71</f>
        <v>2643.1102310425194</v>
      </c>
      <c r="BD71" s="238">
        <f>_xll.xSPRDOPT((VLOOKUP(G71,NGPREVPRICES,2,FALSE)+HLOOKUP(D71,PREVCURVES,VLOOKUP(G71,MOVE_DOWN2,2,FALSE),FALSE)),VLOOKUP(G71,NGPREVPRICES,2,FALSE),BJ71,VLOOKUP(G71,NGPrices,4,FALSE),HLOOKUP(D71,PREVVOLS,VLOOKUP(G71,MOVE_DOWN2,2,FALSE),FALSE),VLOOKUP(G71,NGPREVPRICES,3,FALSE),HLOOKUP(D71,Correllate,VLOOKUP(G71,CorMove,2,FALSE),FALSE),Q71-$BC$3,R71,$BI$5)*H71-BI71</f>
        <v>0.41577684356161626</v>
      </c>
      <c r="BE71" s="10">
        <f t="shared" si="108"/>
        <v>-4.6003307212376967</v>
      </c>
      <c r="BF71" s="238">
        <f>_xll.xSPRDOPT((VLOOKUP(G71,NGPREVPRICES,2,FALSE)+HLOOKUP(D71,PREVCURVES,VLOOKUP(G71,MOVE_DOWN2,2,FALSE),FALSE)),VLOOKUP(G71,NGPREVPRICES,2,FALSE),BJ71,VLOOKUP(G71,NGPREVPRICES,4,FALSE),HLOOKUP(D71,VOLS,VLOOKUP(G71,move_down,2,FALSE),FALSE),VLOOKUP(G71,NGPrices,3,FALSE),HLOOKUP(D71,Correllate,VLOOKUP(G71,CorMove,2,FALSE),FALSE),Q71-$BC$3,R71,$BI$5)*H71-BI71</f>
        <v>720.22848900294775</v>
      </c>
      <c r="BG71" s="238">
        <f>_xll.xSPRDOPT((VLOOKUP(G71,NGPREVPRICES,2,FALSE)+HLOOKUP(D71,PREVCURVES,VLOOKUP(G71,MOVE_DOWN2,2,FALSE),FALSE)),VLOOKUP(G71,NGPREVPRICES,2,FALSE),BJ71,VLOOKUP(G71,NGPREVPRICES,4,FALSE),HLOOKUP(D71,PREVVOLS,VLOOKUP(G71,MOVE_DOWN2,2,FALSE),FALSE),VLOOKUP(G71,NGPREVPRICES,3,FALSE),HLOOKUP(D71,Correllate,VLOOKUP(G71,CorMove,2,FALSE),FALSE),Q71-$C$3,R71,$BI$5)*H71-BI71</f>
        <v>-259.07235893053075</v>
      </c>
      <c r="BH71" s="238">
        <f t="shared" si="109"/>
        <v>3100.0818072372604</v>
      </c>
      <c r="BI71" s="238">
        <f>_xll.xSPRDOPT((VLOOKUP(G71,NGPREVPRICES,2,FALSE)+HLOOKUP(D71,PREVCURVES,VLOOKUP(G71,MOVE_DOWN2,2,FALSE),FALSE)),VLOOKUP(G71,NGPREVPRICES,2,FALSE),BJ71,VLOOKUP(G71,NGPREVPRICES,4,FALSE),HLOOKUP(D71,PREVVOLS,VLOOKUP(G71,MOVE_DOWN2,2,FALSE),FALSE),VLOOKUP(G71,NGPREVPRICES,3,FALSE),HLOOKUP(D71,Correllate,VLOOKUP(G71,CorMove,2,FALSE),FALSE),Q71-$BC$3,R71,$BI$5)*H71</f>
        <v>25173.626786022218</v>
      </c>
      <c r="BJ71" s="239">
        <f t="shared" si="110"/>
        <v>-0.32</v>
      </c>
      <c r="BL71" t="str">
        <f t="shared" si="111"/>
        <v>36800Curve Shift/Gamma</v>
      </c>
      <c r="BM71" t="str">
        <f t="shared" ref="BM71:BM134" si="127">CONCATENATE($BB71,$BD$6)</f>
        <v>36800Rho</v>
      </c>
      <c r="BN71" t="str">
        <f t="shared" ref="BN71:BN134" si="128">CONCATENATE($BB71,$BE$6)</f>
        <v>36800Drift</v>
      </c>
      <c r="BO71" t="str">
        <f t="shared" ref="BO71:BO134" si="129">CONCATENATE($BB71,$BF$6)</f>
        <v>36800Vega</v>
      </c>
      <c r="BP71" t="str">
        <f t="shared" ref="BP71:BP134" si="130">CONCATENATE($BB71,$BG$6)</f>
        <v>36800Theta</v>
      </c>
    </row>
    <row r="72" spans="1:68" ht="12" customHeight="1" x14ac:dyDescent="0.25">
      <c r="A72" t="s">
        <v>299</v>
      </c>
      <c r="B72" t="s">
        <v>253</v>
      </c>
      <c r="C72" t="s">
        <v>302</v>
      </c>
      <c r="D72" s="4" t="s">
        <v>9</v>
      </c>
      <c r="E72" t="s">
        <v>20</v>
      </c>
      <c r="F72" t="s">
        <v>1</v>
      </c>
      <c r="G72" s="5">
        <v>36647</v>
      </c>
      <c r="H72" s="130">
        <v>310000</v>
      </c>
      <c r="I72">
        <v>-0.4</v>
      </c>
      <c r="J72" s="53">
        <f t="shared" si="115"/>
        <v>3.1579999999999999</v>
      </c>
      <c r="K72" s="7">
        <f t="shared" si="116"/>
        <v>-0.34499999999999997</v>
      </c>
      <c r="L72" s="4">
        <f t="shared" si="117"/>
        <v>2.8129999999999997</v>
      </c>
      <c r="M72" s="159">
        <f t="shared" si="118"/>
        <v>6.2683518517613002E-2</v>
      </c>
      <c r="N72" s="4">
        <f t="shared" si="119"/>
        <v>0.41</v>
      </c>
      <c r="O72" s="4">
        <f t="shared" si="120"/>
        <v>0.377</v>
      </c>
      <c r="P72" s="9">
        <f t="shared" si="121"/>
        <v>0.96</v>
      </c>
      <c r="Q72" s="5">
        <f t="shared" si="122"/>
        <v>36643</v>
      </c>
      <c r="R72" s="4">
        <f t="shared" si="123"/>
        <v>0</v>
      </c>
      <c r="S72" s="160">
        <f>_xll.xSPRDOPT($L72,$J72,$I72,$M72,$O72,$N72,$P72,$Q72-$C$3,$R72,0)</f>
        <v>8.3318467433163654E-3</v>
      </c>
      <c r="T72" s="161">
        <f>_xll.xSPRDOPT($L72,$J72,$I72,$M72,$O72,$N72,$P72,$Q72-$C$3,$R72,1)*H72</f>
        <v>-65414.331387060061</v>
      </c>
      <c r="U72" s="162">
        <f t="shared" si="112"/>
        <v>2582.8724904280734</v>
      </c>
      <c r="V72" s="161">
        <f>_xll.xSPRDOPT($L72,$J72,$I72,$M72,$O72,$N72,$P72,$Q72-$C$3,$R72,2)*H72</f>
        <v>67037.016187560163</v>
      </c>
      <c r="W72" s="161">
        <f t="shared" si="124"/>
        <v>1622.6848005001011</v>
      </c>
      <c r="X72" s="51" t="str">
        <f t="shared" si="125"/>
        <v>36647IF-NWPL_ROCKY_M</v>
      </c>
      <c r="Y72" s="431">
        <f t="shared" si="126"/>
        <v>31</v>
      </c>
      <c r="Z72" s="51"/>
      <c r="AA72" s="128">
        <f t="shared" ref="AA72:AA103" si="131">EOMONTH(AA71,0)+1</f>
        <v>38169</v>
      </c>
      <c r="AB72" s="43">
        <f t="shared" si="113"/>
        <v>0</v>
      </c>
      <c r="AC72" s="43">
        <f t="shared" si="113"/>
        <v>0</v>
      </c>
      <c r="AD72" s="43">
        <f t="shared" si="113"/>
        <v>0</v>
      </c>
      <c r="AE72" s="43">
        <f t="shared" si="113"/>
        <v>0</v>
      </c>
      <c r="AF72" s="44">
        <f t="shared" si="113"/>
        <v>0</v>
      </c>
      <c r="AG72" s="44">
        <f t="shared" si="113"/>
        <v>0</v>
      </c>
      <c r="AH72" s="128">
        <f t="shared" ref="AH72:AH103" si="132">EOMONTH(AH71,0)+1</f>
        <v>38169</v>
      </c>
      <c r="AI72" s="44">
        <f t="shared" si="38"/>
        <v>0</v>
      </c>
      <c r="AJ72" s="51"/>
      <c r="AK72" s="128">
        <f t="shared" ref="AK72:AK103" si="133">EOMONTH(AK71,0)+1</f>
        <v>38169</v>
      </c>
      <c r="AL72" s="43">
        <f t="shared" si="114"/>
        <v>0</v>
      </c>
      <c r="AM72" s="43">
        <f t="shared" si="114"/>
        <v>0</v>
      </c>
      <c r="AN72" s="43">
        <f t="shared" si="114"/>
        <v>0</v>
      </c>
      <c r="AO72" s="43">
        <f t="shared" si="114"/>
        <v>0</v>
      </c>
      <c r="AP72" s="44">
        <f t="shared" si="114"/>
        <v>0</v>
      </c>
      <c r="AQ72" s="44">
        <f t="shared" si="114"/>
        <v>0</v>
      </c>
      <c r="AR72" s="128">
        <f t="shared" ref="AR72:AR103" si="134">EOMONTH(AR71,0)+1</f>
        <v>38169</v>
      </c>
      <c r="AS72" s="44">
        <f t="shared" si="39"/>
        <v>0</v>
      </c>
      <c r="AT72" s="51"/>
      <c r="AU72" s="51"/>
      <c r="AV72" s="51"/>
      <c r="AW72" s="51"/>
      <c r="AX72" s="51"/>
      <c r="AY72" s="51"/>
      <c r="AZ72" s="51"/>
      <c r="BA72" s="51"/>
      <c r="BB72" s="142">
        <f t="shared" si="107"/>
        <v>36647</v>
      </c>
      <c r="BC72" s="238">
        <f>_xll.xSPRDOPT((VLOOKUP(G72,NGPrices,2,FALSE)+HLOOKUP(D72,Prices,VLOOKUP(G72,move_down,2,FALSE),FALSE)),VLOOKUP(G72,NGPrices,2,FALSE),I72,VLOOKUP(G72,NGPREVPRICES,4,FALSE),HLOOKUP(D72,PREVVOLS,VLOOKUP(G72,MOVE_DOWN2,2,FALSE),FALSE),VLOOKUP(G72,NGPREVPRICES,3,FALSE),HLOOKUP(D72,Correllate,VLOOKUP(G72,CorMove,2,FALSE),FALSE),Q72-$BC$3,R72,$BC$5)*H72-BI72</f>
        <v>1571.8976074713705</v>
      </c>
      <c r="BD72" s="238">
        <f>_xll.xSPRDOPT((VLOOKUP(G72,NGPREVPRICES,2,FALSE)+HLOOKUP(D72,PREVCURVES,VLOOKUP(G72,MOVE_DOWN2,2,FALSE),FALSE)),VLOOKUP(G72,NGPREVPRICES,2,FALSE),BJ72,VLOOKUP(G72,NGPrices,4,FALSE),HLOOKUP(D72,PREVVOLS,VLOOKUP(G72,MOVE_DOWN2,2,FALSE),FALSE),VLOOKUP(G72,NGPREVPRICES,3,FALSE),HLOOKUP(D72,Correllate,VLOOKUP(G72,CorMove,2,FALSE),FALSE),Q72-$BC$3,R72,$BI$5)*H72-BI72</f>
        <v>-3.1777153847087902E-3</v>
      </c>
      <c r="BE72" s="10">
        <f t="shared" si="108"/>
        <v>-0.15525200909439718</v>
      </c>
      <c r="BF72" s="238">
        <f>_xll.xSPRDOPT((VLOOKUP(G72,NGPREVPRICES,2,FALSE)+HLOOKUP(D72,PREVCURVES,VLOOKUP(G72,MOVE_DOWN2,2,FALSE),FALSE)),VLOOKUP(G72,NGPREVPRICES,2,FALSE),BJ72,VLOOKUP(G72,NGPREVPRICES,4,FALSE),HLOOKUP(D72,VOLS,VLOOKUP(G72,move_down,2,FALSE),FALSE),VLOOKUP(G72,NGPrices,3,FALSE),HLOOKUP(D72,Correllate,VLOOKUP(G72,CorMove,2,FALSE),FALSE),Q72-$BC$3,R72,$BI$5)*H72-BI72</f>
        <v>617.98545520432583</v>
      </c>
      <c r="BG72" s="238">
        <f>_xll.xSPRDOPT((VLOOKUP(G72,NGPREVPRICES,2,FALSE)+HLOOKUP(D72,PREVCURVES,VLOOKUP(G72,MOVE_DOWN2,2,FALSE),FALSE)),VLOOKUP(G72,NGPREVPRICES,2,FALSE),BJ72,VLOOKUP(G72,NGPREVPRICES,4,FALSE),HLOOKUP(D72,PREVVOLS,VLOOKUP(G72,MOVE_DOWN2,2,FALSE),FALSE),VLOOKUP(G72,NGPREVPRICES,3,FALSE),HLOOKUP(D72,Correllate,VLOOKUP(G72,CorMove,2,FALSE),FALSE),Q72-$C$3,R72,$BI$5)*H72-BI72</f>
        <v>-380.77885911991905</v>
      </c>
      <c r="BH72" s="238">
        <f t="shared" si="109"/>
        <v>1808.9457738312981</v>
      </c>
      <c r="BI72" s="238">
        <f>_xll.xSPRDOPT((VLOOKUP(G72,NGPREVPRICES,2,FALSE)+HLOOKUP(D72,PREVCURVES,VLOOKUP(G72,MOVE_DOWN2,2,FALSE),FALSE)),VLOOKUP(G72,NGPREVPRICES,2,FALSE),BJ72,VLOOKUP(G72,NGPREVPRICES,4,FALSE),HLOOKUP(D72,PREVVOLS,VLOOKUP(G72,MOVE_DOWN2,2,FALSE),FALSE),VLOOKUP(G72,NGPREVPRICES,3,FALSE),HLOOKUP(D72,Correllate,VLOOKUP(G72,CorMove,2,FALSE),FALSE),Q72-$BC$3,R72,$BI$5)*H72</f>
        <v>917.89763213588697</v>
      </c>
      <c r="BJ72" s="239">
        <f t="shared" si="110"/>
        <v>-0.4</v>
      </c>
      <c r="BL72" t="str">
        <f t="shared" si="111"/>
        <v>36647Curve Shift/Gamma</v>
      </c>
      <c r="BM72" t="str">
        <f t="shared" si="127"/>
        <v>36647Rho</v>
      </c>
      <c r="BN72" t="str">
        <f t="shared" si="128"/>
        <v>36647Drift</v>
      </c>
      <c r="BO72" t="str">
        <f t="shared" si="129"/>
        <v>36647Vega</v>
      </c>
      <c r="BP72" t="str">
        <f t="shared" si="130"/>
        <v>36647Theta</v>
      </c>
    </row>
    <row r="73" spans="1:68" ht="12" customHeight="1" x14ac:dyDescent="0.25">
      <c r="A73" t="s">
        <v>299</v>
      </c>
      <c r="B73" t="s">
        <v>253</v>
      </c>
      <c r="C73" t="s">
        <v>302</v>
      </c>
      <c r="D73" s="4" t="s">
        <v>9</v>
      </c>
      <c r="E73" t="s">
        <v>20</v>
      </c>
      <c r="F73" t="s">
        <v>1</v>
      </c>
      <c r="G73" s="5">
        <v>36678</v>
      </c>
      <c r="H73" s="130">
        <v>300000</v>
      </c>
      <c r="I73">
        <v>-0.4</v>
      </c>
      <c r="J73" s="53">
        <f t="shared" si="115"/>
        <v>3.1720000000000002</v>
      </c>
      <c r="K73" s="7">
        <f t="shared" si="116"/>
        <v>-0.34</v>
      </c>
      <c r="L73" s="4">
        <f t="shared" si="117"/>
        <v>2.8320000000000003</v>
      </c>
      <c r="M73" s="159">
        <f t="shared" si="118"/>
        <v>6.3039999833066004E-2</v>
      </c>
      <c r="N73" s="4">
        <f t="shared" si="119"/>
        <v>0.38250000000000001</v>
      </c>
      <c r="O73" s="4">
        <f t="shared" si="120"/>
        <v>0.375</v>
      </c>
      <c r="P73" s="9">
        <f t="shared" si="121"/>
        <v>0.96</v>
      </c>
      <c r="Q73" s="5">
        <f t="shared" si="122"/>
        <v>36676</v>
      </c>
      <c r="R73" s="4">
        <f t="shared" si="123"/>
        <v>0</v>
      </c>
      <c r="S73" s="160">
        <f>_xll.xSPRDOPT($L73,$J73,$I73,$M73,$O73,$N73,$P73,$Q73-$C$3,$R73,0)</f>
        <v>2.529955571926893E-2</v>
      </c>
      <c r="T73" s="161">
        <f>_xll.xSPRDOPT($L73,$J73,$I73,$M73,$O73,$N73,$P73,$Q73-$C$3,$R73,1)*H73</f>
        <v>-92731.077967233636</v>
      </c>
      <c r="U73" s="162">
        <f t="shared" si="112"/>
        <v>7589.8667157806794</v>
      </c>
      <c r="V73" s="161">
        <f>_xll.xSPRDOPT($L73,$J73,$I73,$M73,$O73,$N73,$P73,$Q73-$C$3,$R73,2)*H73</f>
        <v>96314.848695393084</v>
      </c>
      <c r="W73" s="161">
        <f t="shared" si="124"/>
        <v>3583.7707281594485</v>
      </c>
      <c r="X73" s="51" t="str">
        <f t="shared" si="125"/>
        <v>36678IF-NWPL_ROCKY_M</v>
      </c>
      <c r="Y73" s="431">
        <f t="shared" si="126"/>
        <v>30</v>
      </c>
      <c r="Z73" s="51"/>
      <c r="AA73" s="128">
        <f t="shared" si="131"/>
        <v>38200</v>
      </c>
      <c r="AB73" s="43">
        <f t="shared" si="113"/>
        <v>0</v>
      </c>
      <c r="AC73" s="43">
        <f t="shared" si="113"/>
        <v>0</v>
      </c>
      <c r="AD73" s="43">
        <f t="shared" si="113"/>
        <v>0</v>
      </c>
      <c r="AE73" s="43">
        <f t="shared" si="113"/>
        <v>0</v>
      </c>
      <c r="AF73" s="44">
        <f t="shared" si="113"/>
        <v>0</v>
      </c>
      <c r="AG73" s="44">
        <f t="shared" si="113"/>
        <v>0</v>
      </c>
      <c r="AH73" s="128">
        <f t="shared" si="132"/>
        <v>38200</v>
      </c>
      <c r="AI73" s="44">
        <f t="shared" si="38"/>
        <v>0</v>
      </c>
      <c r="AJ73" s="51"/>
      <c r="AK73" s="128">
        <f t="shared" si="133"/>
        <v>38200</v>
      </c>
      <c r="AL73" s="43">
        <f t="shared" si="114"/>
        <v>0</v>
      </c>
      <c r="AM73" s="43">
        <f t="shared" si="114"/>
        <v>0</v>
      </c>
      <c r="AN73" s="43">
        <f t="shared" si="114"/>
        <v>0</v>
      </c>
      <c r="AO73" s="43">
        <f t="shared" si="114"/>
        <v>0</v>
      </c>
      <c r="AP73" s="44">
        <f t="shared" si="114"/>
        <v>0</v>
      </c>
      <c r="AQ73" s="44">
        <f t="shared" si="114"/>
        <v>0</v>
      </c>
      <c r="AR73" s="128">
        <f t="shared" si="134"/>
        <v>38200</v>
      </c>
      <c r="AS73" s="44">
        <f t="shared" si="39"/>
        <v>0</v>
      </c>
      <c r="AT73" s="51"/>
      <c r="AU73" s="51"/>
      <c r="AV73" s="51"/>
      <c r="AW73" s="51"/>
      <c r="AX73" s="51"/>
      <c r="AY73" s="51"/>
      <c r="AZ73" s="51"/>
      <c r="BA73" s="51"/>
      <c r="BB73" s="142">
        <f t="shared" si="107"/>
        <v>36678</v>
      </c>
      <c r="BC73" s="238">
        <f>_xll.xSPRDOPT((VLOOKUP(G73,NGPrices,2,FALSE)+HLOOKUP(D73,Prices,VLOOKUP(G73,move_down,2,FALSE),FALSE)),VLOOKUP(G73,NGPrices,2,FALSE),I73,VLOOKUP(G73,NGPREVPRICES,4,FALSE),HLOOKUP(D73,PREVVOLS,VLOOKUP(G73,MOVE_DOWN2,2,FALSE),FALSE),VLOOKUP(G73,NGPREVPRICES,3,FALSE),HLOOKUP(D73,Correllate,VLOOKUP(G73,CorMove,2,FALSE),FALSE),Q73-$BC$3,R73,$BC$5)*H73-BI73</f>
        <v>2342.5724319391638</v>
      </c>
      <c r="BD73" s="238">
        <f>_xll.xSPRDOPT((VLOOKUP(G73,NGPREVPRICES,2,FALSE)+HLOOKUP(D73,PREVCURVES,VLOOKUP(G73,MOVE_DOWN2,2,FALSE),FALSE)),VLOOKUP(G73,NGPREVPRICES,2,FALSE),BJ73,VLOOKUP(G73,NGPrices,4,FALSE),HLOOKUP(D73,PREVVOLS,VLOOKUP(G73,MOVE_DOWN2,2,FALSE),FALSE),VLOOKUP(G73,NGPREVPRICES,3,FALSE),HLOOKUP(D73,Correllate,VLOOKUP(G73,CorMove,2,FALSE),FALSE),Q73-$BC$3,R73,$BI$5)*H73-BI73</f>
        <v>-1.7034613020769029E-2</v>
      </c>
      <c r="BE73" s="10">
        <f t="shared" si="108"/>
        <v>-0.91518799304503773</v>
      </c>
      <c r="BF73" s="238">
        <f>_xll.xSPRDOPT((VLOOKUP(G73,NGPREVPRICES,2,FALSE)+HLOOKUP(D73,PREVCURVES,VLOOKUP(G73,MOVE_DOWN2,2,FALSE),FALSE)),VLOOKUP(G73,NGPREVPRICES,2,FALSE),BJ73,VLOOKUP(G73,NGPREVPRICES,4,FALSE),HLOOKUP(D73,VOLS,VLOOKUP(G73,move_down,2,FALSE),FALSE),VLOOKUP(G73,NGPrices,3,FALSE),HLOOKUP(D73,Correllate,VLOOKUP(G73,CorMove,2,FALSE),FALSE),Q73-$BC$3,R73,$BI$5)*H73-BI73</f>
        <v>306.07671451969782</v>
      </c>
      <c r="BG73" s="238">
        <f>_xll.xSPRDOPT((VLOOKUP(G73,NGPREVPRICES,2,FALSE)+HLOOKUP(D73,PREVCURVES,VLOOKUP(G73,MOVE_DOWN2,2,FALSE),FALSE)),VLOOKUP(G73,NGPREVPRICES,2,FALSE),BJ73,VLOOKUP(G73,NGPREVPRICES,4,FALSE),HLOOKUP(D73,PREVVOLS,VLOOKUP(G73,MOVE_DOWN2,2,FALSE),FALSE),VLOOKUP(G73,NGPREVPRICES,3,FALSE),HLOOKUP(D73,Correllate,VLOOKUP(G73,CorMove,2,FALSE),FALSE),Q73-$C$3,R73,$BI$5)*H73-BI73</f>
        <v>-377.68305742243865</v>
      </c>
      <c r="BH73" s="238">
        <f t="shared" si="109"/>
        <v>2270.0338664303572</v>
      </c>
      <c r="BI73" s="238">
        <f>_xll.xSPRDOPT((VLOOKUP(G73,NGPREVPRICES,2,FALSE)+HLOOKUP(D73,PREVCURVES,VLOOKUP(G73,MOVE_DOWN2,2,FALSE),FALSE)),VLOOKUP(G73,NGPREVPRICES,2,FALSE),BJ73,VLOOKUP(G73,NGPREVPRICES,4,FALSE),HLOOKUP(D73,PREVVOLS,VLOOKUP(G73,MOVE_DOWN2,2,FALSE),FALSE),VLOOKUP(G73,NGPREVPRICES,3,FALSE),HLOOKUP(D73,Correllate,VLOOKUP(G73,CorMove,2,FALSE),FALSE),Q73-$BC$3,R73,$BI$5)*H73</f>
        <v>5346.3290341974362</v>
      </c>
      <c r="BJ73" s="239">
        <f t="shared" si="110"/>
        <v>-0.4</v>
      </c>
      <c r="BL73" t="str">
        <f t="shared" si="111"/>
        <v>36678Curve Shift/Gamma</v>
      </c>
      <c r="BM73" t="str">
        <f t="shared" si="127"/>
        <v>36678Rho</v>
      </c>
      <c r="BN73" t="str">
        <f t="shared" si="128"/>
        <v>36678Drift</v>
      </c>
      <c r="BO73" t="str">
        <f t="shared" si="129"/>
        <v>36678Vega</v>
      </c>
      <c r="BP73" t="str">
        <f t="shared" si="130"/>
        <v>36678Theta</v>
      </c>
    </row>
    <row r="74" spans="1:68" ht="12" customHeight="1" x14ac:dyDescent="0.25">
      <c r="A74" t="s">
        <v>299</v>
      </c>
      <c r="B74" t="s">
        <v>253</v>
      </c>
      <c r="C74" t="s">
        <v>302</v>
      </c>
      <c r="D74" s="4" t="s">
        <v>9</v>
      </c>
      <c r="E74" t="s">
        <v>20</v>
      </c>
      <c r="F74" t="s">
        <v>1</v>
      </c>
      <c r="G74" s="5">
        <v>36708</v>
      </c>
      <c r="H74" s="130">
        <v>310000</v>
      </c>
      <c r="I74">
        <v>-0.4</v>
      </c>
      <c r="J74" s="53">
        <f t="shared" si="115"/>
        <v>3.181</v>
      </c>
      <c r="K74" s="7">
        <f t="shared" si="116"/>
        <v>-0.32250000000000001</v>
      </c>
      <c r="L74" s="4">
        <f t="shared" si="117"/>
        <v>2.8585000000000003</v>
      </c>
      <c r="M74" s="159">
        <f t="shared" si="118"/>
        <v>6.3695649345076003E-2</v>
      </c>
      <c r="N74" s="4">
        <f t="shared" si="119"/>
        <v>0.39500000000000002</v>
      </c>
      <c r="O74" s="4">
        <f t="shared" si="120"/>
        <v>0.38700000000000001</v>
      </c>
      <c r="P74" s="9">
        <f t="shared" si="121"/>
        <v>0.96</v>
      </c>
      <c r="Q74" s="5">
        <f t="shared" si="122"/>
        <v>36706</v>
      </c>
      <c r="R74" s="4">
        <f t="shared" si="123"/>
        <v>0</v>
      </c>
      <c r="S74" s="160">
        <f>_xll.xSPRDOPT($L74,$J74,$I74,$M74,$O74,$N74,$P74,$Q74-$C$3,$R74,0)</f>
        <v>3.5172063358679881E-2</v>
      </c>
      <c r="T74" s="161">
        <f>_xll.xSPRDOPT($L74,$J74,$I74,$M74,$O74,$N74,$P74,$Q74-$C$3,$R74,1)*H74</f>
        <v>-97189.590127516625</v>
      </c>
      <c r="U74" s="162">
        <f t="shared" si="112"/>
        <v>10903.339641190763</v>
      </c>
      <c r="V74" s="161">
        <f>_xll.xSPRDOPT($L74,$J74,$I74,$M74,$O74,$N74,$P74,$Q74-$C$3,$R74,2)*H74</f>
        <v>102210.94290718625</v>
      </c>
      <c r="W74" s="161">
        <f t="shared" si="124"/>
        <v>5021.3527796696289</v>
      </c>
      <c r="X74" s="51" t="str">
        <f t="shared" si="125"/>
        <v>36708IF-NWPL_ROCKY_M</v>
      </c>
      <c r="Y74" s="431">
        <f t="shared" si="126"/>
        <v>31</v>
      </c>
      <c r="AA74" s="128">
        <f t="shared" si="131"/>
        <v>38231</v>
      </c>
      <c r="AB74" s="43">
        <f t="shared" si="113"/>
        <v>0</v>
      </c>
      <c r="AC74" s="43">
        <f t="shared" si="113"/>
        <v>0</v>
      </c>
      <c r="AD74" s="43">
        <f t="shared" si="113"/>
        <v>0</v>
      </c>
      <c r="AE74" s="43">
        <f t="shared" si="113"/>
        <v>0</v>
      </c>
      <c r="AF74" s="44">
        <f t="shared" si="113"/>
        <v>0</v>
      </c>
      <c r="AG74" s="44">
        <f t="shared" si="113"/>
        <v>0</v>
      </c>
      <c r="AH74" s="128">
        <f t="shared" si="132"/>
        <v>38231</v>
      </c>
      <c r="AI74" s="44">
        <f t="shared" si="38"/>
        <v>0</v>
      </c>
      <c r="AJ74" s="51"/>
      <c r="AK74" s="128">
        <f t="shared" si="133"/>
        <v>38231</v>
      </c>
      <c r="AL74" s="43">
        <f t="shared" si="114"/>
        <v>0</v>
      </c>
      <c r="AM74" s="43">
        <f t="shared" si="114"/>
        <v>0</v>
      </c>
      <c r="AN74" s="43">
        <f t="shared" si="114"/>
        <v>0</v>
      </c>
      <c r="AO74" s="43">
        <f t="shared" si="114"/>
        <v>0</v>
      </c>
      <c r="AP74" s="44">
        <f t="shared" si="114"/>
        <v>0</v>
      </c>
      <c r="AQ74" s="44">
        <f t="shared" si="114"/>
        <v>0</v>
      </c>
      <c r="AR74" s="128">
        <f t="shared" si="134"/>
        <v>38231</v>
      </c>
      <c r="AS74" s="44">
        <f t="shared" si="39"/>
        <v>0</v>
      </c>
      <c r="AT74" s="51"/>
      <c r="AU74" s="51"/>
      <c r="AV74" s="51"/>
      <c r="AW74" s="51"/>
      <c r="AX74" s="51"/>
      <c r="AY74" s="51"/>
      <c r="AZ74" s="51"/>
      <c r="BA74" s="51"/>
      <c r="BB74" s="142">
        <f t="shared" si="107"/>
        <v>36708</v>
      </c>
      <c r="BC74" s="238">
        <f>_xll.xSPRDOPT((VLOOKUP(G74,NGPrices,2,FALSE)+HLOOKUP(D74,Prices,VLOOKUP(G74,move_down,2,FALSE),FALSE)),VLOOKUP(G74,NGPrices,2,FALSE),I74,VLOOKUP(G74,NGPREVPRICES,4,FALSE),HLOOKUP(D74,PREVVOLS,VLOOKUP(G74,MOVE_DOWN2,2,FALSE),FALSE),VLOOKUP(G74,NGPREVPRICES,3,FALSE),HLOOKUP(D74,Correllate,VLOOKUP(G74,CorMove,2,FALSE),FALSE),Q74-$BC$3,R74,$BC$5)*H74-BI74</f>
        <v>1757.7186014703129</v>
      </c>
      <c r="BD74" s="238">
        <f>_xll.xSPRDOPT((VLOOKUP(G74,NGPREVPRICES,2,FALSE)+HLOOKUP(D74,PREVCURVES,VLOOKUP(G74,MOVE_DOWN2,2,FALSE),FALSE)),VLOOKUP(G74,NGPREVPRICES,2,FALSE),BJ74,VLOOKUP(G74,NGPrices,4,FALSE),HLOOKUP(D74,PREVVOLS,VLOOKUP(G74,MOVE_DOWN2,2,FALSE),FALSE),VLOOKUP(G74,NGPREVPRICES,3,FALSE),HLOOKUP(D74,Correllate,VLOOKUP(G74,CorMove,2,FALSE),FALSE),Q74-$BC$3,R74,$BI$5)*H74-BI74</f>
        <v>-8.6203794688117341E-2</v>
      </c>
      <c r="BE74" s="10">
        <f t="shared" si="108"/>
        <v>-1.5723171174522577</v>
      </c>
      <c r="BF74" s="238">
        <f>_xll.xSPRDOPT((VLOOKUP(G74,NGPREVPRICES,2,FALSE)+HLOOKUP(D74,PREVCURVES,VLOOKUP(G74,MOVE_DOWN2,2,FALSE),FALSE)),VLOOKUP(G74,NGPREVPRICES,2,FALSE),BJ74,VLOOKUP(G74,NGPREVPRICES,4,FALSE),HLOOKUP(D74,VOLS,VLOOKUP(G74,move_down,2,FALSE),FALSE),VLOOKUP(G74,NGPrices,3,FALSE),HLOOKUP(D74,Correllate,VLOOKUP(G74,CorMove,2,FALSE),FALSE),Q74-$BC$3,R74,$BI$5)*H74-BI74</f>
        <v>439.16539333198125</v>
      </c>
      <c r="BG74" s="238">
        <f>_xll.xSPRDOPT((VLOOKUP(G74,NGPREVPRICES,2,FALSE)+HLOOKUP(D74,PREVCURVES,VLOOKUP(G74,MOVE_DOWN2,2,FALSE),FALSE)),VLOOKUP(G74,NGPREVPRICES,2,FALSE),BJ74,VLOOKUP(G74,NGPREVPRICES,4,FALSE),HLOOKUP(D74,PREVVOLS,VLOOKUP(G74,MOVE_DOWN2,2,FALSE),FALSE),VLOOKUP(G74,NGPREVPRICES,3,FALSE),HLOOKUP(D74,Correllate,VLOOKUP(G74,CorMove,2,FALSE),FALSE),Q74-$C$3,R74,$BI$5)*H74-BI74</f>
        <v>-337.06290265540883</v>
      </c>
      <c r="BH74" s="238">
        <f t="shared" si="109"/>
        <v>1858.162571234745</v>
      </c>
      <c r="BI74" s="238">
        <f>_xll.xSPRDOPT((VLOOKUP(G74,NGPREVPRICES,2,FALSE)+HLOOKUP(D74,PREVCURVES,VLOOKUP(G74,MOVE_DOWN2,2,FALSE),FALSE)),VLOOKUP(G74,NGPREVPRICES,2,FALSE),BJ74,VLOOKUP(G74,NGPREVPRICES,4,FALSE),HLOOKUP(D74,PREVVOLS,VLOOKUP(G74,MOVE_DOWN2,2,FALSE),FALSE),VLOOKUP(G74,NGPREVPRICES,3,FALSE),HLOOKUP(D74,Correllate,VLOOKUP(G74,CorMove,2,FALSE),FALSE),Q74-$BC$3,R74,$BI$5)*H74</f>
        <v>9047.5033746126774</v>
      </c>
      <c r="BJ74" s="239">
        <f t="shared" si="110"/>
        <v>-0.4</v>
      </c>
      <c r="BL74" t="str">
        <f t="shared" si="111"/>
        <v>36708Curve Shift/Gamma</v>
      </c>
      <c r="BM74" t="str">
        <f t="shared" si="127"/>
        <v>36708Rho</v>
      </c>
      <c r="BN74" t="str">
        <f t="shared" si="128"/>
        <v>36708Drift</v>
      </c>
      <c r="BO74" t="str">
        <f t="shared" si="129"/>
        <v>36708Vega</v>
      </c>
      <c r="BP74" t="str">
        <f t="shared" si="130"/>
        <v>36708Theta</v>
      </c>
    </row>
    <row r="75" spans="1:68" ht="12" customHeight="1" x14ac:dyDescent="0.25">
      <c r="A75" t="s">
        <v>299</v>
      </c>
      <c r="B75" t="s">
        <v>253</v>
      </c>
      <c r="C75" t="s">
        <v>302</v>
      </c>
      <c r="D75" s="4" t="s">
        <v>9</v>
      </c>
      <c r="E75" t="s">
        <v>20</v>
      </c>
      <c r="F75" t="s">
        <v>1</v>
      </c>
      <c r="G75" s="5">
        <v>36739</v>
      </c>
      <c r="H75" s="130">
        <v>310000</v>
      </c>
      <c r="I75">
        <v>-0.4</v>
      </c>
      <c r="J75" s="53">
        <f t="shared" si="115"/>
        <v>3.1829999999999998</v>
      </c>
      <c r="K75" s="7">
        <f t="shared" si="116"/>
        <v>-0.32250000000000001</v>
      </c>
      <c r="L75" s="4">
        <f t="shared" si="117"/>
        <v>2.8605</v>
      </c>
      <c r="M75" s="159">
        <f t="shared" si="118"/>
        <v>6.4500399973534003E-2</v>
      </c>
      <c r="N75" s="4">
        <f t="shared" si="119"/>
        <v>0.41249999999999998</v>
      </c>
      <c r="O75" s="4">
        <f t="shared" si="120"/>
        <v>0.40400000000000003</v>
      </c>
      <c r="P75" s="9">
        <f t="shared" si="121"/>
        <v>0.96</v>
      </c>
      <c r="Q75" s="5">
        <f t="shared" si="122"/>
        <v>36735</v>
      </c>
      <c r="R75" s="4">
        <f t="shared" si="123"/>
        <v>0</v>
      </c>
      <c r="S75" s="160">
        <f>_xll.xSPRDOPT($L75,$J75,$I75,$M75,$O75,$N75,$P75,$Q75-$C$3,$R75,0)</f>
        <v>4.9324185810084888E-2</v>
      </c>
      <c r="T75" s="161">
        <f>_xll.xSPRDOPT($L75,$J75,$I75,$M75,$O75,$N75,$P75,$Q75-$C$3,$R75,1)*H75</f>
        <v>-105948.12300219067</v>
      </c>
      <c r="U75" s="162">
        <f t="shared" si="112"/>
        <v>15290.497601126315</v>
      </c>
      <c r="V75" s="161">
        <f>_xll.xSPRDOPT($L75,$J75,$I75,$M75,$O75,$N75,$P75,$Q75-$C$3,$R75,2)*H75</f>
        <v>112343.66643468848</v>
      </c>
      <c r="W75" s="161">
        <f t="shared" si="124"/>
        <v>6395.5434324978123</v>
      </c>
      <c r="X75" s="51" t="str">
        <f t="shared" si="125"/>
        <v>36739IF-NWPL_ROCKY_M</v>
      </c>
      <c r="Y75" s="431">
        <f t="shared" si="126"/>
        <v>31</v>
      </c>
      <c r="AA75" s="128">
        <f t="shared" si="131"/>
        <v>38261</v>
      </c>
      <c r="AB75" s="43">
        <f t="shared" si="113"/>
        <v>0</v>
      </c>
      <c r="AC75" s="43">
        <f t="shared" si="113"/>
        <v>0</v>
      </c>
      <c r="AD75" s="43">
        <f t="shared" si="113"/>
        <v>0</v>
      </c>
      <c r="AE75" s="43">
        <f t="shared" si="113"/>
        <v>0</v>
      </c>
      <c r="AF75" s="44">
        <f t="shared" si="113"/>
        <v>0</v>
      </c>
      <c r="AG75" s="44">
        <f t="shared" si="113"/>
        <v>0</v>
      </c>
      <c r="AH75" s="128">
        <f t="shared" si="132"/>
        <v>38261</v>
      </c>
      <c r="AI75" s="44">
        <f t="shared" si="38"/>
        <v>0</v>
      </c>
      <c r="AJ75" s="51"/>
      <c r="AK75" s="128">
        <f t="shared" si="133"/>
        <v>38261</v>
      </c>
      <c r="AL75" s="43">
        <f t="shared" si="114"/>
        <v>0</v>
      </c>
      <c r="AM75" s="43">
        <f t="shared" si="114"/>
        <v>0</v>
      </c>
      <c r="AN75" s="43">
        <f t="shared" si="114"/>
        <v>0</v>
      </c>
      <c r="AO75" s="43">
        <f t="shared" si="114"/>
        <v>0</v>
      </c>
      <c r="AP75" s="44">
        <f t="shared" si="114"/>
        <v>0</v>
      </c>
      <c r="AQ75" s="44">
        <f t="shared" si="114"/>
        <v>0</v>
      </c>
      <c r="AR75" s="128">
        <f t="shared" si="134"/>
        <v>38261</v>
      </c>
      <c r="AS75" s="44">
        <f t="shared" si="39"/>
        <v>0</v>
      </c>
      <c r="AT75" s="51"/>
      <c r="AU75" s="51"/>
      <c r="AV75" s="51"/>
      <c r="AW75" s="51"/>
      <c r="AX75" s="51"/>
      <c r="AY75" s="51"/>
      <c r="AZ75" s="51"/>
      <c r="BA75" s="51"/>
      <c r="BB75" s="142">
        <f t="shared" si="107"/>
        <v>36739</v>
      </c>
      <c r="BC75" s="238">
        <f>_xll.xSPRDOPT((VLOOKUP(G75,NGPrices,2,FALSE)+HLOOKUP(D75,Prices,VLOOKUP(G75,move_down,2,FALSE),FALSE)),VLOOKUP(G75,NGPrices,2,FALSE),I75,VLOOKUP(G75,NGPREVPRICES,4,FALSE),HLOOKUP(D75,PREVVOLS,VLOOKUP(G75,MOVE_DOWN2,2,FALSE),FALSE),VLOOKUP(G75,NGPREVPRICES,3,FALSE),HLOOKUP(D75,Correllate,VLOOKUP(G75,CorMove,2,FALSE),FALSE),Q75-$BC$3,R75,$BC$5)*H75-BI75</f>
        <v>2000.3466740466338</v>
      </c>
      <c r="BD75" s="238">
        <f>_xll.xSPRDOPT((VLOOKUP(G75,NGPREVPRICES,2,FALSE)+HLOOKUP(D75,PREVCURVES,VLOOKUP(G75,MOVE_DOWN2,2,FALSE),FALSE)),VLOOKUP(G75,NGPREVPRICES,2,FALSE),BJ75,VLOOKUP(G75,NGPrices,4,FALSE),HLOOKUP(D75,PREVVOLS,VLOOKUP(G75,MOVE_DOWN2,2,FALSE),FALSE),VLOOKUP(G75,NGPREVPRICES,3,FALSE),HLOOKUP(D75,Correllate,VLOOKUP(G75,CorMove,2,FALSE),FALSE),Q75-$BC$3,R75,$BI$5)*H75-BI75</f>
        <v>-9.7813640351887443E-2</v>
      </c>
      <c r="BE75" s="10">
        <f t="shared" si="108"/>
        <v>-2.3108425489135698</v>
      </c>
      <c r="BF75" s="238">
        <f>_xll.xSPRDOPT((VLOOKUP(G75,NGPREVPRICES,2,FALSE)+HLOOKUP(D75,PREVCURVES,VLOOKUP(G75,MOVE_DOWN2,2,FALSE),FALSE)),VLOOKUP(G75,NGPREVPRICES,2,FALSE),BJ75,VLOOKUP(G75,NGPREVPRICES,4,FALSE),HLOOKUP(D75,VOLS,VLOOKUP(G75,move_down,2,FALSE),FALSE),VLOOKUP(G75,NGPrices,3,FALSE),HLOOKUP(D75,Correllate,VLOOKUP(G75,CorMove,2,FALSE),FALSE),Q75-$BC$3,R75,$BI$5)*H75-BI75</f>
        <v>541.77019562583337</v>
      </c>
      <c r="BG75" s="238">
        <f>_xll.xSPRDOPT((VLOOKUP(G75,NGPREVPRICES,2,FALSE)+HLOOKUP(D75,PREVCURVES,VLOOKUP(G75,MOVE_DOWN2,2,FALSE),FALSE)),VLOOKUP(G75,NGPREVPRICES,2,FALSE),BJ75,VLOOKUP(G75,NGPREVPRICES,4,FALSE),HLOOKUP(D75,PREVVOLS,VLOOKUP(G75,MOVE_DOWN2,2,FALSE),FALSE),VLOOKUP(G75,NGPREVPRICES,3,FALSE),HLOOKUP(D75,Correllate,VLOOKUP(G75,CorMove,2,FALSE),FALSE),Q75-$C$3,R75,$BI$5)*H75-BI75</f>
        <v>-312.33517151145679</v>
      </c>
      <c r="BH75" s="238">
        <f t="shared" si="109"/>
        <v>2227.3730419717449</v>
      </c>
      <c r="BI75" s="238">
        <f>_xll.xSPRDOPT((VLOOKUP(G75,NGPREVPRICES,2,FALSE)+HLOOKUP(D75,PREVCURVES,VLOOKUP(G75,MOVE_DOWN2,2,FALSE),FALSE)),VLOOKUP(G75,NGPREVPRICES,2,FALSE),BJ75,VLOOKUP(G75,NGPREVPRICES,4,FALSE),HLOOKUP(D75,PREVVOLS,VLOOKUP(G75,MOVE_DOWN2,2,FALSE),FALSE),VLOOKUP(G75,NGPREVPRICES,3,FALSE),HLOOKUP(D75,Correllate,VLOOKUP(G75,CorMove,2,FALSE),FALSE),Q75-$BC$3,R75,$BI$5)*H75</f>
        <v>13057.076557312392</v>
      </c>
      <c r="BJ75" s="239">
        <f t="shared" si="110"/>
        <v>-0.4</v>
      </c>
      <c r="BL75" t="str">
        <f t="shared" si="111"/>
        <v>36739Curve Shift/Gamma</v>
      </c>
      <c r="BM75" t="str">
        <f t="shared" si="127"/>
        <v>36739Rho</v>
      </c>
      <c r="BN75" t="str">
        <f t="shared" si="128"/>
        <v>36739Drift</v>
      </c>
      <c r="BO75" t="str">
        <f t="shared" si="129"/>
        <v>36739Vega</v>
      </c>
      <c r="BP75" t="str">
        <f t="shared" si="130"/>
        <v>36739Theta</v>
      </c>
    </row>
    <row r="76" spans="1:68" ht="12" customHeight="1" x14ac:dyDescent="0.25">
      <c r="A76" t="s">
        <v>299</v>
      </c>
      <c r="B76" t="s">
        <v>253</v>
      </c>
      <c r="C76" t="s">
        <v>302</v>
      </c>
      <c r="D76" s="4" t="s">
        <v>9</v>
      </c>
      <c r="E76" t="s">
        <v>20</v>
      </c>
      <c r="F76" t="s">
        <v>1</v>
      </c>
      <c r="G76" s="5">
        <v>36770</v>
      </c>
      <c r="H76" s="130">
        <v>300000</v>
      </c>
      <c r="I76">
        <v>-0.4</v>
      </c>
      <c r="J76" s="53">
        <f t="shared" si="115"/>
        <v>3.173</v>
      </c>
      <c r="K76" s="7">
        <f t="shared" si="116"/>
        <v>-0.32250000000000001</v>
      </c>
      <c r="L76" s="4">
        <f t="shared" si="117"/>
        <v>2.8505000000000003</v>
      </c>
      <c r="M76" s="159">
        <f t="shared" si="118"/>
        <v>6.5221012015626995E-2</v>
      </c>
      <c r="N76" s="4">
        <f t="shared" si="119"/>
        <v>0.42</v>
      </c>
      <c r="O76" s="4">
        <f t="shared" si="120"/>
        <v>0.41199999999999998</v>
      </c>
      <c r="P76" s="9">
        <f t="shared" si="121"/>
        <v>0.96</v>
      </c>
      <c r="Q76" s="5">
        <f t="shared" si="122"/>
        <v>36768</v>
      </c>
      <c r="R76" s="4">
        <f t="shared" si="123"/>
        <v>0</v>
      </c>
      <c r="S76" s="160">
        <f>_xll.xSPRDOPT($L76,$J76,$I76,$M76,$O76,$N76,$P76,$Q76-$C$3,$R76,0)</f>
        <v>6.1806484886073036E-2</v>
      </c>
      <c r="T76" s="161">
        <f>_xll.xSPRDOPT($L76,$J76,$I76,$M76,$O76,$N76,$P76,$Q76-$C$3,$R76,1)*H76</f>
        <v>-107334.00197715068</v>
      </c>
      <c r="U76" s="162">
        <f t="shared" si="112"/>
        <v>18541.945465821911</v>
      </c>
      <c r="V76" s="161">
        <f>_xll.xSPRDOPT($L76,$J76,$I76,$M76,$O76,$N76,$P76,$Q76-$C$3,$R76,2)*H76</f>
        <v>114669.21786075036</v>
      </c>
      <c r="W76" s="161">
        <f t="shared" si="124"/>
        <v>7335.2158835996815</v>
      </c>
      <c r="X76" s="51" t="str">
        <f t="shared" si="125"/>
        <v>36770IF-NWPL_ROCKY_M</v>
      </c>
      <c r="Y76" s="431">
        <f t="shared" si="126"/>
        <v>30</v>
      </c>
      <c r="AA76" s="128">
        <f t="shared" si="131"/>
        <v>38292</v>
      </c>
      <c r="AB76" s="43">
        <f t="shared" si="113"/>
        <v>0</v>
      </c>
      <c r="AC76" s="43">
        <f t="shared" si="113"/>
        <v>0</v>
      </c>
      <c r="AD76" s="43">
        <f t="shared" si="113"/>
        <v>0</v>
      </c>
      <c r="AE76" s="43">
        <f t="shared" si="113"/>
        <v>0</v>
      </c>
      <c r="AF76" s="44">
        <f t="shared" si="113"/>
        <v>0</v>
      </c>
      <c r="AG76" s="44">
        <f t="shared" si="113"/>
        <v>0</v>
      </c>
      <c r="AH76" s="128">
        <f t="shared" si="132"/>
        <v>38292</v>
      </c>
      <c r="AI76" s="44">
        <f t="shared" si="38"/>
        <v>0</v>
      </c>
      <c r="AJ76" s="51"/>
      <c r="AK76" s="128">
        <f t="shared" si="133"/>
        <v>38292</v>
      </c>
      <c r="AL76" s="43">
        <f t="shared" si="114"/>
        <v>0</v>
      </c>
      <c r="AM76" s="43">
        <f t="shared" si="114"/>
        <v>0</v>
      </c>
      <c r="AN76" s="43">
        <f t="shared" si="114"/>
        <v>0</v>
      </c>
      <c r="AO76" s="43">
        <f t="shared" si="114"/>
        <v>0</v>
      </c>
      <c r="AP76" s="44">
        <f t="shared" si="114"/>
        <v>0</v>
      </c>
      <c r="AQ76" s="44">
        <f t="shared" si="114"/>
        <v>0</v>
      </c>
      <c r="AR76" s="128">
        <f t="shared" si="134"/>
        <v>38292</v>
      </c>
      <c r="AS76" s="44">
        <f t="shared" si="39"/>
        <v>0</v>
      </c>
      <c r="AT76" s="51"/>
      <c r="AU76" s="51"/>
      <c r="AV76" s="51"/>
      <c r="AW76" s="51"/>
      <c r="AX76" s="51"/>
      <c r="AY76" s="51"/>
      <c r="AZ76" s="51"/>
      <c r="BA76" s="51"/>
      <c r="BB76" s="142">
        <f t="shared" si="107"/>
        <v>36770</v>
      </c>
      <c r="BC76" s="238">
        <f>_xll.xSPRDOPT((VLOOKUP(G76,NGPrices,2,FALSE)+HLOOKUP(D76,Prices,VLOOKUP(G76,move_down,2,FALSE),FALSE)),VLOOKUP(G76,NGPrices,2,FALSE),I76,VLOOKUP(G76,NGPREVPRICES,4,FALSE),HLOOKUP(D76,PREVVOLS,VLOOKUP(G76,MOVE_DOWN2,2,FALSE),FALSE),VLOOKUP(G76,NGPREVPRICES,3,FALSE),HLOOKUP(D76,Correllate,VLOOKUP(G76,CorMove,2,FALSE),FALSE),Q76-$BC$3,R76,$BC$5)*H76-BI76</f>
        <v>2095.8977933943443</v>
      </c>
      <c r="BD76" s="238">
        <f>_xll.xSPRDOPT((VLOOKUP(G76,NGPREVPRICES,2,FALSE)+HLOOKUP(D76,PREVCURVES,VLOOKUP(G76,MOVE_DOWN2,2,FALSE),FALSE)),VLOOKUP(G76,NGPREVPRICES,2,FALSE),BJ76,VLOOKUP(G76,NGPrices,4,FALSE),HLOOKUP(D76,PREVVOLS,VLOOKUP(G76,MOVE_DOWN2,2,FALSE),FALSE),VLOOKUP(G76,NGPREVPRICES,3,FALSE),HLOOKUP(D76,Correllate,VLOOKUP(G76,CorMove,2,FALSE),FALSE),Q76-$BC$3,R76,$BI$5)*H76-BI76</f>
        <v>2.6890671899309382E-2</v>
      </c>
      <c r="BE76" s="10">
        <f t="shared" si="108"/>
        <v>-2.8975622096586449</v>
      </c>
      <c r="BF76" s="238">
        <f>_xll.xSPRDOPT((VLOOKUP(G76,NGPREVPRICES,2,FALSE)+HLOOKUP(D76,PREVCURVES,VLOOKUP(G76,MOVE_DOWN2,2,FALSE),FALSE)),VLOOKUP(G76,NGPREVPRICES,2,FALSE),BJ76,VLOOKUP(G76,NGPREVPRICES,4,FALSE),HLOOKUP(D76,VOLS,VLOOKUP(G76,move_down,2,FALSE),FALSE),VLOOKUP(G76,NGPrices,3,FALSE),HLOOKUP(D76,Correllate,VLOOKUP(G76,CorMove,2,FALSE),FALSE),Q76-$BC$3,R76,$BI$5)*H76-BI76</f>
        <v>612.59573883233497</v>
      </c>
      <c r="BG76" s="238">
        <f>_xll.xSPRDOPT((VLOOKUP(G76,NGPREVPRICES,2,FALSE)+HLOOKUP(D76,PREVCURVES,VLOOKUP(G76,MOVE_DOWN2,2,FALSE),FALSE)),VLOOKUP(G76,NGPREVPRICES,2,FALSE),BJ76,VLOOKUP(G76,NGPREVPRICES,4,FALSE),HLOOKUP(D76,PREVVOLS,VLOOKUP(G76,MOVE_DOWN2,2,FALSE),FALSE),VLOOKUP(G76,NGPREVPRICES,3,FALSE),HLOOKUP(D76,Correllate,VLOOKUP(G76,CorMove,2,FALSE),FALSE),Q76-$C$3,R76,$BI$5)*H76-BI76</f>
        <v>-270.51658656210384</v>
      </c>
      <c r="BH76" s="238">
        <f t="shared" si="109"/>
        <v>2435.1062741268161</v>
      </c>
      <c r="BI76" s="238">
        <f>_xll.xSPRDOPT((VLOOKUP(G76,NGPREVPRICES,2,FALSE)+HLOOKUP(D76,PREVCURVES,VLOOKUP(G76,MOVE_DOWN2,2,FALSE),FALSE)),VLOOKUP(G76,NGPREVPRICES,2,FALSE),BJ76,VLOOKUP(G76,NGPREVPRICES,4,FALSE),HLOOKUP(D76,PREVVOLS,VLOOKUP(G76,MOVE_DOWN2,2,FALSE),FALSE),VLOOKUP(G76,NGPREVPRICES,3,FALSE),HLOOKUP(D76,Correllate,VLOOKUP(G76,CorMove,2,FALSE),FALSE),Q76-$BC$3,R76,$BI$5)*H76</f>
        <v>16095.324666579954</v>
      </c>
      <c r="BJ76" s="239">
        <f t="shared" si="110"/>
        <v>-0.4</v>
      </c>
      <c r="BL76" t="str">
        <f t="shared" si="111"/>
        <v>36770Curve Shift/Gamma</v>
      </c>
      <c r="BM76" t="str">
        <f t="shared" si="127"/>
        <v>36770Rho</v>
      </c>
      <c r="BN76" t="str">
        <f t="shared" si="128"/>
        <v>36770Drift</v>
      </c>
      <c r="BO76" t="str">
        <f t="shared" si="129"/>
        <v>36770Vega</v>
      </c>
      <c r="BP76" t="str">
        <f t="shared" si="130"/>
        <v>36770Theta</v>
      </c>
    </row>
    <row r="77" spans="1:68" ht="12" customHeight="1" x14ac:dyDescent="0.25">
      <c r="A77" t="s">
        <v>299</v>
      </c>
      <c r="B77" t="s">
        <v>253</v>
      </c>
      <c r="C77" t="s">
        <v>302</v>
      </c>
      <c r="D77" s="4" t="s">
        <v>9</v>
      </c>
      <c r="E77" t="s">
        <v>20</v>
      </c>
      <c r="F77" t="s">
        <v>1</v>
      </c>
      <c r="G77" s="5">
        <v>36800</v>
      </c>
      <c r="H77" s="130">
        <v>310000</v>
      </c>
      <c r="I77">
        <v>-0.4</v>
      </c>
      <c r="J77" s="53">
        <f t="shared" si="115"/>
        <v>3.18</v>
      </c>
      <c r="K77" s="7">
        <f t="shared" si="116"/>
        <v>-0.29749999999999999</v>
      </c>
      <c r="L77" s="4">
        <f t="shared" si="117"/>
        <v>2.8825000000000003</v>
      </c>
      <c r="M77" s="159">
        <f t="shared" si="118"/>
        <v>6.5817989695161006E-2</v>
      </c>
      <c r="N77" s="4">
        <f t="shared" si="119"/>
        <v>0.42249999999999999</v>
      </c>
      <c r="O77" s="4">
        <f t="shared" si="120"/>
        <v>0.41399999999999998</v>
      </c>
      <c r="P77" s="9">
        <f t="shared" si="121"/>
        <v>0.96</v>
      </c>
      <c r="Q77" s="5">
        <f t="shared" si="122"/>
        <v>36797</v>
      </c>
      <c r="R77" s="4">
        <f t="shared" si="123"/>
        <v>0</v>
      </c>
      <c r="S77" s="160">
        <f>_xll.xSPRDOPT($L77,$J77,$I77,$M77,$O77,$N77,$P77,$Q77-$C$3,$R77,0)</f>
        <v>6.2840081894201927E-2</v>
      </c>
      <c r="T77" s="161">
        <f>_xll.xSPRDOPT($L77,$J77,$I77,$M77,$O77,$N77,$P77,$Q77-$C$3,$R77,1)*H77</f>
        <v>-103350.10759202309</v>
      </c>
      <c r="U77" s="162">
        <f t="shared" si="112"/>
        <v>19480.425387202598</v>
      </c>
      <c r="V77" s="161">
        <f>_xll.xSPRDOPT($L77,$J77,$I77,$M77,$O77,$N77,$P77,$Q77-$C$3,$R77,2)*H77</f>
        <v>111568.35230856734</v>
      </c>
      <c r="W77" s="161">
        <f t="shared" si="124"/>
        <v>8218.2447165442427</v>
      </c>
      <c r="X77" s="51" t="str">
        <f t="shared" si="125"/>
        <v>36800IF-NWPL_ROCKY_M</v>
      </c>
      <c r="Y77" s="431">
        <f t="shared" si="126"/>
        <v>31</v>
      </c>
      <c r="AA77" s="128">
        <f t="shared" si="131"/>
        <v>38322</v>
      </c>
      <c r="AB77" s="43">
        <f t="shared" ref="AB77:AG86" si="135">SUMIF($X:$X,CONCATENATE($AA77,AB$6),$T:$T)/10000</f>
        <v>0</v>
      </c>
      <c r="AC77" s="43">
        <f t="shared" si="135"/>
        <v>0</v>
      </c>
      <c r="AD77" s="43">
        <f t="shared" si="135"/>
        <v>0</v>
      </c>
      <c r="AE77" s="43">
        <f t="shared" si="135"/>
        <v>0</v>
      </c>
      <c r="AF77" s="44">
        <f t="shared" si="135"/>
        <v>0</v>
      </c>
      <c r="AG77" s="44">
        <f t="shared" si="135"/>
        <v>0</v>
      </c>
      <c r="AH77" s="128">
        <f t="shared" si="132"/>
        <v>38322</v>
      </c>
      <c r="AI77" s="44">
        <f t="shared" si="38"/>
        <v>0</v>
      </c>
      <c r="AJ77" s="51"/>
      <c r="AK77" s="128">
        <f t="shared" si="133"/>
        <v>38322</v>
      </c>
      <c r="AL77" s="43">
        <f t="shared" ref="AL77:AQ86" si="136">SUMIF($X:$X,CONCATENATE($AA77,AL$6),$W:$W)</f>
        <v>0</v>
      </c>
      <c r="AM77" s="43">
        <f t="shared" si="136"/>
        <v>0</v>
      </c>
      <c r="AN77" s="43">
        <f t="shared" si="136"/>
        <v>0</v>
      </c>
      <c r="AO77" s="43">
        <f t="shared" si="136"/>
        <v>0</v>
      </c>
      <c r="AP77" s="44">
        <f t="shared" si="136"/>
        <v>0</v>
      </c>
      <c r="AQ77" s="44">
        <f t="shared" si="136"/>
        <v>0</v>
      </c>
      <c r="AR77" s="128">
        <f t="shared" si="134"/>
        <v>38322</v>
      </c>
      <c r="AS77" s="44">
        <f t="shared" si="39"/>
        <v>0</v>
      </c>
      <c r="AT77" s="51"/>
      <c r="AU77" s="51"/>
      <c r="AV77" s="51"/>
      <c r="AW77" s="51"/>
      <c r="AX77" s="51"/>
      <c r="AY77" s="51"/>
      <c r="AZ77" s="51"/>
      <c r="BA77" s="51"/>
      <c r="BB77" s="142">
        <f t="shared" si="107"/>
        <v>36800</v>
      </c>
      <c r="BC77" s="238">
        <f>_xll.xSPRDOPT((VLOOKUP(G77,NGPrices,2,FALSE)+HLOOKUP(D77,Prices,VLOOKUP(G77,move_down,2,FALSE),FALSE)),VLOOKUP(G77,NGPrices,2,FALSE),I77,VLOOKUP(G77,NGPREVPRICES,4,FALSE),HLOOKUP(D77,PREVVOLS,VLOOKUP(G77,MOVE_DOWN2,2,FALSE),FALSE),VLOOKUP(G77,NGPREVPRICES,3,FALSE),HLOOKUP(D77,Correllate,VLOOKUP(G77,CorMove,2,FALSE),FALSE),Q77-$BC$3,R77,$BC$5)*H77-BI77</f>
        <v>2078.4790587148673</v>
      </c>
      <c r="BD77" s="238">
        <f>_xll.xSPRDOPT((VLOOKUP(G77,NGPREVPRICES,2,FALSE)+HLOOKUP(D77,PREVCURVES,VLOOKUP(G77,MOVE_DOWN2,2,FALSE),FALSE)),VLOOKUP(G77,NGPREVPRICES,2,FALSE),BJ77,VLOOKUP(G77,NGPrices,4,FALSE),HLOOKUP(D77,PREVVOLS,VLOOKUP(G77,MOVE_DOWN2,2,FALSE),FALSE),VLOOKUP(G77,NGPREVPRICES,3,FALSE),HLOOKUP(D77,Correllate,VLOOKUP(G77,CorMove,2,FALSE),FALSE),Q77-$BC$3,R77,$BI$5)*H77-BI77</f>
        <v>0.28004810468337382</v>
      </c>
      <c r="BE77" s="10">
        <f t="shared" si="108"/>
        <v>-3.098570589798328</v>
      </c>
      <c r="BF77" s="238">
        <f>_xll.xSPRDOPT((VLOOKUP(G77,NGPREVPRICES,2,FALSE)+HLOOKUP(D77,PREVCURVES,VLOOKUP(G77,MOVE_DOWN2,2,FALSE),FALSE)),VLOOKUP(G77,NGPREVPRICES,2,FALSE),BJ77,VLOOKUP(G77,NGPREVPRICES,4,FALSE),HLOOKUP(D77,VOLS,VLOOKUP(G77,move_down,2,FALSE),FALSE),VLOOKUP(G77,NGPrices,3,FALSE),HLOOKUP(D77,Correllate,VLOOKUP(G77,CorMove,2,FALSE),FALSE),Q77-$BC$3,R77,$BI$5)*H77-BI77</f>
        <v>681.05031763796796</v>
      </c>
      <c r="BG77" s="238">
        <f>_xll.xSPRDOPT((VLOOKUP(G77,NGPREVPRICES,2,FALSE)+HLOOKUP(D77,PREVCURVES,VLOOKUP(G77,MOVE_DOWN2,2,FALSE),FALSE)),VLOOKUP(G77,NGPREVPRICES,2,FALSE),BJ77,VLOOKUP(G77,NGPREVPRICES,4,FALSE),HLOOKUP(D77,PREVVOLS,VLOOKUP(G77,MOVE_DOWN2,2,FALSE),FALSE),VLOOKUP(G77,NGPREVPRICES,3,FALSE),HLOOKUP(D77,Correllate,VLOOKUP(G77,CorMove,2,FALSE),FALSE),Q77-$C$3,R77,$BI$5)*H77-BI77</f>
        <v>-248.65320669773791</v>
      </c>
      <c r="BH77" s="238">
        <f t="shared" si="109"/>
        <v>2508.0576471699824</v>
      </c>
      <c r="BI77" s="238">
        <f>_xll.xSPRDOPT((VLOOKUP(G77,NGPREVPRICES,2,FALSE)+HLOOKUP(D77,PREVCURVES,VLOOKUP(G77,MOVE_DOWN2,2,FALSE),FALSE)),VLOOKUP(G77,NGPREVPRICES,2,FALSE),BJ77,VLOOKUP(G77,NGPREVPRICES,4,FALSE),HLOOKUP(D77,PREVVOLS,VLOOKUP(G77,MOVE_DOWN2,2,FALSE),FALSE),VLOOKUP(G77,NGPREVPRICES,3,FALSE),HLOOKUP(D77,Correllate,VLOOKUP(G77,CorMove,2,FALSE),FALSE),Q77-$BC$3,R77,$BI$5)*H77</f>
        <v>16955.793903606478</v>
      </c>
      <c r="BJ77" s="239">
        <f t="shared" si="110"/>
        <v>-0.4</v>
      </c>
      <c r="BL77" t="str">
        <f t="shared" si="111"/>
        <v>36800Curve Shift/Gamma</v>
      </c>
      <c r="BM77" t="str">
        <f t="shared" si="127"/>
        <v>36800Rho</v>
      </c>
      <c r="BN77" t="str">
        <f t="shared" si="128"/>
        <v>36800Drift</v>
      </c>
      <c r="BO77" t="str">
        <f t="shared" si="129"/>
        <v>36800Vega</v>
      </c>
      <c r="BP77" t="str">
        <f t="shared" si="130"/>
        <v>36800Theta</v>
      </c>
    </row>
    <row r="78" spans="1:68" ht="12" customHeight="1" x14ac:dyDescent="0.25">
      <c r="A78" t="s">
        <v>271</v>
      </c>
      <c r="B78" t="s">
        <v>253</v>
      </c>
      <c r="C78" t="s">
        <v>303</v>
      </c>
      <c r="D78" s="4" t="s">
        <v>9</v>
      </c>
      <c r="E78" t="s">
        <v>20</v>
      </c>
      <c r="F78" t="s">
        <v>21</v>
      </c>
      <c r="G78" s="5">
        <v>36647</v>
      </c>
      <c r="H78" s="130">
        <v>310000</v>
      </c>
      <c r="I78">
        <v>-0.25</v>
      </c>
      <c r="J78" s="53">
        <f t="shared" si="115"/>
        <v>3.1579999999999999</v>
      </c>
      <c r="K78" s="7">
        <f t="shared" si="116"/>
        <v>-0.34499999999999997</v>
      </c>
      <c r="L78" s="4">
        <f t="shared" si="117"/>
        <v>2.8129999999999997</v>
      </c>
      <c r="M78" s="159">
        <f t="shared" si="118"/>
        <v>6.2683518517613002E-2</v>
      </c>
      <c r="N78" s="4">
        <f t="shared" si="119"/>
        <v>0.41</v>
      </c>
      <c r="O78" s="4">
        <f t="shared" si="120"/>
        <v>0.377</v>
      </c>
      <c r="P78" s="9">
        <f t="shared" si="121"/>
        <v>0.96</v>
      </c>
      <c r="Q78" s="5">
        <f t="shared" si="122"/>
        <v>36643</v>
      </c>
      <c r="R78" s="4">
        <f t="shared" si="123"/>
        <v>1</v>
      </c>
      <c r="S78" s="160">
        <f>_xll.xSPRDOPT($L78,$J78,$I78,$M78,$O78,$N78,$P78,$Q78-$C$3,$R78,0)</f>
        <v>1.941927982033409E-3</v>
      </c>
      <c r="T78" s="161">
        <f>_xll.xSPRDOPT($L78,$J78,$I78,$M78,$O78,$N78,$P78,$Q78-$C$3,$R78,1)*H78</f>
        <v>21618.856260677119</v>
      </c>
      <c r="U78" s="162">
        <f t="shared" si="112"/>
        <v>601.99767443035682</v>
      </c>
      <c r="V78" s="161">
        <f>_xll.xSPRDOPT($L78,$J78,$I78,$M78,$O78,$N78,$P78,$Q78-$C$3,$R78,2)*H78</f>
        <v>-20858.940220644421</v>
      </c>
      <c r="W78" s="161">
        <f t="shared" si="124"/>
        <v>759.91604003269822</v>
      </c>
      <c r="X78" s="51" t="str">
        <f t="shared" si="125"/>
        <v>36647IF-NWPL_ROCKY_M</v>
      </c>
      <c r="Y78" s="431">
        <f t="shared" si="126"/>
        <v>31</v>
      </c>
      <c r="Z78" s="51"/>
      <c r="AA78" s="128">
        <f t="shared" si="131"/>
        <v>38353</v>
      </c>
      <c r="AB78" s="43">
        <f t="shared" si="135"/>
        <v>0</v>
      </c>
      <c r="AC78" s="43">
        <f t="shared" si="135"/>
        <v>0</v>
      </c>
      <c r="AD78" s="43">
        <f t="shared" si="135"/>
        <v>0</v>
      </c>
      <c r="AE78" s="43">
        <f t="shared" si="135"/>
        <v>0</v>
      </c>
      <c r="AF78" s="44">
        <f t="shared" si="135"/>
        <v>0</v>
      </c>
      <c r="AG78" s="44">
        <f t="shared" si="135"/>
        <v>0</v>
      </c>
      <c r="AH78" s="128">
        <f t="shared" si="132"/>
        <v>38353</v>
      </c>
      <c r="AI78" s="44">
        <f t="shared" ref="AI78:AI141" si="137">SUM(AB78:AG78)</f>
        <v>0</v>
      </c>
      <c r="AJ78" s="51"/>
      <c r="AK78" s="128">
        <f t="shared" si="133"/>
        <v>38353</v>
      </c>
      <c r="AL78" s="43">
        <f t="shared" si="136"/>
        <v>0</v>
      </c>
      <c r="AM78" s="43">
        <f t="shared" si="136"/>
        <v>0</v>
      </c>
      <c r="AN78" s="43">
        <f t="shared" si="136"/>
        <v>0</v>
      </c>
      <c r="AO78" s="43">
        <f t="shared" si="136"/>
        <v>0</v>
      </c>
      <c r="AP78" s="44">
        <f t="shared" si="136"/>
        <v>0</v>
      </c>
      <c r="AQ78" s="44">
        <f t="shared" si="136"/>
        <v>0</v>
      </c>
      <c r="AR78" s="128">
        <f t="shared" si="134"/>
        <v>38353</v>
      </c>
      <c r="AS78" s="44">
        <f t="shared" ref="AS78:AS141" si="138">SUM(AL78:AQ78)</f>
        <v>0</v>
      </c>
      <c r="AT78" s="51"/>
      <c r="AU78" s="51"/>
      <c r="AV78" s="51"/>
      <c r="AW78" s="51"/>
      <c r="AX78" s="51"/>
      <c r="AY78" s="51"/>
      <c r="AZ78" s="51"/>
      <c r="BA78" s="51"/>
      <c r="BB78" s="142">
        <f t="shared" si="107"/>
        <v>36647</v>
      </c>
      <c r="BC78" s="238">
        <f>_xll.xSPRDOPT((VLOOKUP(G78,NGPrices,2,FALSE)+HLOOKUP(D78,Prices,VLOOKUP(G78,move_down,2,FALSE),FALSE)),VLOOKUP(G78,NGPrices,2,FALSE),I78,VLOOKUP(G78,NGPREVPRICES,4,FALSE),HLOOKUP(D78,PREVVOLS,VLOOKUP(G78,MOVE_DOWN2,2,FALSE),FALSE),VLOOKUP(G78,NGPREVPRICES,3,FALSE),HLOOKUP(D78,Correllate,VLOOKUP(G78,CorMove,2,FALSE),FALSE),Q78-$BC$3,R78,$BC$5)*H78-BI78</f>
        <v>-998.2372869366917</v>
      </c>
      <c r="BD78" s="238">
        <f>_xll.xSPRDOPT((VLOOKUP(G78,NGPREVPRICES,2,FALSE)+HLOOKUP(D78,PREVCURVES,VLOOKUP(G78,MOVE_DOWN2,2,FALSE),FALSE)),VLOOKUP(G78,NGPREVPRICES,2,FALSE),BJ78,VLOOKUP(G78,NGPrices,4,FALSE),HLOOKUP(D78,PREVVOLS,VLOOKUP(G78,MOVE_DOWN2,2,FALSE),FALSE),VLOOKUP(G78,NGPREVPRICES,3,FALSE),HLOOKUP(D78,Correllate,VLOOKUP(G78,CorMove,2,FALSE),FALSE),Q78-$BC$3,R78,$BI$5)*H78-BI78</f>
        <v>-5.4080092143067304E-3</v>
      </c>
      <c r="BE78" s="10">
        <f t="shared" si="108"/>
        <v>-0.26421633158929581</v>
      </c>
      <c r="BF78" s="238">
        <f>_xll.xSPRDOPT((VLOOKUP(G78,NGPREVPRICES,2,FALSE)+HLOOKUP(D78,PREVCURVES,VLOOKUP(G78,MOVE_DOWN2,2,FALSE),FALSE)),VLOOKUP(G78,NGPREVPRICES,2,FALSE),BJ78,VLOOKUP(G78,NGPREVPRICES,4,FALSE),HLOOKUP(D78,VOLS,VLOOKUP(G78,move_down,2,FALSE),FALSE),VLOOKUP(G78,NGPrices,3,FALSE),HLOOKUP(D78,Correllate,VLOOKUP(G78,CorMove,2,FALSE),FALSE),Q78-$BC$3,R78,$BI$5)*H78-BI78</f>
        <v>771.7788910609836</v>
      </c>
      <c r="BG78" s="238">
        <f>_xll.xSPRDOPT((VLOOKUP(G78,NGPREVPRICES,2,FALSE)+HLOOKUP(D78,PREVCURVES,VLOOKUP(G78,MOVE_DOWN2,2,FALSE),FALSE)),VLOOKUP(G78,NGPREVPRICES,2,FALSE),BJ78,VLOOKUP(G78,NGPREVPRICES,4,FALSE),HLOOKUP(D78,PREVVOLS,VLOOKUP(G78,MOVE_DOWN2,2,FALSE),FALSE),VLOOKUP(G78,NGPREVPRICES,3,FALSE),HLOOKUP(D78,Correllate,VLOOKUP(G78,CorMove,2,FALSE),FALSE),Q78-$C$3,R78,$BI$5)*H78-BI78</f>
        <v>-524.18379151557383</v>
      </c>
      <c r="BH78" s="238">
        <f t="shared" si="109"/>
        <v>-750.91181173208554</v>
      </c>
      <c r="BI78" s="238">
        <f>_xll.xSPRDOPT((VLOOKUP(G78,NGPREVPRICES,2,FALSE)+HLOOKUP(D78,PREVCURVES,VLOOKUP(G78,MOVE_DOWN2,2,FALSE),FALSE)),VLOOKUP(G78,NGPREVPRICES,2,FALSE),BJ78,VLOOKUP(G78,NGPREVPRICES,4,FALSE),HLOOKUP(D78,PREVVOLS,VLOOKUP(G78,MOVE_DOWN2,2,FALSE),FALSE),VLOOKUP(G78,NGPREVPRICES,3,FALSE),HLOOKUP(D78,Correllate,VLOOKUP(G78,CorMove,2,FALSE),FALSE),Q78-$BC$3,R78,$BI$5)*H78</f>
        <v>1562.1282233468116</v>
      </c>
      <c r="BJ78" s="239">
        <f t="shared" si="110"/>
        <v>-0.25</v>
      </c>
      <c r="BL78" t="str">
        <f t="shared" si="111"/>
        <v>36647Curve Shift/Gamma</v>
      </c>
      <c r="BM78" t="str">
        <f t="shared" si="127"/>
        <v>36647Rho</v>
      </c>
      <c r="BN78" t="str">
        <f t="shared" si="128"/>
        <v>36647Drift</v>
      </c>
      <c r="BO78" t="str">
        <f t="shared" si="129"/>
        <v>36647Vega</v>
      </c>
      <c r="BP78" t="str">
        <f t="shared" si="130"/>
        <v>36647Theta</v>
      </c>
    </row>
    <row r="79" spans="1:68" ht="12" customHeight="1" x14ac:dyDescent="0.25">
      <c r="A79" t="s">
        <v>271</v>
      </c>
      <c r="B79" t="s">
        <v>253</v>
      </c>
      <c r="C79" t="s">
        <v>303</v>
      </c>
      <c r="D79" s="4" t="s">
        <v>9</v>
      </c>
      <c r="E79" t="s">
        <v>20</v>
      </c>
      <c r="F79" t="s">
        <v>21</v>
      </c>
      <c r="G79" s="5">
        <v>36678</v>
      </c>
      <c r="H79" s="130">
        <v>300000</v>
      </c>
      <c r="I79">
        <v>-0.25</v>
      </c>
      <c r="J79" s="53">
        <f t="shared" si="115"/>
        <v>3.1720000000000002</v>
      </c>
      <c r="K79" s="7">
        <f t="shared" si="116"/>
        <v>-0.34</v>
      </c>
      <c r="L79" s="4">
        <f t="shared" si="117"/>
        <v>2.8320000000000003</v>
      </c>
      <c r="M79" s="159">
        <f t="shared" si="118"/>
        <v>6.3039999833066004E-2</v>
      </c>
      <c r="N79" s="4">
        <f t="shared" si="119"/>
        <v>0.38250000000000001</v>
      </c>
      <c r="O79" s="4">
        <f t="shared" si="120"/>
        <v>0.375</v>
      </c>
      <c r="P79" s="9">
        <f t="shared" si="121"/>
        <v>0.96</v>
      </c>
      <c r="Q79" s="5">
        <f t="shared" si="122"/>
        <v>36676</v>
      </c>
      <c r="R79" s="4">
        <f t="shared" si="123"/>
        <v>1</v>
      </c>
      <c r="S79" s="160">
        <f>_xll.xSPRDOPT($L79,$J79,$I79,$M79,$O79,$N79,$P79,$Q79-$C$3,$R79,0)</f>
        <v>1.4887424452426523E-2</v>
      </c>
      <c r="T79" s="161">
        <f>_xll.xSPRDOPT($L79,$J79,$I79,$M79,$O79,$N79,$P79,$Q79-$C$3,$R79,1)*H79</f>
        <v>67487.652311620128</v>
      </c>
      <c r="U79" s="162">
        <f t="shared" si="112"/>
        <v>4466.2273357279573</v>
      </c>
      <c r="V79" s="161">
        <f>_xll.xSPRDOPT($L79,$J79,$I79,$M79,$O79,$N79,$P79,$Q79-$C$3,$R79,2)*H79</f>
        <v>-64360.48845417831</v>
      </c>
      <c r="W79" s="161">
        <f t="shared" si="124"/>
        <v>3127.1638574418175</v>
      </c>
      <c r="X79" s="51" t="str">
        <f t="shared" si="125"/>
        <v>36678IF-NWPL_ROCKY_M</v>
      </c>
      <c r="Y79" s="431">
        <f t="shared" si="126"/>
        <v>30</v>
      </c>
      <c r="Z79" s="51"/>
      <c r="AA79" s="128">
        <f t="shared" si="131"/>
        <v>38384</v>
      </c>
      <c r="AB79" s="43">
        <f t="shared" si="135"/>
        <v>0</v>
      </c>
      <c r="AC79" s="43">
        <f t="shared" si="135"/>
        <v>0</v>
      </c>
      <c r="AD79" s="43">
        <f t="shared" si="135"/>
        <v>0</v>
      </c>
      <c r="AE79" s="43">
        <f t="shared" si="135"/>
        <v>0</v>
      </c>
      <c r="AF79" s="44">
        <f t="shared" si="135"/>
        <v>0</v>
      </c>
      <c r="AG79" s="44">
        <f t="shared" si="135"/>
        <v>0</v>
      </c>
      <c r="AH79" s="128">
        <f t="shared" si="132"/>
        <v>38384</v>
      </c>
      <c r="AI79" s="44">
        <f t="shared" si="137"/>
        <v>0</v>
      </c>
      <c r="AJ79" s="51"/>
      <c r="AK79" s="128">
        <f t="shared" si="133"/>
        <v>38384</v>
      </c>
      <c r="AL79" s="43">
        <f t="shared" si="136"/>
        <v>0</v>
      </c>
      <c r="AM79" s="43">
        <f t="shared" si="136"/>
        <v>0</v>
      </c>
      <c r="AN79" s="43">
        <f t="shared" si="136"/>
        <v>0</v>
      </c>
      <c r="AO79" s="43">
        <f t="shared" si="136"/>
        <v>0</v>
      </c>
      <c r="AP79" s="44">
        <f t="shared" si="136"/>
        <v>0</v>
      </c>
      <c r="AQ79" s="44">
        <f t="shared" si="136"/>
        <v>0</v>
      </c>
      <c r="AR79" s="128">
        <f t="shared" si="134"/>
        <v>38384</v>
      </c>
      <c r="AS79" s="44">
        <f t="shared" si="138"/>
        <v>0</v>
      </c>
      <c r="AT79" s="51"/>
      <c r="AU79" s="51"/>
      <c r="AV79" s="51"/>
      <c r="AW79" s="51"/>
      <c r="AX79" s="51"/>
      <c r="AY79" s="51"/>
      <c r="AZ79" s="51"/>
      <c r="BA79" s="51"/>
      <c r="BB79" s="142">
        <f t="shared" si="107"/>
        <v>36678</v>
      </c>
      <c r="BC79" s="238">
        <f>_xll.xSPRDOPT((VLOOKUP(G79,NGPrices,2,FALSE)+HLOOKUP(D79,Prices,VLOOKUP(G79,move_down,2,FALSE),FALSE)),VLOOKUP(G79,NGPrices,2,FALSE),I79,VLOOKUP(G79,NGPREVPRICES,4,FALSE),HLOOKUP(D79,PREVVOLS,VLOOKUP(G79,MOVE_DOWN2,2,FALSE),FALSE),VLOOKUP(G79,NGPREVPRICES,3,FALSE),HLOOKUP(D79,Correllate,VLOOKUP(G79,CorMove,2,FALSE),FALSE),Q79-$BC$3,R79,$BC$5)*H79-BI79</f>
        <v>-1651.1776954342577</v>
      </c>
      <c r="BD79" s="238">
        <f>_xll.xSPRDOPT((VLOOKUP(G79,NGPREVPRICES,2,FALSE)+HLOOKUP(D79,PREVCURVES,VLOOKUP(G79,MOVE_DOWN2,2,FALSE),FALSE)),VLOOKUP(G79,NGPREVPRICES,2,FALSE),BJ79,VLOOKUP(G79,NGPrices,4,FALSE),HLOOKUP(D79,PREVVOLS,VLOOKUP(G79,MOVE_DOWN2,2,FALSE),FALSE),VLOOKUP(G79,NGPREVPRICES,3,FALSE),HLOOKUP(D79,Correllate,VLOOKUP(G79,CorMove,2,FALSE),FALSE),Q79-$BC$3,R79,$BI$5)*H79-BI79</f>
        <v>-1.9737275055376813E-2</v>
      </c>
      <c r="BE79" s="10">
        <f t="shared" si="108"/>
        <v>-1.0603890496513486</v>
      </c>
      <c r="BF79" s="238">
        <f>_xll.xSPRDOPT((VLOOKUP(G79,NGPREVPRICES,2,FALSE)+HLOOKUP(D79,PREVCURVES,VLOOKUP(G79,MOVE_DOWN2,2,FALSE),FALSE)),VLOOKUP(G79,NGPREVPRICES,2,FALSE),BJ79,VLOOKUP(G79,NGPREVPRICES,4,FALSE),HLOOKUP(D79,VOLS,VLOOKUP(G79,move_down,2,FALSE),FALSE),VLOOKUP(G79,NGPrices,3,FALSE),HLOOKUP(D79,Correllate,VLOOKUP(G79,CorMove,2,FALSE),FALSE),Q79-$BC$3,R79,$BI$5)*H79-BI79</f>
        <v>312.57552869474785</v>
      </c>
      <c r="BG79" s="238">
        <f>_xll.xSPRDOPT((VLOOKUP(G79,NGPREVPRICES,2,FALSE)+HLOOKUP(D79,PREVCURVES,VLOOKUP(G79,MOVE_DOWN2,2,FALSE),FALSE)),VLOOKUP(G79,NGPREVPRICES,2,FALSE),BJ79,VLOOKUP(G79,NGPREVPRICES,4,FALSE),HLOOKUP(D79,PREVVOLS,VLOOKUP(G79,MOVE_DOWN2,2,FALSE),FALSE),VLOOKUP(G79,NGPREVPRICES,3,FALSE),HLOOKUP(D79,Correllate,VLOOKUP(G79,CorMove,2,FALSE),FALSE),Q79-$C$3,R79,$BI$5)*H79-BI79</f>
        <v>-384.79819952018079</v>
      </c>
      <c r="BH79" s="238">
        <f t="shared" si="109"/>
        <v>-1724.4804925843973</v>
      </c>
      <c r="BI79" s="238">
        <f>_xll.xSPRDOPT((VLOOKUP(G79,NGPREVPRICES,2,FALSE)+HLOOKUP(D79,PREVCURVES,VLOOKUP(G79,MOVE_DOWN2,2,FALSE),FALSE)),VLOOKUP(G79,NGPREVPRICES,2,FALSE),BJ79,VLOOKUP(G79,NGPREVPRICES,4,FALSE),HLOOKUP(D79,PREVVOLS,VLOOKUP(G79,MOVE_DOWN2,2,FALSE),FALSE),VLOOKUP(G79,NGPREVPRICES,3,FALSE),HLOOKUP(D79,Correllate,VLOOKUP(G79,CorMove,2,FALSE),FALSE),Q79-$BC$3,R79,$BI$5)*H79</f>
        <v>6194.5619990421137</v>
      </c>
      <c r="BJ79" s="239">
        <f t="shared" si="110"/>
        <v>-0.25</v>
      </c>
      <c r="BL79" t="str">
        <f t="shared" si="111"/>
        <v>36678Curve Shift/Gamma</v>
      </c>
      <c r="BM79" t="str">
        <f t="shared" si="127"/>
        <v>36678Rho</v>
      </c>
      <c r="BN79" t="str">
        <f t="shared" si="128"/>
        <v>36678Drift</v>
      </c>
      <c r="BO79" t="str">
        <f t="shared" si="129"/>
        <v>36678Vega</v>
      </c>
      <c r="BP79" t="str">
        <f t="shared" si="130"/>
        <v>36678Theta</v>
      </c>
    </row>
    <row r="80" spans="1:68" ht="12" customHeight="1" x14ac:dyDescent="0.25">
      <c r="A80" t="s">
        <v>271</v>
      </c>
      <c r="B80" t="s">
        <v>253</v>
      </c>
      <c r="C80" t="s">
        <v>303</v>
      </c>
      <c r="D80" s="4" t="s">
        <v>9</v>
      </c>
      <c r="E80" t="s">
        <v>20</v>
      </c>
      <c r="F80" t="s">
        <v>21</v>
      </c>
      <c r="G80" s="5">
        <v>36708</v>
      </c>
      <c r="H80" s="130">
        <v>310000</v>
      </c>
      <c r="I80">
        <v>-0.25</v>
      </c>
      <c r="J80" s="53">
        <f t="shared" si="115"/>
        <v>3.181</v>
      </c>
      <c r="K80" s="7">
        <f t="shared" si="116"/>
        <v>-0.32250000000000001</v>
      </c>
      <c r="L80" s="4">
        <f t="shared" si="117"/>
        <v>2.8585000000000003</v>
      </c>
      <c r="M80" s="159">
        <f t="shared" si="118"/>
        <v>6.3695649345076003E-2</v>
      </c>
      <c r="N80" s="4">
        <f t="shared" si="119"/>
        <v>0.39500000000000002</v>
      </c>
      <c r="O80" s="4">
        <f t="shared" si="120"/>
        <v>0.38700000000000001</v>
      </c>
      <c r="P80" s="9">
        <f t="shared" si="121"/>
        <v>0.96</v>
      </c>
      <c r="Q80" s="5">
        <f t="shared" si="122"/>
        <v>36706</v>
      </c>
      <c r="R80" s="4">
        <f t="shared" si="123"/>
        <v>1</v>
      </c>
      <c r="S80" s="160">
        <f>_xll.xSPRDOPT($L80,$J80,$I80,$M80,$O80,$N80,$P80,$Q80-$C$3,$R80,0)</f>
        <v>3.3246753108390231E-2</v>
      </c>
      <c r="T80" s="161">
        <f>_xll.xSPRDOPT($L80,$J80,$I80,$M80,$O80,$N80,$P80,$Q80-$C$3,$R80,1)*H80</f>
        <v>101600.10478445489</v>
      </c>
      <c r="U80" s="162">
        <f t="shared" si="112"/>
        <v>10306.493463600971</v>
      </c>
      <c r="V80" s="161">
        <f>_xll.xSPRDOPT($L80,$J80,$I80,$M80,$O80,$N80,$P80,$Q80-$C$3,$R80,2)*H80</f>
        <v>-96368.092157469931</v>
      </c>
      <c r="W80" s="161">
        <f t="shared" si="124"/>
        <v>5232.012626984957</v>
      </c>
      <c r="X80" s="51" t="str">
        <f t="shared" si="125"/>
        <v>36708IF-NWPL_ROCKY_M</v>
      </c>
      <c r="Y80" s="431">
        <f t="shared" si="126"/>
        <v>31</v>
      </c>
      <c r="Z80" s="51"/>
      <c r="AA80" s="128">
        <f t="shared" si="131"/>
        <v>38412</v>
      </c>
      <c r="AB80" s="43">
        <f t="shared" si="135"/>
        <v>0</v>
      </c>
      <c r="AC80" s="43">
        <f t="shared" si="135"/>
        <v>0</v>
      </c>
      <c r="AD80" s="43">
        <f t="shared" si="135"/>
        <v>0</v>
      </c>
      <c r="AE80" s="43">
        <f t="shared" si="135"/>
        <v>0</v>
      </c>
      <c r="AF80" s="44">
        <f t="shared" si="135"/>
        <v>0</v>
      </c>
      <c r="AG80" s="44">
        <f t="shared" si="135"/>
        <v>0</v>
      </c>
      <c r="AH80" s="128">
        <f t="shared" si="132"/>
        <v>38412</v>
      </c>
      <c r="AI80" s="44">
        <f t="shared" si="137"/>
        <v>0</v>
      </c>
      <c r="AJ80" s="51"/>
      <c r="AK80" s="128">
        <f t="shared" si="133"/>
        <v>38412</v>
      </c>
      <c r="AL80" s="43">
        <f t="shared" si="136"/>
        <v>0</v>
      </c>
      <c r="AM80" s="43">
        <f t="shared" si="136"/>
        <v>0</v>
      </c>
      <c r="AN80" s="43">
        <f t="shared" si="136"/>
        <v>0</v>
      </c>
      <c r="AO80" s="43">
        <f t="shared" si="136"/>
        <v>0</v>
      </c>
      <c r="AP80" s="44">
        <f t="shared" si="136"/>
        <v>0</v>
      </c>
      <c r="AQ80" s="44">
        <f t="shared" si="136"/>
        <v>0</v>
      </c>
      <c r="AR80" s="128">
        <f t="shared" si="134"/>
        <v>38412</v>
      </c>
      <c r="AS80" s="44">
        <f t="shared" si="138"/>
        <v>0</v>
      </c>
      <c r="AT80" s="51"/>
      <c r="AU80" s="51"/>
      <c r="AV80" s="51"/>
      <c r="AW80" s="51"/>
      <c r="AX80" s="51"/>
      <c r="AY80" s="51"/>
      <c r="AZ80" s="51"/>
      <c r="BA80" s="51"/>
      <c r="BB80" s="142">
        <f t="shared" si="107"/>
        <v>36708</v>
      </c>
      <c r="BC80" s="238">
        <f>_xll.xSPRDOPT((VLOOKUP(G80,NGPrices,2,FALSE)+HLOOKUP(D80,Prices,VLOOKUP(G80,move_down,2,FALSE),FALSE)),VLOOKUP(G80,NGPrices,2,FALSE),I80,VLOOKUP(G80,NGPREVPRICES,4,FALSE),HLOOKUP(D80,PREVVOLS,VLOOKUP(G80,MOVE_DOWN2,2,FALSE),FALSE),VLOOKUP(G80,NGPREVPRICES,3,FALSE),HLOOKUP(D80,Correllate,VLOOKUP(G80,CorMove,2,FALSE),FALSE),Q80-$BC$3,R80,$BC$5)*H80-BI80</f>
        <v>-1173.6761309694048</v>
      </c>
      <c r="BD80" s="238">
        <f>_xll.xSPRDOPT((VLOOKUP(G80,NGPREVPRICES,2,FALSE)+HLOOKUP(D80,PREVCURVES,VLOOKUP(G80,MOVE_DOWN2,2,FALSE),FALSE)),VLOOKUP(G80,NGPREVPRICES,2,FALSE),BJ80,VLOOKUP(G80,NGPrices,4,FALSE),HLOOKUP(D80,PREVVOLS,VLOOKUP(G80,MOVE_DOWN2,2,FALSE),FALSE),VLOOKUP(G80,NGPREVPRICES,3,FALSE),HLOOKUP(D80,Correllate,VLOOKUP(G80,CorMove,2,FALSE),FALSE),Q80-$BC$3,R80,$BI$5)*H80-BI80</f>
        <v>-0.10847506586105737</v>
      </c>
      <c r="BE80" s="10">
        <f t="shared" si="108"/>
        <v>-1.9785347443248611</v>
      </c>
      <c r="BF80" s="238">
        <f>_xll.xSPRDOPT((VLOOKUP(G80,NGPREVPRICES,2,FALSE)+HLOOKUP(D80,PREVCURVES,VLOOKUP(G80,MOVE_DOWN2,2,FALSE),FALSE)),VLOOKUP(G80,NGPREVPRICES,2,FALSE),BJ80,VLOOKUP(G80,NGPREVPRICES,4,FALSE),HLOOKUP(D80,VOLS,VLOOKUP(G80,move_down,2,FALSE),FALSE),VLOOKUP(G80,NGPrices,3,FALSE),HLOOKUP(D80,Correllate,VLOOKUP(G80,CorMove,2,FALSE),FALSE),Q80-$BC$3,R80,$BI$5)*H80-BI80</f>
        <v>452.53206282676547</v>
      </c>
      <c r="BG80" s="238">
        <f>_xll.xSPRDOPT((VLOOKUP(G80,NGPREVPRICES,2,FALSE)+HLOOKUP(D80,PREVCURVES,VLOOKUP(G80,MOVE_DOWN2,2,FALSE),FALSE)),VLOOKUP(G80,NGPREVPRICES,2,FALSE),BJ80,VLOOKUP(G80,NGPREVPRICES,4,FALSE),HLOOKUP(D80,PREVVOLS,VLOOKUP(G80,MOVE_DOWN2,2,FALSE),FALSE),VLOOKUP(G80,NGPREVPRICES,3,FALSE),HLOOKUP(D80,Correllate,VLOOKUP(G80,CorMove,2,FALSE),FALSE),Q80-$C$3,R80,$BI$5)*H80-BI80</f>
        <v>-345.45747862682583</v>
      </c>
      <c r="BH80" s="238">
        <f t="shared" si="109"/>
        <v>-1068.688556579651</v>
      </c>
      <c r="BI80" s="238">
        <f>_xll.xSPRDOPT((VLOOKUP(G80,NGPREVPRICES,2,FALSE)+HLOOKUP(D80,PREVCURVES,VLOOKUP(G80,MOVE_DOWN2,2,FALSE),FALSE)),VLOOKUP(G80,NGPREVPRICES,2,FALSE),BJ80,VLOOKUP(G80,NGPREVPRICES,4,FALSE),HLOOKUP(D80,PREVVOLS,VLOOKUP(G80,MOVE_DOWN2,2,FALSE),FALSE),VLOOKUP(G80,NGPREVPRICES,3,FALSE),HLOOKUP(D80,Correllate,VLOOKUP(G80,CorMove,2,FALSE),FALSE),Q80-$BC$3,R80,$BI$5)*H80</f>
        <v>11384.980534392871</v>
      </c>
      <c r="BJ80" s="239">
        <f t="shared" si="110"/>
        <v>-0.25</v>
      </c>
      <c r="BL80" t="str">
        <f t="shared" si="111"/>
        <v>36708Curve Shift/Gamma</v>
      </c>
      <c r="BM80" t="str">
        <f t="shared" si="127"/>
        <v>36708Rho</v>
      </c>
      <c r="BN80" t="str">
        <f t="shared" si="128"/>
        <v>36708Drift</v>
      </c>
      <c r="BO80" t="str">
        <f t="shared" si="129"/>
        <v>36708Vega</v>
      </c>
      <c r="BP80" t="str">
        <f t="shared" si="130"/>
        <v>36708Theta</v>
      </c>
    </row>
    <row r="81" spans="1:68" ht="12" customHeight="1" x14ac:dyDescent="0.25">
      <c r="A81" t="s">
        <v>271</v>
      </c>
      <c r="B81" t="s">
        <v>253</v>
      </c>
      <c r="C81" t="s">
        <v>303</v>
      </c>
      <c r="D81" s="4" t="s">
        <v>9</v>
      </c>
      <c r="E81" t="s">
        <v>20</v>
      </c>
      <c r="F81" t="s">
        <v>21</v>
      </c>
      <c r="G81" s="5">
        <v>36739</v>
      </c>
      <c r="H81" s="130">
        <v>310000</v>
      </c>
      <c r="I81">
        <v>-0.25</v>
      </c>
      <c r="J81" s="53">
        <f t="shared" si="115"/>
        <v>3.1829999999999998</v>
      </c>
      <c r="K81" s="7">
        <f t="shared" si="116"/>
        <v>-0.32250000000000001</v>
      </c>
      <c r="L81" s="4">
        <f t="shared" si="117"/>
        <v>2.8605</v>
      </c>
      <c r="M81" s="159">
        <f t="shared" si="118"/>
        <v>6.4500399973534003E-2</v>
      </c>
      <c r="N81" s="4">
        <f t="shared" si="119"/>
        <v>0.41249999999999998</v>
      </c>
      <c r="O81" s="4">
        <f t="shared" si="120"/>
        <v>0.40400000000000003</v>
      </c>
      <c r="P81" s="9">
        <f t="shared" si="121"/>
        <v>0.96</v>
      </c>
      <c r="Q81" s="5">
        <f t="shared" si="122"/>
        <v>36735</v>
      </c>
      <c r="R81" s="4">
        <f t="shared" si="123"/>
        <v>1</v>
      </c>
      <c r="S81" s="160">
        <f>_xll.xSPRDOPT($L81,$J81,$I81,$M81,$O81,$N81,$P81,$Q81-$C$3,$R81,0)</f>
        <v>4.6571436107695097E-2</v>
      </c>
      <c r="T81" s="161">
        <f>_xll.xSPRDOPT($L81,$J81,$I81,$M81,$O81,$N81,$P81,$Q81-$C$3,$R81,1)*H81</f>
        <v>111413.20964849698</v>
      </c>
      <c r="U81" s="162">
        <f t="shared" si="112"/>
        <v>14437.145193385481</v>
      </c>
      <c r="V81" s="161">
        <f>_xll.xSPRDOPT($L81,$J81,$I81,$M81,$O81,$N81,$P81,$Q81-$C$3,$R81,2)*H81</f>
        <v>-104755.038981604</v>
      </c>
      <c r="W81" s="161">
        <f t="shared" si="124"/>
        <v>6658.1706668929837</v>
      </c>
      <c r="X81" s="51" t="str">
        <f t="shared" si="125"/>
        <v>36739IF-NWPL_ROCKY_M</v>
      </c>
      <c r="Y81" s="431">
        <f t="shared" si="126"/>
        <v>31</v>
      </c>
      <c r="AA81" s="128">
        <f t="shared" si="131"/>
        <v>38443</v>
      </c>
      <c r="AB81" s="43">
        <f t="shared" si="135"/>
        <v>0</v>
      </c>
      <c r="AC81" s="43">
        <f t="shared" si="135"/>
        <v>0</v>
      </c>
      <c r="AD81" s="43">
        <f t="shared" si="135"/>
        <v>0</v>
      </c>
      <c r="AE81" s="43">
        <f t="shared" si="135"/>
        <v>0</v>
      </c>
      <c r="AF81" s="44">
        <f t="shared" si="135"/>
        <v>0</v>
      </c>
      <c r="AG81" s="44">
        <f t="shared" si="135"/>
        <v>0</v>
      </c>
      <c r="AH81" s="128">
        <f t="shared" si="132"/>
        <v>38443</v>
      </c>
      <c r="AI81" s="44">
        <f t="shared" si="137"/>
        <v>0</v>
      </c>
      <c r="AJ81" s="51"/>
      <c r="AK81" s="128">
        <f t="shared" si="133"/>
        <v>38443</v>
      </c>
      <c r="AL81" s="43">
        <f t="shared" si="136"/>
        <v>0</v>
      </c>
      <c r="AM81" s="43">
        <f t="shared" si="136"/>
        <v>0</v>
      </c>
      <c r="AN81" s="43">
        <f t="shared" si="136"/>
        <v>0</v>
      </c>
      <c r="AO81" s="43">
        <f t="shared" si="136"/>
        <v>0</v>
      </c>
      <c r="AP81" s="44">
        <f t="shared" si="136"/>
        <v>0</v>
      </c>
      <c r="AQ81" s="44">
        <f t="shared" si="136"/>
        <v>0</v>
      </c>
      <c r="AR81" s="128">
        <f t="shared" si="134"/>
        <v>38443</v>
      </c>
      <c r="AS81" s="44">
        <f t="shared" si="138"/>
        <v>0</v>
      </c>
      <c r="AT81" s="51"/>
      <c r="AU81" s="51"/>
      <c r="AV81" s="51"/>
      <c r="AW81" s="51"/>
      <c r="AX81" s="51"/>
      <c r="AY81" s="51"/>
      <c r="AZ81" s="51"/>
      <c r="BA81" s="51"/>
      <c r="BB81" s="142">
        <f t="shared" si="107"/>
        <v>36739</v>
      </c>
      <c r="BC81" s="238">
        <f>_xll.xSPRDOPT((VLOOKUP(G81,NGPrices,2,FALSE)+HLOOKUP(D81,Prices,VLOOKUP(G81,move_down,2,FALSE),FALSE)),VLOOKUP(G81,NGPrices,2,FALSE),I81,VLOOKUP(G81,NGPREVPRICES,4,FALSE),HLOOKUP(D81,PREVVOLS,VLOOKUP(G81,MOVE_DOWN2,2,FALSE),FALSE),VLOOKUP(G81,NGPREVPRICES,3,FALSE),HLOOKUP(D81,Correllate,VLOOKUP(G81,CorMove,2,FALSE),FALSE),Q81-$BC$3,R81,$BC$5)*H81-BI81</f>
        <v>-1204.920054721073</v>
      </c>
      <c r="BD81" s="238">
        <f>_xll.xSPRDOPT((VLOOKUP(G81,NGPREVPRICES,2,FALSE)+HLOOKUP(D81,PREVCURVES,VLOOKUP(G81,MOVE_DOWN2,2,FALSE),FALSE)),VLOOKUP(G81,NGPREVPRICES,2,FALSE),BJ81,VLOOKUP(G81,NGPrices,4,FALSE),HLOOKUP(D81,PREVVOLS,VLOOKUP(G81,MOVE_DOWN2,2,FALSE),FALSE),VLOOKUP(G81,NGPREVPRICES,3,FALSE),HLOOKUP(D81,Correllate,VLOOKUP(G81,CorMove,2,FALSE),FALSE),Q81-$BC$3,R81,$BI$5)*H81-BI81</f>
        <v>-0.11550941786481417</v>
      </c>
      <c r="BE81" s="10">
        <f t="shared" si="108"/>
        <v>-2.7289044435383403</v>
      </c>
      <c r="BF81" s="238">
        <f>_xll.xSPRDOPT((VLOOKUP(G81,NGPREVPRICES,2,FALSE)+HLOOKUP(D81,PREVCURVES,VLOOKUP(G81,MOVE_DOWN2,2,FALSE),FALSE)),VLOOKUP(G81,NGPREVPRICES,2,FALSE),BJ81,VLOOKUP(G81,NGPREVPRICES,4,FALSE),HLOOKUP(D81,VOLS,VLOOKUP(G81,move_down,2,FALSE),FALSE),VLOOKUP(G81,NGPrices,3,FALSE),HLOOKUP(D81,Correllate,VLOOKUP(G81,CorMove,2,FALSE),FALSE),Q81-$BC$3,R81,$BI$5)*H81-BI81</f>
        <v>542.05494976108093</v>
      </c>
      <c r="BG81" s="238">
        <f>_xll.xSPRDOPT((VLOOKUP(G81,NGPREVPRICES,2,FALSE)+HLOOKUP(D81,PREVCURVES,VLOOKUP(G81,MOVE_DOWN2,2,FALSE),FALSE)),VLOOKUP(G81,NGPREVPRICES,2,FALSE),BJ81,VLOOKUP(G81,NGPREVPRICES,4,FALSE),HLOOKUP(D81,PREVVOLS,VLOOKUP(G81,MOVE_DOWN2,2,FALSE),FALSE),VLOOKUP(G81,NGPREVPRICES,3,FALSE),HLOOKUP(D81,Correllate,VLOOKUP(G81,CorMove,2,FALSE),FALSE),Q81-$C$3,R81,$BI$5)*H81-BI81</f>
        <v>-309.97087146101148</v>
      </c>
      <c r="BH81" s="238">
        <f t="shared" si="109"/>
        <v>-975.68039028240673</v>
      </c>
      <c r="BI81" s="238">
        <f>_xll.xSPRDOPT((VLOOKUP(G81,NGPREVPRICES,2,FALSE)+HLOOKUP(D81,PREVCURVES,VLOOKUP(G81,MOVE_DOWN2,2,FALSE),FALSE)),VLOOKUP(G81,NGPREVPRICES,2,FALSE),BJ81,VLOOKUP(G81,NGPREVPRICES,4,FALSE),HLOOKUP(D81,PREVVOLS,VLOOKUP(G81,MOVE_DOWN2,2,FALSE),FALSE),VLOOKUP(G81,NGPREVPRICES,3,FALSE),HLOOKUP(D81,Correllate,VLOOKUP(G81,CorMove,2,FALSE),FALSE),Q81-$BC$3,R81,$BI$5)*H81</f>
        <v>15419.273915315098</v>
      </c>
      <c r="BJ81" s="239">
        <f t="shared" si="110"/>
        <v>-0.25</v>
      </c>
      <c r="BL81" t="str">
        <f t="shared" si="111"/>
        <v>36739Curve Shift/Gamma</v>
      </c>
      <c r="BM81" t="str">
        <f t="shared" si="127"/>
        <v>36739Rho</v>
      </c>
      <c r="BN81" t="str">
        <f t="shared" si="128"/>
        <v>36739Drift</v>
      </c>
      <c r="BO81" t="str">
        <f t="shared" si="129"/>
        <v>36739Vega</v>
      </c>
      <c r="BP81" t="str">
        <f t="shared" si="130"/>
        <v>36739Theta</v>
      </c>
    </row>
    <row r="82" spans="1:68" ht="12" customHeight="1" x14ac:dyDescent="0.25">
      <c r="A82" t="s">
        <v>271</v>
      </c>
      <c r="B82" t="s">
        <v>253</v>
      </c>
      <c r="C82" t="s">
        <v>303</v>
      </c>
      <c r="D82" s="4" t="s">
        <v>9</v>
      </c>
      <c r="E82" t="s">
        <v>20</v>
      </c>
      <c r="F82" t="s">
        <v>21</v>
      </c>
      <c r="G82" s="5">
        <v>36770</v>
      </c>
      <c r="H82" s="130">
        <v>300000</v>
      </c>
      <c r="I82">
        <v>-0.25</v>
      </c>
      <c r="J82" s="53">
        <f t="shared" si="115"/>
        <v>3.173</v>
      </c>
      <c r="K82" s="7">
        <f t="shared" si="116"/>
        <v>-0.32250000000000001</v>
      </c>
      <c r="L82" s="4">
        <f t="shared" si="117"/>
        <v>2.8505000000000003</v>
      </c>
      <c r="M82" s="159">
        <f t="shared" si="118"/>
        <v>6.5221012015626995E-2</v>
      </c>
      <c r="N82" s="4">
        <f t="shared" si="119"/>
        <v>0.42</v>
      </c>
      <c r="O82" s="4">
        <f t="shared" si="120"/>
        <v>0.41199999999999998</v>
      </c>
      <c r="P82" s="9">
        <f t="shared" si="121"/>
        <v>0.96</v>
      </c>
      <c r="Q82" s="5">
        <f t="shared" si="122"/>
        <v>36768</v>
      </c>
      <c r="R82" s="4">
        <f t="shared" si="123"/>
        <v>1</v>
      </c>
      <c r="S82" s="160">
        <f>_xll.xSPRDOPT($L82,$J82,$I82,$M82,$O82,$N82,$P82,$Q82-$C$3,$R82,0)</f>
        <v>5.8334520561907466E-2</v>
      </c>
      <c r="T82" s="161">
        <f>_xll.xSPRDOPT($L82,$J82,$I82,$M82,$O82,$N82,$P82,$Q82-$C$3,$R82,1)*H82</f>
        <v>113535.91744240717</v>
      </c>
      <c r="U82" s="162">
        <f t="shared" si="112"/>
        <v>17500.356168572238</v>
      </c>
      <c r="V82" s="161">
        <f>_xll.xSPRDOPT($L82,$J82,$I82,$M82,$O82,$N82,$P82,$Q82-$C$3,$R82,2)*H82</f>
        <v>-105898.67778451613</v>
      </c>
      <c r="W82" s="161">
        <f t="shared" si="124"/>
        <v>7637.2396578910411</v>
      </c>
      <c r="X82" s="51" t="str">
        <f t="shared" si="125"/>
        <v>36770IF-NWPL_ROCKY_M</v>
      </c>
      <c r="Y82" s="431">
        <f t="shared" si="126"/>
        <v>30</v>
      </c>
      <c r="AA82" s="128">
        <f t="shared" si="131"/>
        <v>38473</v>
      </c>
      <c r="AB82" s="43">
        <f t="shared" si="135"/>
        <v>0</v>
      </c>
      <c r="AC82" s="43">
        <f t="shared" si="135"/>
        <v>0</v>
      </c>
      <c r="AD82" s="43">
        <f t="shared" si="135"/>
        <v>0</v>
      </c>
      <c r="AE82" s="43">
        <f t="shared" si="135"/>
        <v>0</v>
      </c>
      <c r="AF82" s="44">
        <f t="shared" si="135"/>
        <v>0</v>
      </c>
      <c r="AG82" s="44">
        <f t="shared" si="135"/>
        <v>0</v>
      </c>
      <c r="AH82" s="128">
        <f t="shared" si="132"/>
        <v>38473</v>
      </c>
      <c r="AI82" s="44">
        <f t="shared" si="137"/>
        <v>0</v>
      </c>
      <c r="AJ82" s="51"/>
      <c r="AK82" s="128">
        <f t="shared" si="133"/>
        <v>38473</v>
      </c>
      <c r="AL82" s="43">
        <f t="shared" si="136"/>
        <v>0</v>
      </c>
      <c r="AM82" s="43">
        <f t="shared" si="136"/>
        <v>0</v>
      </c>
      <c r="AN82" s="43">
        <f t="shared" si="136"/>
        <v>0</v>
      </c>
      <c r="AO82" s="43">
        <f t="shared" si="136"/>
        <v>0</v>
      </c>
      <c r="AP82" s="44">
        <f t="shared" si="136"/>
        <v>0</v>
      </c>
      <c r="AQ82" s="44">
        <f t="shared" si="136"/>
        <v>0</v>
      </c>
      <c r="AR82" s="128">
        <f t="shared" si="134"/>
        <v>38473</v>
      </c>
      <c r="AS82" s="44">
        <f t="shared" si="138"/>
        <v>0</v>
      </c>
      <c r="AT82" s="51"/>
      <c r="AU82" s="51"/>
      <c r="AV82" s="51"/>
      <c r="AW82" s="51"/>
      <c r="AX82" s="51"/>
      <c r="AY82" s="51"/>
      <c r="AZ82" s="51"/>
      <c r="BA82" s="51"/>
      <c r="BB82" s="142">
        <f t="shared" si="107"/>
        <v>36770</v>
      </c>
      <c r="BC82" s="238">
        <f>_xll.xSPRDOPT((VLOOKUP(G82,NGPrices,2,FALSE)+HLOOKUP(D82,Prices,VLOOKUP(G82,move_down,2,FALSE),FALSE)),VLOOKUP(G82,NGPrices,2,FALSE),I82,VLOOKUP(G82,NGPREVPRICES,4,FALSE),HLOOKUP(D82,PREVVOLS,VLOOKUP(G82,MOVE_DOWN2,2,FALSE),FALSE),VLOOKUP(G82,NGPREVPRICES,3,FALSE),HLOOKUP(D82,Correllate,VLOOKUP(G82,CorMove,2,FALSE),FALSE),Q82-$BC$3,R82,$BC$5)*H82-BI82</f>
        <v>-1161.0977846727692</v>
      </c>
      <c r="BD82" s="238">
        <f>_xll.xSPRDOPT((VLOOKUP(G82,NGPREVPRICES,2,FALSE)+HLOOKUP(D82,PREVCURVES,VLOOKUP(G82,MOVE_DOWN2,2,FALSE),FALSE)),VLOOKUP(G82,NGPREVPRICES,2,FALSE),BJ82,VLOOKUP(G82,NGPrices,4,FALSE),HLOOKUP(D82,PREVVOLS,VLOOKUP(G82,MOVE_DOWN2,2,FALSE),FALSE),VLOOKUP(G82,NGPREVPRICES,3,FALSE),HLOOKUP(D82,Correllate,VLOOKUP(G82,CorMove,2,FALSE),FALSE),Q82-$BC$3,R82,$BI$5)*H82-BI82</f>
        <v>3.0620579564129002E-2</v>
      </c>
      <c r="BE82" s="10">
        <f t="shared" si="108"/>
        <v>-3.2994725630560424</v>
      </c>
      <c r="BF82" s="238">
        <f>_xll.xSPRDOPT((VLOOKUP(G82,NGPREVPRICES,2,FALSE)+HLOOKUP(D82,PREVCURVES,VLOOKUP(G82,MOVE_DOWN2,2,FALSE),FALSE)),VLOOKUP(G82,NGPREVPRICES,2,FALSE),BJ82,VLOOKUP(G82,NGPREVPRICES,4,FALSE),HLOOKUP(D82,VOLS,VLOOKUP(G82,move_down,2,FALSE),FALSE),VLOOKUP(G82,NGPrices,3,FALSE),HLOOKUP(D82,Correllate,VLOOKUP(G82,CorMove,2,FALSE),FALSE),Q82-$BC$3,R82,$BI$5)*H82-BI82</f>
        <v>603.5729689451764</v>
      </c>
      <c r="BG82" s="238">
        <f>_xll.xSPRDOPT((VLOOKUP(G82,NGPREVPRICES,2,FALSE)+HLOOKUP(D82,PREVCURVES,VLOOKUP(G82,MOVE_DOWN2,2,FALSE),FALSE)),VLOOKUP(G82,NGPREVPRICES,2,FALSE),BJ82,VLOOKUP(G82,NGPREVPRICES,4,FALSE),HLOOKUP(D82,PREVVOLS,VLOOKUP(G82,MOVE_DOWN2,2,FALSE),FALSE),VLOOKUP(G82,NGPREVPRICES,3,FALSE),HLOOKUP(D82,Correllate,VLOOKUP(G82,CorMove,2,FALSE),FALSE),Q82-$C$3,R82,$BI$5)*H82-BI82</f>
        <v>-264.02654444335712</v>
      </c>
      <c r="BH82" s="238">
        <f t="shared" si="109"/>
        <v>-824.82021215444183</v>
      </c>
      <c r="BI82" s="238">
        <f>_xll.xSPRDOPT((VLOOKUP(G82,NGPREVPRICES,2,FALSE)+HLOOKUP(D82,PREVCURVES,VLOOKUP(G82,MOVE_DOWN2,2,FALSE),FALSE)),VLOOKUP(G82,NGPREVPRICES,2,FALSE),BJ82,VLOOKUP(G82,NGPREVPRICES,4,FALSE),HLOOKUP(D82,PREVVOLS,VLOOKUP(G82,MOVE_DOWN2,2,FALSE),FALSE),VLOOKUP(G82,NGPREVPRICES,3,FALSE),HLOOKUP(D82,Correllate,VLOOKUP(G82,CorMove,2,FALSE),FALSE),Q82-$BC$3,R82,$BI$5)*H82</f>
        <v>18327.84882196839</v>
      </c>
      <c r="BJ82" s="239">
        <f t="shared" si="110"/>
        <v>-0.25</v>
      </c>
      <c r="BL82" t="str">
        <f t="shared" si="111"/>
        <v>36770Curve Shift/Gamma</v>
      </c>
      <c r="BM82" t="str">
        <f t="shared" si="127"/>
        <v>36770Rho</v>
      </c>
      <c r="BN82" t="str">
        <f t="shared" si="128"/>
        <v>36770Drift</v>
      </c>
      <c r="BO82" t="str">
        <f t="shared" si="129"/>
        <v>36770Vega</v>
      </c>
      <c r="BP82" t="str">
        <f t="shared" si="130"/>
        <v>36770Theta</v>
      </c>
    </row>
    <row r="83" spans="1:68" ht="12" customHeight="1" x14ac:dyDescent="0.25">
      <c r="A83" t="s">
        <v>271</v>
      </c>
      <c r="B83" t="s">
        <v>253</v>
      </c>
      <c r="C83" t="s">
        <v>303</v>
      </c>
      <c r="D83" s="4" t="s">
        <v>9</v>
      </c>
      <c r="E83" t="s">
        <v>20</v>
      </c>
      <c r="F83" t="s">
        <v>21</v>
      </c>
      <c r="G83" s="5">
        <v>36800</v>
      </c>
      <c r="H83" s="130">
        <v>310000</v>
      </c>
      <c r="I83">
        <v>-0.25</v>
      </c>
      <c r="J83" s="53">
        <f t="shared" si="115"/>
        <v>3.18</v>
      </c>
      <c r="K83" s="7">
        <f t="shared" si="116"/>
        <v>-0.29749999999999999</v>
      </c>
      <c r="L83" s="4">
        <f t="shared" si="117"/>
        <v>2.8825000000000003</v>
      </c>
      <c r="M83" s="159">
        <f t="shared" si="118"/>
        <v>6.5817989695161006E-2</v>
      </c>
      <c r="N83" s="4">
        <f t="shared" si="119"/>
        <v>0.42249999999999999</v>
      </c>
      <c r="O83" s="4">
        <f t="shared" si="120"/>
        <v>0.41399999999999998</v>
      </c>
      <c r="P83" s="9">
        <f t="shared" si="121"/>
        <v>0.96</v>
      </c>
      <c r="Q83" s="5">
        <f t="shared" si="122"/>
        <v>36797</v>
      </c>
      <c r="R83" s="4">
        <f t="shared" si="123"/>
        <v>1</v>
      </c>
      <c r="S83" s="160">
        <f>_xll.xSPRDOPT($L83,$J83,$I83,$M83,$O83,$N83,$P83,$Q83-$C$3,$R83,0)</f>
        <v>7.773453399050953E-2</v>
      </c>
      <c r="T83" s="161">
        <f>_xll.xSPRDOPT($L83,$J83,$I83,$M83,$O83,$N83,$P83,$Q83-$C$3,$R83,1)*H83</f>
        <v>132375.71122083475</v>
      </c>
      <c r="U83" s="162">
        <f t="shared" si="112"/>
        <v>24097.705537057955</v>
      </c>
      <c r="V83" s="161">
        <f>_xll.xSPRDOPT($L83,$J83,$I83,$M83,$O83,$N83,$P83,$Q83-$C$3,$R83,2)*H83</f>
        <v>-123371.17606251351</v>
      </c>
      <c r="W83" s="161">
        <f t="shared" si="124"/>
        <v>9004.5351583212469</v>
      </c>
      <c r="X83" s="51" t="str">
        <f t="shared" si="125"/>
        <v>36800IF-NWPL_ROCKY_M</v>
      </c>
      <c r="Y83" s="431">
        <f t="shared" si="126"/>
        <v>31</v>
      </c>
      <c r="AA83" s="128">
        <f t="shared" si="131"/>
        <v>38504</v>
      </c>
      <c r="AB83" s="43">
        <f t="shared" si="135"/>
        <v>0</v>
      </c>
      <c r="AC83" s="43">
        <f t="shared" si="135"/>
        <v>0</v>
      </c>
      <c r="AD83" s="43">
        <f t="shared" si="135"/>
        <v>0</v>
      </c>
      <c r="AE83" s="43">
        <f t="shared" si="135"/>
        <v>0</v>
      </c>
      <c r="AF83" s="44">
        <f t="shared" si="135"/>
        <v>0</v>
      </c>
      <c r="AG83" s="44">
        <f t="shared" si="135"/>
        <v>0</v>
      </c>
      <c r="AH83" s="128">
        <f t="shared" si="132"/>
        <v>38504</v>
      </c>
      <c r="AI83" s="44">
        <f t="shared" si="137"/>
        <v>0</v>
      </c>
      <c r="AJ83" s="51"/>
      <c r="AK83" s="128">
        <f t="shared" si="133"/>
        <v>38504</v>
      </c>
      <c r="AL83" s="43">
        <f t="shared" si="136"/>
        <v>0</v>
      </c>
      <c r="AM83" s="43">
        <f t="shared" si="136"/>
        <v>0</v>
      </c>
      <c r="AN83" s="43">
        <f t="shared" si="136"/>
        <v>0</v>
      </c>
      <c r="AO83" s="43">
        <f t="shared" si="136"/>
        <v>0</v>
      </c>
      <c r="AP83" s="44">
        <f t="shared" si="136"/>
        <v>0</v>
      </c>
      <c r="AQ83" s="44">
        <f t="shared" si="136"/>
        <v>0</v>
      </c>
      <c r="AR83" s="128">
        <f t="shared" si="134"/>
        <v>38504</v>
      </c>
      <c r="AS83" s="44">
        <f t="shared" si="138"/>
        <v>0</v>
      </c>
      <c r="AT83" s="51"/>
      <c r="AU83" s="51"/>
      <c r="AV83" s="51"/>
      <c r="AW83" s="51"/>
      <c r="AX83" s="51"/>
      <c r="AY83" s="51"/>
      <c r="AZ83" s="51"/>
      <c r="BA83" s="51"/>
      <c r="BB83" s="142">
        <f t="shared" si="107"/>
        <v>36800</v>
      </c>
      <c r="BC83" s="238">
        <f>_xll.xSPRDOPT((VLOOKUP(G83,NGPrices,2,FALSE)+HLOOKUP(D83,Prices,VLOOKUP(G83,move_down,2,FALSE),FALSE)),VLOOKUP(G83,NGPrices,2,FALSE),I83,VLOOKUP(G83,NGPREVPRICES,4,FALSE),HLOOKUP(D83,PREVVOLS,VLOOKUP(G83,MOVE_DOWN2,2,FALSE),FALSE),VLOOKUP(G83,NGPREVPRICES,3,FALSE),HLOOKUP(D83,Correllate,VLOOKUP(G83,CorMove,2,FALSE),FALSE),Q83-$BC$3,R83,$BC$5)*H83-BI83</f>
        <v>-1370.3044087685921</v>
      </c>
      <c r="BD83" s="238">
        <f>_xll.xSPRDOPT((VLOOKUP(G83,NGPREVPRICES,2,FALSE)+HLOOKUP(D83,PREVCURVES,VLOOKUP(G83,MOVE_DOWN2,2,FALSE),FALSE)),VLOOKUP(G83,NGPREVPRICES,2,FALSE),BJ83,VLOOKUP(G83,NGPrices,4,FALSE),HLOOKUP(D83,PREVVOLS,VLOOKUP(G83,MOVE_DOWN2,2,FALSE),FALSE),VLOOKUP(G83,NGPREVPRICES,3,FALSE),HLOOKUP(D83,Correllate,VLOOKUP(G83,CorMove,2,FALSE),FALSE),Q83-$BC$3,R83,$BI$5)*H83-BI83</f>
        <v>0.4131987459732045</v>
      </c>
      <c r="BE83" s="10">
        <f t="shared" si="108"/>
        <v>-4.5718055597717466</v>
      </c>
      <c r="BF83" s="238">
        <f>_xll.xSPRDOPT((VLOOKUP(G83,NGPREVPRICES,2,FALSE)+HLOOKUP(D83,PREVCURVES,VLOOKUP(G83,MOVE_DOWN2,2,FALSE),FALSE)),VLOOKUP(G83,NGPREVPRICES,2,FALSE),BJ83,VLOOKUP(G83,NGPREVPRICES,4,FALSE),HLOOKUP(D83,VOLS,VLOOKUP(G83,move_down,2,FALSE),FALSE),VLOOKUP(G83,NGPrices,3,FALSE),HLOOKUP(D83,Correllate,VLOOKUP(G83,CorMove,2,FALSE),FALSE),Q83-$BC$3,R83,$BI$5)*H83-BI83</f>
        <v>704.07590334444831</v>
      </c>
      <c r="BG83" s="238">
        <f>_xll.xSPRDOPT((VLOOKUP(G83,NGPREVPRICES,2,FALSE)+HLOOKUP(D83,PREVCURVES,VLOOKUP(G83,MOVE_DOWN2,2,FALSE),FALSE)),VLOOKUP(G83,NGPREVPRICES,2,FALSE),BJ83,VLOOKUP(G83,NGPREVPRICES,4,FALSE),HLOOKUP(D83,PREVVOLS,VLOOKUP(G83,MOVE_DOWN2,2,FALSE),FALSE),VLOOKUP(G83,NGPREVPRICES,3,FALSE),HLOOKUP(D83,Correllate,VLOOKUP(G83,CorMove,2,FALSE),FALSE),Q83-$C$3,R83,$BI$5)*H83-BI83</f>
        <v>-252.1976493418515</v>
      </c>
      <c r="BH83" s="238">
        <f t="shared" si="109"/>
        <v>-922.58476157979385</v>
      </c>
      <c r="BI83" s="238">
        <f>_xll.xSPRDOPT((VLOOKUP(G83,NGPREVPRICES,2,FALSE)+HLOOKUP(D83,PREVCURVES,VLOOKUP(G83,MOVE_DOWN2,2,FALSE),FALSE)),VLOOKUP(G83,NGPREVPRICES,2,FALSE),BJ83,VLOOKUP(G83,NGPREVPRICES,4,FALSE),HLOOKUP(D83,PREVVOLS,VLOOKUP(G83,MOVE_DOWN2,2,FALSE),FALSE),VLOOKUP(G83,NGPREVPRICES,3,FALSE),HLOOKUP(D83,Correllate,VLOOKUP(G83,CorMove,2,FALSE),FALSE),Q83-$BC$3,R83,$BI$5)*H83</f>
        <v>25017.533276190978</v>
      </c>
      <c r="BJ83" s="239">
        <f t="shared" si="110"/>
        <v>-0.25</v>
      </c>
      <c r="BL83" t="str">
        <f t="shared" si="111"/>
        <v>36800Curve Shift/Gamma</v>
      </c>
      <c r="BM83" t="str">
        <f t="shared" si="127"/>
        <v>36800Rho</v>
      </c>
      <c r="BN83" t="str">
        <f t="shared" si="128"/>
        <v>36800Drift</v>
      </c>
      <c r="BO83" t="str">
        <f t="shared" si="129"/>
        <v>36800Vega</v>
      </c>
      <c r="BP83" t="str">
        <f t="shared" si="130"/>
        <v>36800Theta</v>
      </c>
    </row>
    <row r="84" spans="1:68" ht="12" customHeight="1" x14ac:dyDescent="0.25">
      <c r="A84" t="s">
        <v>290</v>
      </c>
      <c r="B84" t="s">
        <v>253</v>
      </c>
      <c r="C84" t="s">
        <v>304</v>
      </c>
      <c r="D84" s="4" t="s">
        <v>9</v>
      </c>
      <c r="E84" t="s">
        <v>20</v>
      </c>
      <c r="F84" t="s">
        <v>21</v>
      </c>
      <c r="G84" s="5">
        <v>36647</v>
      </c>
      <c r="H84" s="130">
        <v>310000</v>
      </c>
      <c r="I84">
        <v>-0.3</v>
      </c>
      <c r="J84" s="53">
        <f t="shared" ref="J84:J89" si="139">VLOOKUP(G84,NGPrices,2,FALSE)</f>
        <v>3.1579999999999999</v>
      </c>
      <c r="K84" s="7">
        <f t="shared" ref="K84:K89" si="140">HLOOKUP(D84,Prices,VLOOKUP(G84,move_down,2,FALSE),FALSE)</f>
        <v>-0.34499999999999997</v>
      </c>
      <c r="L84" s="4">
        <f t="shared" ref="L84:L89" si="141">K84+J84</f>
        <v>2.8129999999999997</v>
      </c>
      <c r="M84" s="159">
        <f t="shared" ref="M84:M89" si="142">VLOOKUP(G84,NGPrices,4,FALSE)</f>
        <v>6.2683518517613002E-2</v>
      </c>
      <c r="N84" s="4">
        <f t="shared" ref="N84:N89" si="143">VLOOKUP(G84,NGPrices,3,FALSE)</f>
        <v>0.41</v>
      </c>
      <c r="O84" s="4">
        <f t="shared" ref="O84:O89" si="144">HLOOKUP(D84,VOLS,VLOOKUP(G84,move_down,2,FALSE),FALSE)</f>
        <v>0.377</v>
      </c>
      <c r="P84" s="9">
        <f t="shared" ref="P84:P89" si="145">HLOOKUP(D84,Correllate,VLOOKUP(G84,CorMove,2,FALSE),FALSE)</f>
        <v>0.96</v>
      </c>
      <c r="Q84" s="5">
        <f t="shared" si="122"/>
        <v>36643</v>
      </c>
      <c r="R84" s="4">
        <f t="shared" ref="R84:R89" si="146">IF(F84="P",0,1)</f>
        <v>1</v>
      </c>
      <c r="S84" s="160">
        <f>_xll.xSPRDOPT($L84,$J84,$I84,$M84,$O84,$N84,$P84,$Q84-$C$3,$R84,0)</f>
        <v>9.5967240375107177E-3</v>
      </c>
      <c r="T84" s="161">
        <f>_xll.xSPRDOPT($L84,$J84,$I84,$M84,$O84,$N84,$P84,$Q84-$C$3,$R84,1)*H84</f>
        <v>76924.740441745234</v>
      </c>
      <c r="U84" s="162">
        <f t="shared" ref="U84:U89" si="147">S84*H84</f>
        <v>2974.9844516283224</v>
      </c>
      <c r="V84" s="161">
        <f>_xll.xSPRDOPT($L84,$J84,$I84,$M84,$O84,$N84,$P84,$Q84-$C$3,$R84,2)*H84</f>
        <v>-75134.312773736718</v>
      </c>
      <c r="W84" s="161">
        <f t="shared" ref="W84:W89" si="148">+V84+T84</f>
        <v>1790.4276680085168</v>
      </c>
      <c r="X84" s="51" t="str">
        <f t="shared" ref="X84:X89" si="149">CONCATENATE(G84,D84)</f>
        <v>36647IF-NWPL_ROCKY_M</v>
      </c>
      <c r="Y84" s="431">
        <f t="shared" ref="Y84:Y89" si="150">H84/10000</f>
        <v>31</v>
      </c>
      <c r="AA84" s="128">
        <f t="shared" si="131"/>
        <v>38534</v>
      </c>
      <c r="AB84" s="43">
        <f t="shared" si="135"/>
        <v>0</v>
      </c>
      <c r="AC84" s="43">
        <f t="shared" si="135"/>
        <v>0</v>
      </c>
      <c r="AD84" s="43">
        <f t="shared" si="135"/>
        <v>0</v>
      </c>
      <c r="AE84" s="43">
        <f t="shared" si="135"/>
        <v>0</v>
      </c>
      <c r="AF84" s="44">
        <f t="shared" si="135"/>
        <v>0</v>
      </c>
      <c r="AG84" s="44">
        <f t="shared" si="135"/>
        <v>0</v>
      </c>
      <c r="AH84" s="128">
        <f t="shared" si="132"/>
        <v>38534</v>
      </c>
      <c r="AI84" s="44">
        <f t="shared" si="137"/>
        <v>0</v>
      </c>
      <c r="AJ84" s="51"/>
      <c r="AK84" s="128">
        <f t="shared" si="133"/>
        <v>38534</v>
      </c>
      <c r="AL84" s="43">
        <f t="shared" si="136"/>
        <v>0</v>
      </c>
      <c r="AM84" s="43">
        <f t="shared" si="136"/>
        <v>0</v>
      </c>
      <c r="AN84" s="43">
        <f t="shared" si="136"/>
        <v>0</v>
      </c>
      <c r="AO84" s="43">
        <f t="shared" si="136"/>
        <v>0</v>
      </c>
      <c r="AP84" s="44">
        <f t="shared" si="136"/>
        <v>0</v>
      </c>
      <c r="AQ84" s="44">
        <f t="shared" si="136"/>
        <v>0</v>
      </c>
      <c r="AR84" s="128">
        <f t="shared" si="134"/>
        <v>38534</v>
      </c>
      <c r="AS84" s="44">
        <f t="shared" si="138"/>
        <v>0</v>
      </c>
      <c r="AT84" s="51"/>
      <c r="AU84" s="51"/>
      <c r="AV84" s="51"/>
      <c r="AW84" s="51"/>
      <c r="AX84" s="51"/>
      <c r="AY84" s="51"/>
      <c r="AZ84" s="51"/>
      <c r="BA84" s="51"/>
      <c r="BB84" s="142">
        <f t="shared" ref="BB84:BB94" si="151">G84</f>
        <v>36647</v>
      </c>
      <c r="BC84" s="238">
        <f>_xll.xSPRDOPT((VLOOKUP(G84,NGPrices,2,FALSE)+HLOOKUP(D84,Prices,VLOOKUP(G84,move_down,2,FALSE),FALSE)),VLOOKUP(G84,NGPrices,2,FALSE),I84,VLOOKUP(G84,NGPREVPRICES,4,FALSE),HLOOKUP(D84,PREVVOLS,VLOOKUP(G84,MOVE_DOWN2,2,FALSE),FALSE),VLOOKUP(G84,NGPREVPRICES,3,FALSE),HLOOKUP(D84,Correllate,VLOOKUP(G84,CorMove,2,FALSE),FALSE),Q84-$BC$3,R84,$BC$5)*H84-BI84</f>
        <v>-3167.4439962737506</v>
      </c>
      <c r="BD84" s="238">
        <f>_xll.xSPRDOPT((VLOOKUP(G84,NGPREVPRICES,2,FALSE)+HLOOKUP(D84,PREVCURVES,VLOOKUP(G84,MOVE_DOWN2,2,FALSE),FALSE)),VLOOKUP(G84,NGPREVPRICES,2,FALSE),BJ84,VLOOKUP(G84,NGPrices,4,FALSE),HLOOKUP(D84,PREVVOLS,VLOOKUP(G84,MOVE_DOWN2,2,FALSE),FALSE),VLOOKUP(G84,NGPREVPRICES,3,FALSE),HLOOKUP(D84,Correllate,VLOOKUP(G84,CorMove,2,FALSE),FALSE),Q84-$BC$3,R84,$BI$5)*H84-BI84</f>
        <v>-2.0934012526595325E-2</v>
      </c>
      <c r="BE84" s="10">
        <f t="shared" ref="BE84:BE94" si="152">(BI84/VLOOKUP(BB84,discount,3,FALSE))-(BI84/VLOOKUP(BB84,discount,2,FALSE))</f>
        <v>-1.0227623040864273</v>
      </c>
      <c r="BF84" s="238">
        <f>_xll.xSPRDOPT((VLOOKUP(G84,NGPREVPRICES,2,FALSE)+HLOOKUP(D84,PREVCURVES,VLOOKUP(G84,MOVE_DOWN2,2,FALSE),FALSE)),VLOOKUP(G84,NGPREVPRICES,2,FALSE),BJ84,VLOOKUP(G84,NGPREVPRICES,4,FALSE),HLOOKUP(D84,VOLS,VLOOKUP(G84,move_down,2,FALSE),FALSE),VLOOKUP(G84,NGPrices,3,FALSE),HLOOKUP(D84,Correllate,VLOOKUP(G84,CorMove,2,FALSE),FALSE),Q84-$BC$3,R84,$BI$5)*H84-BI84</f>
        <v>1210.393304526041</v>
      </c>
      <c r="BG84" s="238">
        <f>_xll.xSPRDOPT((VLOOKUP(G84,NGPREVPRICES,2,FALSE)+HLOOKUP(D84,PREVCURVES,VLOOKUP(G84,MOVE_DOWN2,2,FALSE),FALSE)),VLOOKUP(G84,NGPREVPRICES,2,FALSE),BJ84,VLOOKUP(G84,NGPREVPRICES,4,FALSE),HLOOKUP(D84,PREVVOLS,VLOOKUP(G84,MOVE_DOWN2,2,FALSE),FALSE),VLOOKUP(G84,NGPREVPRICES,3,FALSE),HLOOKUP(D84,Correllate,VLOOKUP(G84,CorMove,2,FALSE),FALSE),Q84-$C$3,R84,$BI$5)*H84-BI84</f>
        <v>-938.77959079411812</v>
      </c>
      <c r="BH84" s="238">
        <f t="shared" ref="BH84:BH94" si="153">SUM(BC84:BG84)</f>
        <v>-2896.8739788584408</v>
      </c>
      <c r="BI84" s="238">
        <f>_xll.xSPRDOPT((VLOOKUP(G84,NGPREVPRICES,2,FALSE)+HLOOKUP(D84,PREVCURVES,VLOOKUP(G84,MOVE_DOWN2,2,FALSE),FALSE)),VLOOKUP(G84,NGPREVPRICES,2,FALSE),BJ84,VLOOKUP(G84,NGPREVPRICES,4,FALSE),HLOOKUP(D84,PREVVOLS,VLOOKUP(G84,MOVE_DOWN2,2,FALSE),FALSE),VLOOKUP(G84,NGPREVPRICES,3,FALSE),HLOOKUP(D84,Correllate,VLOOKUP(G84,CorMove,2,FALSE),FALSE),Q84-$BC$3,R84,$BI$5)*H84</f>
        <v>6046.8853358847982</v>
      </c>
      <c r="BJ84" s="239">
        <f t="shared" ref="BJ84:BJ94" si="154">I84</f>
        <v>-0.3</v>
      </c>
      <c r="BL84" t="str">
        <f t="shared" ref="BL84:BL94" si="155">CONCATENATE(BB84,$BC$6)</f>
        <v>36647Curve Shift/Gamma</v>
      </c>
      <c r="BM84" t="str">
        <f t="shared" si="127"/>
        <v>36647Rho</v>
      </c>
      <c r="BN84" t="str">
        <f t="shared" si="128"/>
        <v>36647Drift</v>
      </c>
      <c r="BO84" t="str">
        <f t="shared" si="129"/>
        <v>36647Vega</v>
      </c>
      <c r="BP84" t="str">
        <f t="shared" si="130"/>
        <v>36647Theta</v>
      </c>
    </row>
    <row r="85" spans="1:68" ht="12" customHeight="1" x14ac:dyDescent="0.25">
      <c r="A85" t="s">
        <v>290</v>
      </c>
      <c r="B85" t="s">
        <v>253</v>
      </c>
      <c r="C85" t="s">
        <v>304</v>
      </c>
      <c r="D85" s="4" t="s">
        <v>9</v>
      </c>
      <c r="E85" t="s">
        <v>20</v>
      </c>
      <c r="F85" t="s">
        <v>21</v>
      </c>
      <c r="G85" s="5">
        <v>36678</v>
      </c>
      <c r="H85" s="130">
        <v>300000</v>
      </c>
      <c r="I85">
        <v>-0.3</v>
      </c>
      <c r="J85" s="53">
        <f t="shared" si="139"/>
        <v>3.1720000000000002</v>
      </c>
      <c r="K85" s="7">
        <f t="shared" si="140"/>
        <v>-0.34</v>
      </c>
      <c r="L85" s="4">
        <f t="shared" si="141"/>
        <v>2.8320000000000003</v>
      </c>
      <c r="M85" s="159">
        <f t="shared" si="142"/>
        <v>6.3039999833066004E-2</v>
      </c>
      <c r="N85" s="4">
        <f t="shared" si="143"/>
        <v>0.38250000000000001</v>
      </c>
      <c r="O85" s="4">
        <f t="shared" si="144"/>
        <v>0.375</v>
      </c>
      <c r="P85" s="9">
        <f t="shared" si="145"/>
        <v>0.96</v>
      </c>
      <c r="Q85" s="5">
        <f t="shared" si="122"/>
        <v>36676</v>
      </c>
      <c r="R85" s="4">
        <f t="shared" si="146"/>
        <v>1</v>
      </c>
      <c r="S85" s="160">
        <f>_xll.xSPRDOPT($L85,$J85,$I85,$M85,$O85,$N85,$P85,$Q85-$C$3,$R85,0)</f>
        <v>3.0218556437148658E-2</v>
      </c>
      <c r="T85" s="161">
        <f>_xll.xSPRDOPT($L85,$J85,$I85,$M85,$O85,$N85,$P85,$Q85-$C$3,$R85,1)*H85</f>
        <v>111599.77436601763</v>
      </c>
      <c r="U85" s="162">
        <f t="shared" si="147"/>
        <v>9065.5669311445981</v>
      </c>
      <c r="V85" s="161">
        <f>_xll.xSPRDOPT($L85,$J85,$I85,$M85,$O85,$N85,$P85,$Q85-$C$3,$R85,2)*H85</f>
        <v>-107690.7765280341</v>
      </c>
      <c r="W85" s="161">
        <f t="shared" si="148"/>
        <v>3908.9978379835375</v>
      </c>
      <c r="X85" s="51" t="str">
        <f t="shared" si="149"/>
        <v>36678IF-NWPL_ROCKY_M</v>
      </c>
      <c r="Y85" s="431">
        <f t="shared" si="150"/>
        <v>30</v>
      </c>
      <c r="AA85" s="128">
        <f t="shared" si="131"/>
        <v>38565</v>
      </c>
      <c r="AB85" s="43">
        <f t="shared" si="135"/>
        <v>0</v>
      </c>
      <c r="AC85" s="43">
        <f t="shared" si="135"/>
        <v>0</v>
      </c>
      <c r="AD85" s="43">
        <f t="shared" si="135"/>
        <v>0</v>
      </c>
      <c r="AE85" s="43">
        <f t="shared" si="135"/>
        <v>0</v>
      </c>
      <c r="AF85" s="44">
        <f t="shared" si="135"/>
        <v>0</v>
      </c>
      <c r="AG85" s="44">
        <f t="shared" si="135"/>
        <v>0</v>
      </c>
      <c r="AH85" s="128">
        <f t="shared" si="132"/>
        <v>38565</v>
      </c>
      <c r="AI85" s="44">
        <f t="shared" si="137"/>
        <v>0</v>
      </c>
      <c r="AJ85" s="51"/>
      <c r="AK85" s="128">
        <f t="shared" si="133"/>
        <v>38565</v>
      </c>
      <c r="AL85" s="43">
        <f t="shared" si="136"/>
        <v>0</v>
      </c>
      <c r="AM85" s="43">
        <f t="shared" si="136"/>
        <v>0</v>
      </c>
      <c r="AN85" s="43">
        <f t="shared" si="136"/>
        <v>0</v>
      </c>
      <c r="AO85" s="43">
        <f t="shared" si="136"/>
        <v>0</v>
      </c>
      <c r="AP85" s="44">
        <f t="shared" si="136"/>
        <v>0</v>
      </c>
      <c r="AQ85" s="44">
        <f t="shared" si="136"/>
        <v>0</v>
      </c>
      <c r="AR85" s="128">
        <f t="shared" si="134"/>
        <v>38565</v>
      </c>
      <c r="AS85" s="44">
        <f t="shared" si="138"/>
        <v>0</v>
      </c>
      <c r="AT85" s="51"/>
      <c r="AU85" s="51"/>
      <c r="AV85" s="51"/>
      <c r="AW85" s="51"/>
      <c r="AX85" s="51"/>
      <c r="AY85" s="51"/>
      <c r="AZ85" s="51"/>
      <c r="BA85" s="51"/>
      <c r="BB85" s="142">
        <f t="shared" si="151"/>
        <v>36678</v>
      </c>
      <c r="BC85" s="238">
        <f>_xll.xSPRDOPT((VLOOKUP(G85,NGPrices,2,FALSE)+HLOOKUP(D85,Prices,VLOOKUP(G85,move_down,2,FALSE),FALSE)),VLOOKUP(G85,NGPrices,2,FALSE),I85,VLOOKUP(G85,NGPREVPRICES,4,FALSE),HLOOKUP(D85,PREVVOLS,VLOOKUP(G85,MOVE_DOWN2,2,FALSE),FALSE),VLOOKUP(G85,NGPREVPRICES,3,FALSE),HLOOKUP(D85,Correllate,VLOOKUP(G85,CorMove,2,FALSE),FALSE),Q85-$BC$3,R85,$BC$5)*H85-BI85</f>
        <v>-2751.810602001291</v>
      </c>
      <c r="BD85" s="238">
        <f>_xll.xSPRDOPT((VLOOKUP(G85,NGPREVPRICES,2,FALSE)+HLOOKUP(D85,PREVCURVES,VLOOKUP(G85,MOVE_DOWN2,2,FALSE),FALSE)),VLOOKUP(G85,NGPREVPRICES,2,FALSE),BJ85,VLOOKUP(G85,NGPrices,4,FALSE),HLOOKUP(D85,PREVVOLS,VLOOKUP(G85,MOVE_DOWN2,2,FALSE),FALSE),VLOOKUP(G85,NGPREVPRICES,3,FALSE),HLOOKUP(D85,Correllate,VLOOKUP(G85,CorMove,2,FALSE),FALSE),Q85-$BC$3,R85,$BI$5)*H85-BI85</f>
        <v>-3.796752036032558E-2</v>
      </c>
      <c r="BE85" s="10">
        <f t="shared" si="152"/>
        <v>-2.0398126295021939</v>
      </c>
      <c r="BF85" s="238">
        <f>_xll.xSPRDOPT((VLOOKUP(G85,NGPREVPRICES,2,FALSE)+HLOOKUP(D85,PREVCURVES,VLOOKUP(G85,MOVE_DOWN2,2,FALSE),FALSE)),VLOOKUP(G85,NGPREVPRICES,2,FALSE),BJ85,VLOOKUP(G85,NGPREVPRICES,4,FALSE),HLOOKUP(D85,VOLS,VLOOKUP(G85,move_down,2,FALSE),FALSE),VLOOKUP(G85,NGPrices,3,FALSE),HLOOKUP(D85,Correllate,VLOOKUP(G85,CorMove,2,FALSE),FALSE),Q85-$BC$3,R85,$BI$5)*H85-BI85</f>
        <v>367.93107900070572</v>
      </c>
      <c r="BG85" s="238">
        <f>_xll.xSPRDOPT((VLOOKUP(G85,NGPREVPRICES,2,FALSE)+HLOOKUP(D85,PREVCURVES,VLOOKUP(G85,MOVE_DOWN2,2,FALSE),FALSE)),VLOOKUP(G85,NGPREVPRICES,2,FALSE),BJ85,VLOOKUP(G85,NGPREVPRICES,4,FALSE),HLOOKUP(D85,PREVVOLS,VLOOKUP(G85,MOVE_DOWN2,2,FALSE),FALSE),VLOOKUP(G85,NGPREVPRICES,3,FALSE),HLOOKUP(D85,Correllate,VLOOKUP(G85,CorMove,2,FALSE),FALSE),Q85-$C$3,R85,$BI$5)*H85-BI85</f>
        <v>-455.80260160131184</v>
      </c>
      <c r="BH85" s="238">
        <f t="shared" si="153"/>
        <v>-2841.7599047517597</v>
      </c>
      <c r="BI85" s="238">
        <f>_xll.xSPRDOPT((VLOOKUP(G85,NGPREVPRICES,2,FALSE)+HLOOKUP(D85,PREVCURVES,VLOOKUP(G85,MOVE_DOWN2,2,FALSE),FALSE)),VLOOKUP(G85,NGPREVPRICES,2,FALSE),BJ85,VLOOKUP(G85,NGPREVPRICES,4,FALSE),HLOOKUP(D85,PREVVOLS,VLOOKUP(G85,MOVE_DOWN2,2,FALSE),FALSE),VLOOKUP(G85,NGPREVPRICES,3,FALSE),HLOOKUP(D85,Correllate,VLOOKUP(G85,CorMove,2,FALSE),FALSE),Q85-$BC$3,R85,$BI$5)*H85</f>
        <v>11916.141348344088</v>
      </c>
      <c r="BJ85" s="239">
        <f t="shared" si="154"/>
        <v>-0.3</v>
      </c>
      <c r="BL85" t="str">
        <f t="shared" si="155"/>
        <v>36678Curve Shift/Gamma</v>
      </c>
      <c r="BM85" t="str">
        <f t="shared" si="127"/>
        <v>36678Rho</v>
      </c>
      <c r="BN85" t="str">
        <f t="shared" si="128"/>
        <v>36678Drift</v>
      </c>
      <c r="BO85" t="str">
        <f t="shared" si="129"/>
        <v>36678Vega</v>
      </c>
      <c r="BP85" t="str">
        <f t="shared" si="130"/>
        <v>36678Theta</v>
      </c>
    </row>
    <row r="86" spans="1:68" ht="12" customHeight="1" x14ac:dyDescent="0.25">
      <c r="A86" t="s">
        <v>290</v>
      </c>
      <c r="B86" t="s">
        <v>253</v>
      </c>
      <c r="C86" t="s">
        <v>304</v>
      </c>
      <c r="D86" s="4" t="s">
        <v>9</v>
      </c>
      <c r="E86" t="s">
        <v>20</v>
      </c>
      <c r="F86" t="s">
        <v>21</v>
      </c>
      <c r="G86" s="5">
        <v>36708</v>
      </c>
      <c r="H86" s="130">
        <v>310000</v>
      </c>
      <c r="I86">
        <v>-0.3</v>
      </c>
      <c r="J86" s="53">
        <f t="shared" si="139"/>
        <v>3.181</v>
      </c>
      <c r="K86" s="7">
        <f t="shared" si="140"/>
        <v>-0.32250000000000001</v>
      </c>
      <c r="L86" s="4">
        <f t="shared" si="141"/>
        <v>2.8585000000000003</v>
      </c>
      <c r="M86" s="159">
        <f t="shared" si="142"/>
        <v>6.3695649345076003E-2</v>
      </c>
      <c r="N86" s="4">
        <f t="shared" si="143"/>
        <v>0.39500000000000002</v>
      </c>
      <c r="O86" s="4">
        <f t="shared" si="144"/>
        <v>0.38700000000000001</v>
      </c>
      <c r="P86" s="9">
        <f t="shared" si="145"/>
        <v>0.96</v>
      </c>
      <c r="Q86" s="5">
        <f t="shared" si="122"/>
        <v>36706</v>
      </c>
      <c r="R86" s="4">
        <f t="shared" si="146"/>
        <v>1</v>
      </c>
      <c r="S86" s="160">
        <f>_xll.xSPRDOPT($L86,$J86,$I86,$M86,$O86,$N86,$P86,$Q86-$C$3,$R86,0)</f>
        <v>5.3360807966381263E-2</v>
      </c>
      <c r="T86" s="161">
        <f>_xll.xSPRDOPT($L86,$J86,$I86,$M86,$O86,$N86,$P86,$Q86-$C$3,$R86,1)*H86</f>
        <v>138528.75446100248</v>
      </c>
      <c r="U86" s="162">
        <f t="shared" si="147"/>
        <v>16541.850469578192</v>
      </c>
      <c r="V86" s="161">
        <f>_xll.xSPRDOPT($L86,$J86,$I86,$M86,$O86,$N86,$P86,$Q86-$C$3,$R86,2)*H86</f>
        <v>-132857.96227047587</v>
      </c>
      <c r="W86" s="161">
        <f t="shared" si="148"/>
        <v>5670.7921905266121</v>
      </c>
      <c r="X86" s="51" t="str">
        <f t="shared" si="149"/>
        <v>36708IF-NWPL_ROCKY_M</v>
      </c>
      <c r="Y86" s="431">
        <f t="shared" si="150"/>
        <v>31</v>
      </c>
      <c r="Z86" s="51"/>
      <c r="AA86" s="128">
        <f t="shared" si="131"/>
        <v>38596</v>
      </c>
      <c r="AB86" s="43">
        <f t="shared" si="135"/>
        <v>0</v>
      </c>
      <c r="AC86" s="43">
        <f t="shared" si="135"/>
        <v>0</v>
      </c>
      <c r="AD86" s="43">
        <f t="shared" si="135"/>
        <v>0</v>
      </c>
      <c r="AE86" s="43">
        <f t="shared" si="135"/>
        <v>0</v>
      </c>
      <c r="AF86" s="44">
        <f t="shared" si="135"/>
        <v>0</v>
      </c>
      <c r="AG86" s="44">
        <f t="shared" si="135"/>
        <v>0</v>
      </c>
      <c r="AH86" s="128">
        <f t="shared" si="132"/>
        <v>38596</v>
      </c>
      <c r="AI86" s="44">
        <f t="shared" si="137"/>
        <v>0</v>
      </c>
      <c r="AJ86" s="51"/>
      <c r="AK86" s="128">
        <f t="shared" si="133"/>
        <v>38596</v>
      </c>
      <c r="AL86" s="43">
        <f t="shared" si="136"/>
        <v>0</v>
      </c>
      <c r="AM86" s="43">
        <f t="shared" si="136"/>
        <v>0</v>
      </c>
      <c r="AN86" s="43">
        <f t="shared" si="136"/>
        <v>0</v>
      </c>
      <c r="AO86" s="43">
        <f t="shared" si="136"/>
        <v>0</v>
      </c>
      <c r="AP86" s="44">
        <f t="shared" si="136"/>
        <v>0</v>
      </c>
      <c r="AQ86" s="44">
        <f t="shared" si="136"/>
        <v>0</v>
      </c>
      <c r="AR86" s="128">
        <f t="shared" si="134"/>
        <v>38596</v>
      </c>
      <c r="AS86" s="44">
        <f t="shared" si="138"/>
        <v>0</v>
      </c>
      <c r="AT86" s="51"/>
      <c r="AU86" s="51"/>
      <c r="AV86" s="51"/>
      <c r="AW86" s="51"/>
      <c r="AX86" s="51"/>
      <c r="AY86" s="51"/>
      <c r="AZ86" s="51"/>
      <c r="BA86" s="51"/>
      <c r="BB86" s="142">
        <f t="shared" si="151"/>
        <v>36708</v>
      </c>
      <c r="BC86" s="238">
        <f>_xll.xSPRDOPT((VLOOKUP(G86,NGPrices,2,FALSE)+HLOOKUP(D86,Prices,VLOOKUP(G86,move_down,2,FALSE),FALSE)),VLOOKUP(G86,NGPrices,2,FALSE),I86,VLOOKUP(G86,NGPREVPRICES,4,FALSE),HLOOKUP(D86,PREVVOLS,VLOOKUP(G86,MOVE_DOWN2,2,FALSE),FALSE),VLOOKUP(G86,NGPREVPRICES,3,FALSE),HLOOKUP(D86,Correllate,VLOOKUP(G86,CorMove,2,FALSE),FALSE),Q86-$BC$3,R86,$BC$5)*H86-BI86</f>
        <v>-1711.2453453993257</v>
      </c>
      <c r="BD86" s="238">
        <f>_xll.xSPRDOPT((VLOOKUP(G86,NGPREVPRICES,2,FALSE)+HLOOKUP(D86,PREVCURVES,VLOOKUP(G86,MOVE_DOWN2,2,FALSE),FALSE)),VLOOKUP(G86,NGPREVPRICES,2,FALSE),BJ86,VLOOKUP(G86,NGPrices,4,FALSE),HLOOKUP(D86,PREVVOLS,VLOOKUP(G86,MOVE_DOWN2,2,FALSE),FALSE),VLOOKUP(G86,NGPREVPRICES,3,FALSE),HLOOKUP(D86,Correllate,VLOOKUP(G86,CorMove,2,FALSE),FALSE),Q86-$BC$3,R86,$BI$5)*H86-BI86</f>
        <v>-0.1728845184079546</v>
      </c>
      <c r="BE86" s="10">
        <f t="shared" si="152"/>
        <v>-3.1533332007566059</v>
      </c>
      <c r="BF86" s="238">
        <f>_xll.xSPRDOPT((VLOOKUP(G86,NGPREVPRICES,2,FALSE)+HLOOKUP(D86,PREVCURVES,VLOOKUP(G86,MOVE_DOWN2,2,FALSE),FALSE)),VLOOKUP(G86,NGPREVPRICES,2,FALSE),BJ86,VLOOKUP(G86,NGPREVPRICES,4,FALSE),HLOOKUP(D86,VOLS,VLOOKUP(G86,move_down,2,FALSE),FALSE),VLOOKUP(G86,NGPrices,3,FALSE),HLOOKUP(D86,Correllate,VLOOKUP(G86,CorMove,2,FALSE),FALSE),Q86-$BC$3,R86,$BI$5)*H86-BI86</f>
        <v>492.02045983546122</v>
      </c>
      <c r="BG86" s="238">
        <f>_xll.xSPRDOPT((VLOOKUP(G86,NGPREVPRICES,2,FALSE)+HLOOKUP(D86,PREVCURVES,VLOOKUP(G86,MOVE_DOWN2,2,FALSE),FALSE)),VLOOKUP(G86,NGPREVPRICES,2,FALSE),BJ86,VLOOKUP(G86,NGPREVPRICES,4,FALSE),HLOOKUP(D86,PREVVOLS,VLOOKUP(G86,MOVE_DOWN2,2,FALSE),FALSE),VLOOKUP(G86,NGPREVPRICES,3,FALSE),HLOOKUP(D86,Correllate,VLOOKUP(G86,CorMove,2,FALSE),FALSE),Q86-$C$3,R86,$BI$5)*H86-BI86</f>
        <v>-374.7251775866971</v>
      </c>
      <c r="BH86" s="238">
        <f t="shared" si="153"/>
        <v>-1597.2762808697262</v>
      </c>
      <c r="BI86" s="238">
        <f>_xll.xSPRDOPT((VLOOKUP(G86,NGPREVPRICES,2,FALSE)+HLOOKUP(D86,PREVCURVES,VLOOKUP(G86,MOVE_DOWN2,2,FALSE),FALSE)),VLOOKUP(G86,NGPREVPRICES,2,FALSE),BJ86,VLOOKUP(G86,NGPREVPRICES,4,FALSE),HLOOKUP(D86,PREVVOLS,VLOOKUP(G86,MOVE_DOWN2,2,FALSE),FALSE),VLOOKUP(G86,NGPREVPRICES,3,FALSE),HLOOKUP(D86,Correllate,VLOOKUP(G86,CorMove,2,FALSE),FALSE),Q86-$BC$3,R86,$BI$5)*H86</f>
        <v>18145.06276022884</v>
      </c>
      <c r="BJ86" s="239">
        <f t="shared" si="154"/>
        <v>-0.3</v>
      </c>
      <c r="BL86" t="str">
        <f t="shared" si="155"/>
        <v>36708Curve Shift/Gamma</v>
      </c>
      <c r="BM86" t="str">
        <f t="shared" si="127"/>
        <v>36708Rho</v>
      </c>
      <c r="BN86" t="str">
        <f t="shared" si="128"/>
        <v>36708Drift</v>
      </c>
      <c r="BO86" t="str">
        <f t="shared" si="129"/>
        <v>36708Vega</v>
      </c>
      <c r="BP86" t="str">
        <f t="shared" si="130"/>
        <v>36708Theta</v>
      </c>
    </row>
    <row r="87" spans="1:68" ht="12" customHeight="1" x14ac:dyDescent="0.25">
      <c r="A87" t="s">
        <v>290</v>
      </c>
      <c r="B87" t="s">
        <v>253</v>
      </c>
      <c r="C87" t="s">
        <v>304</v>
      </c>
      <c r="D87" s="4" t="s">
        <v>9</v>
      </c>
      <c r="E87" t="s">
        <v>20</v>
      </c>
      <c r="F87" t="s">
        <v>21</v>
      </c>
      <c r="G87" s="5">
        <v>36739</v>
      </c>
      <c r="H87" s="130">
        <v>310000</v>
      </c>
      <c r="I87">
        <v>-0.3</v>
      </c>
      <c r="J87" s="53">
        <f t="shared" si="139"/>
        <v>3.1829999999999998</v>
      </c>
      <c r="K87" s="7">
        <f t="shared" si="140"/>
        <v>-0.32250000000000001</v>
      </c>
      <c r="L87" s="4">
        <f t="shared" si="141"/>
        <v>2.8605</v>
      </c>
      <c r="M87" s="159">
        <f t="shared" si="142"/>
        <v>6.4500399973534003E-2</v>
      </c>
      <c r="N87" s="4">
        <f t="shared" si="143"/>
        <v>0.41249999999999998</v>
      </c>
      <c r="O87" s="4">
        <f t="shared" si="144"/>
        <v>0.40400000000000003</v>
      </c>
      <c r="P87" s="9">
        <f t="shared" si="145"/>
        <v>0.96</v>
      </c>
      <c r="Q87" s="5">
        <f t="shared" si="122"/>
        <v>36735</v>
      </c>
      <c r="R87" s="4">
        <f t="shared" si="146"/>
        <v>1</v>
      </c>
      <c r="S87" s="160">
        <f>_xll.xSPRDOPT($L87,$J87,$I87,$M87,$O87,$N87,$P87,$Q87-$C$3,$R87,0)</f>
        <v>6.7936736055053848E-2</v>
      </c>
      <c r="T87" s="161">
        <f>_xll.xSPRDOPT($L87,$J87,$I87,$M87,$O87,$N87,$P87,$Q87-$C$3,$R87,1)*H87</f>
        <v>141549.1311234516</v>
      </c>
      <c r="U87" s="162">
        <f t="shared" si="147"/>
        <v>21060.388177066692</v>
      </c>
      <c r="V87" s="161">
        <f>_xll.xSPRDOPT($L87,$J87,$I87,$M87,$O87,$N87,$P87,$Q87-$C$3,$R87,2)*H87</f>
        <v>-134562.8471408069</v>
      </c>
      <c r="W87" s="161">
        <f t="shared" si="148"/>
        <v>6986.2839826447016</v>
      </c>
      <c r="X87" s="51" t="str">
        <f t="shared" si="149"/>
        <v>36739IF-NWPL_ROCKY_M</v>
      </c>
      <c r="Y87" s="431">
        <f t="shared" si="150"/>
        <v>31</v>
      </c>
      <c r="Z87" s="51"/>
      <c r="AA87" s="128">
        <f t="shared" si="131"/>
        <v>38626</v>
      </c>
      <c r="AB87" s="43">
        <f t="shared" ref="AB87:AG96" si="156">SUMIF($X:$X,CONCATENATE($AA87,AB$6),$T:$T)/10000</f>
        <v>0</v>
      </c>
      <c r="AC87" s="43">
        <f t="shared" si="156"/>
        <v>0</v>
      </c>
      <c r="AD87" s="43">
        <f t="shared" si="156"/>
        <v>0</v>
      </c>
      <c r="AE87" s="43">
        <f t="shared" si="156"/>
        <v>0</v>
      </c>
      <c r="AF87" s="44">
        <f t="shared" si="156"/>
        <v>0</v>
      </c>
      <c r="AG87" s="44">
        <f t="shared" si="156"/>
        <v>0</v>
      </c>
      <c r="AH87" s="128">
        <f t="shared" si="132"/>
        <v>38626</v>
      </c>
      <c r="AI87" s="44">
        <f t="shared" si="137"/>
        <v>0</v>
      </c>
      <c r="AJ87" s="51"/>
      <c r="AK87" s="128">
        <f t="shared" si="133"/>
        <v>38626</v>
      </c>
      <c r="AL87" s="43">
        <f t="shared" ref="AL87:AQ96" si="157">SUMIF($X:$X,CONCATENATE($AA87,AL$6),$W:$W)</f>
        <v>0</v>
      </c>
      <c r="AM87" s="43">
        <f t="shared" si="157"/>
        <v>0</v>
      </c>
      <c r="AN87" s="43">
        <f t="shared" si="157"/>
        <v>0</v>
      </c>
      <c r="AO87" s="43">
        <f t="shared" si="157"/>
        <v>0</v>
      </c>
      <c r="AP87" s="44">
        <f t="shared" si="157"/>
        <v>0</v>
      </c>
      <c r="AQ87" s="44">
        <f t="shared" si="157"/>
        <v>0</v>
      </c>
      <c r="AR87" s="128">
        <f t="shared" si="134"/>
        <v>38626</v>
      </c>
      <c r="AS87" s="44">
        <f t="shared" si="138"/>
        <v>0</v>
      </c>
      <c r="AT87" s="51"/>
      <c r="AU87" s="51"/>
      <c r="AV87" s="51"/>
      <c r="AW87" s="51"/>
      <c r="AX87" s="51"/>
      <c r="AY87" s="51"/>
      <c r="AZ87" s="51"/>
      <c r="BA87" s="51"/>
      <c r="BB87" s="142">
        <f t="shared" si="151"/>
        <v>36739</v>
      </c>
      <c r="BC87" s="238">
        <f>_xll.xSPRDOPT((VLOOKUP(G87,NGPrices,2,FALSE)+HLOOKUP(D87,Prices,VLOOKUP(G87,move_down,2,FALSE),FALSE)),VLOOKUP(G87,NGPrices,2,FALSE),I87,VLOOKUP(G87,NGPREVPRICES,4,FALSE),HLOOKUP(D87,PREVVOLS,VLOOKUP(G87,MOVE_DOWN2,2,FALSE),FALSE),VLOOKUP(G87,NGPREVPRICES,3,FALSE),HLOOKUP(D87,Correllate,VLOOKUP(G87,CorMove,2,FALSE),FALSE),Q87-$BC$3,R87,$BC$5)*H87-BI87</f>
        <v>-1646.3743442193663</v>
      </c>
      <c r="BD87" s="238">
        <f>_xll.xSPRDOPT((VLOOKUP(G87,NGPREVPRICES,2,FALSE)+HLOOKUP(D87,PREVCURVES,VLOOKUP(G87,MOVE_DOWN2,2,FALSE),FALSE)),VLOOKUP(G87,NGPREVPRICES,2,FALSE),BJ87,VLOOKUP(G87,NGPrices,4,FALSE),HLOOKUP(D87,PREVVOLS,VLOOKUP(G87,MOVE_DOWN2,2,FALSE),FALSE),VLOOKUP(G87,NGPREVPRICES,3,FALSE),HLOOKUP(D87,Correllate,VLOOKUP(G87,CorMove,2,FALSE),FALSE),Q87-$BC$3,R87,$BI$5)*H87-BI87</f>
        <v>-0.16828015480132308</v>
      </c>
      <c r="BE87" s="10">
        <f t="shared" si="152"/>
        <v>-3.9756105651904363</v>
      </c>
      <c r="BF87" s="238">
        <f>_xll.xSPRDOPT((VLOOKUP(G87,NGPREVPRICES,2,FALSE)+HLOOKUP(D87,PREVCURVES,VLOOKUP(G87,MOVE_DOWN2,2,FALSE),FALSE)),VLOOKUP(G87,NGPREVPRICES,2,FALSE),BJ87,VLOOKUP(G87,NGPREVPRICES,4,FALSE),HLOOKUP(D87,VOLS,VLOOKUP(G87,move_down,2,FALSE),FALSE),VLOOKUP(G87,NGPrices,3,FALSE),HLOOKUP(D87,Correllate,VLOOKUP(G87,CorMove,2,FALSE),FALSE),Q87-$BC$3,R87,$BI$5)*H87-BI87</f>
        <v>576.34786033655473</v>
      </c>
      <c r="BG87" s="238">
        <f>_xll.xSPRDOPT((VLOOKUP(G87,NGPREVPRICES,2,FALSE)+HLOOKUP(D87,PREVCURVES,VLOOKUP(G87,MOVE_DOWN2,2,FALSE),FALSE)),VLOOKUP(G87,NGPREVPRICES,2,FALSE),BJ87,VLOOKUP(G87,NGPREVPRICES,4,FALSE),HLOOKUP(D87,PREVVOLS,VLOOKUP(G87,MOVE_DOWN2,2,FALSE),FALSE),VLOOKUP(G87,NGPREVPRICES,3,FALSE),HLOOKUP(D87,Correllate,VLOOKUP(G87,CorMove,2,FALSE),FALSE),Q87-$C$3,R87,$BI$5)*H87-BI87</f>
        <v>-327.80473929020081</v>
      </c>
      <c r="BH87" s="238">
        <f t="shared" si="153"/>
        <v>-1401.9751138930042</v>
      </c>
      <c r="BI87" s="238">
        <f>_xll.xSPRDOPT((VLOOKUP(G87,NGPREVPRICES,2,FALSE)+HLOOKUP(D87,PREVCURVES,VLOOKUP(G87,MOVE_DOWN2,2,FALSE),FALSE)),VLOOKUP(G87,NGPREVPRICES,2,FALSE),BJ87,VLOOKUP(G87,NGPREVPRICES,4,FALSE),HLOOKUP(D87,PREVVOLS,VLOOKUP(G87,MOVE_DOWN2,2,FALSE),FALSE),VLOOKUP(G87,NGPREVPRICES,3,FALSE),HLOOKUP(D87,Correllate,VLOOKUP(G87,CorMove,2,FALSE),FALSE),Q87-$BC$3,R87,$BI$5)*H87</f>
        <v>22463.603821101588</v>
      </c>
      <c r="BJ87" s="239">
        <f t="shared" si="154"/>
        <v>-0.3</v>
      </c>
      <c r="BL87" t="str">
        <f t="shared" si="155"/>
        <v>36739Curve Shift/Gamma</v>
      </c>
      <c r="BM87" t="str">
        <f t="shared" si="127"/>
        <v>36739Rho</v>
      </c>
      <c r="BN87" t="str">
        <f t="shared" si="128"/>
        <v>36739Drift</v>
      </c>
      <c r="BO87" t="str">
        <f t="shared" si="129"/>
        <v>36739Vega</v>
      </c>
      <c r="BP87" t="str">
        <f t="shared" si="130"/>
        <v>36739Theta</v>
      </c>
    </row>
    <row r="88" spans="1:68" ht="12" customHeight="1" x14ac:dyDescent="0.25">
      <c r="A88" t="s">
        <v>290</v>
      </c>
      <c r="B88" t="s">
        <v>253</v>
      </c>
      <c r="C88" t="s">
        <v>304</v>
      </c>
      <c r="D88" s="4" t="s">
        <v>9</v>
      </c>
      <c r="E88" t="s">
        <v>20</v>
      </c>
      <c r="F88" t="s">
        <v>21</v>
      </c>
      <c r="G88" s="5">
        <v>36770</v>
      </c>
      <c r="H88" s="130">
        <v>300000</v>
      </c>
      <c r="I88">
        <v>-0.3</v>
      </c>
      <c r="J88" s="53">
        <f t="shared" si="139"/>
        <v>3.173</v>
      </c>
      <c r="K88" s="7">
        <f t="shared" si="140"/>
        <v>-0.32250000000000001</v>
      </c>
      <c r="L88" s="4">
        <f t="shared" si="141"/>
        <v>2.8505000000000003</v>
      </c>
      <c r="M88" s="159">
        <f t="shared" si="142"/>
        <v>6.5221012015626995E-2</v>
      </c>
      <c r="N88" s="4">
        <f t="shared" si="143"/>
        <v>0.42</v>
      </c>
      <c r="O88" s="4">
        <f t="shared" si="144"/>
        <v>0.41199999999999998</v>
      </c>
      <c r="P88" s="9">
        <f t="shared" si="145"/>
        <v>0.96</v>
      </c>
      <c r="Q88" s="5">
        <f t="shared" si="122"/>
        <v>36768</v>
      </c>
      <c r="R88" s="4">
        <f t="shared" si="146"/>
        <v>1</v>
      </c>
      <c r="S88" s="160">
        <f>_xll.xSPRDOPT($L88,$J88,$I88,$M88,$O88,$N88,$P88,$Q88-$C$3,$R88,0)</f>
        <v>8.0467474625074864E-2</v>
      </c>
      <c r="T88" s="161">
        <f>_xll.xSPRDOPT($L88,$J88,$I88,$M88,$O88,$N88,$P88,$Q88-$C$3,$R88,1)*H88</f>
        <v>138508.02025347718</v>
      </c>
      <c r="U88" s="162">
        <f t="shared" si="147"/>
        <v>24140.242387522459</v>
      </c>
      <c r="V88" s="161">
        <f>_xll.xSPRDOPT($L88,$J88,$I88,$M88,$O88,$N88,$P88,$Q88-$C$3,$R88,2)*H88</f>
        <v>-130625.77386863893</v>
      </c>
      <c r="W88" s="161">
        <f t="shared" si="148"/>
        <v>7882.2463848382467</v>
      </c>
      <c r="X88" s="51" t="str">
        <f t="shared" si="149"/>
        <v>36770IF-NWPL_ROCKY_M</v>
      </c>
      <c r="Y88" s="431">
        <f t="shared" si="150"/>
        <v>30</v>
      </c>
      <c r="Z88" s="51"/>
      <c r="AA88" s="128">
        <f t="shared" si="131"/>
        <v>38657</v>
      </c>
      <c r="AB88" s="43">
        <f t="shared" si="156"/>
        <v>0</v>
      </c>
      <c r="AC88" s="43">
        <f t="shared" si="156"/>
        <v>0</v>
      </c>
      <c r="AD88" s="43">
        <f t="shared" si="156"/>
        <v>0</v>
      </c>
      <c r="AE88" s="43">
        <f t="shared" si="156"/>
        <v>0</v>
      </c>
      <c r="AF88" s="44">
        <f t="shared" si="156"/>
        <v>0</v>
      </c>
      <c r="AG88" s="44">
        <f t="shared" si="156"/>
        <v>0</v>
      </c>
      <c r="AH88" s="128">
        <f t="shared" si="132"/>
        <v>38657</v>
      </c>
      <c r="AI88" s="44">
        <f t="shared" si="137"/>
        <v>0</v>
      </c>
      <c r="AJ88" s="51"/>
      <c r="AK88" s="128">
        <f t="shared" si="133"/>
        <v>38657</v>
      </c>
      <c r="AL88" s="43">
        <f t="shared" si="157"/>
        <v>0</v>
      </c>
      <c r="AM88" s="43">
        <f t="shared" si="157"/>
        <v>0</v>
      </c>
      <c r="AN88" s="43">
        <f t="shared" si="157"/>
        <v>0</v>
      </c>
      <c r="AO88" s="43">
        <f t="shared" si="157"/>
        <v>0</v>
      </c>
      <c r="AP88" s="44">
        <f t="shared" si="157"/>
        <v>0</v>
      </c>
      <c r="AQ88" s="44">
        <f t="shared" si="157"/>
        <v>0</v>
      </c>
      <c r="AR88" s="128">
        <f t="shared" si="134"/>
        <v>38657</v>
      </c>
      <c r="AS88" s="44">
        <f t="shared" si="138"/>
        <v>0</v>
      </c>
      <c r="AT88" s="51"/>
      <c r="AU88" s="51"/>
      <c r="AV88" s="51"/>
      <c r="AW88" s="51"/>
      <c r="AX88" s="51"/>
      <c r="AY88" s="51"/>
      <c r="AZ88" s="51"/>
      <c r="BA88" s="51"/>
      <c r="BB88" s="142">
        <f t="shared" si="151"/>
        <v>36770</v>
      </c>
      <c r="BC88" s="238">
        <f>_xll.xSPRDOPT((VLOOKUP(G88,NGPrices,2,FALSE)+HLOOKUP(D88,Prices,VLOOKUP(G88,move_down,2,FALSE),FALSE)),VLOOKUP(G88,NGPrices,2,FALSE),I88,VLOOKUP(G88,NGPREVPRICES,4,FALSE),HLOOKUP(D88,PREVVOLS,VLOOKUP(G88,MOVE_DOWN2,2,FALSE),FALSE),VLOOKUP(G88,NGPREVPRICES,3,FALSE),HLOOKUP(D88,Correllate,VLOOKUP(G88,CorMove,2,FALSE),FALSE),Q88-$BC$3,R88,$BC$5)*H88-BI88</f>
        <v>-1529.5757280279431</v>
      </c>
      <c r="BD88" s="238">
        <f>_xll.xSPRDOPT((VLOOKUP(G88,NGPREVPRICES,2,FALSE)+HLOOKUP(D88,PREVCURVES,VLOOKUP(G88,MOVE_DOWN2,2,FALSE),FALSE)),VLOOKUP(G88,NGPREVPRICES,2,FALSE),BJ88,VLOOKUP(G88,NGPrices,4,FALSE),HLOOKUP(D88,PREVVOLS,VLOOKUP(G88,MOVE_DOWN2,2,FALSE),FALSE),VLOOKUP(G88,NGPREVPRICES,3,FALSE),HLOOKUP(D88,Correllate,VLOOKUP(G88,CorMove,2,FALSE),FALSE),Q88-$BC$3,R88,$BI$5)*H88-BI88</f>
        <v>4.2289417651772965E-2</v>
      </c>
      <c r="BE88" s="10">
        <f t="shared" si="152"/>
        <v>-4.5568299163169286</v>
      </c>
      <c r="BF88" s="238">
        <f>_xll.xSPRDOPT((VLOOKUP(G88,NGPREVPRICES,2,FALSE)+HLOOKUP(D88,PREVCURVES,VLOOKUP(G88,MOVE_DOWN2,2,FALSE),FALSE)),VLOOKUP(G88,NGPREVPRICES,2,FALSE),BJ88,VLOOKUP(G88,NGPREVPRICES,4,FALSE),HLOOKUP(D88,VOLS,VLOOKUP(G88,move_down,2,FALSE),FALSE),VLOOKUP(G88,NGPrices,3,FALSE),HLOOKUP(D88,Correllate,VLOOKUP(G88,CorMove,2,FALSE),FALSE),Q88-$BC$3,R88,$BI$5)*H88-BI88</f>
        <v>634.59931459717336</v>
      </c>
      <c r="BG88" s="238">
        <f>_xll.xSPRDOPT((VLOOKUP(G88,NGPREVPRICES,2,FALSE)+HLOOKUP(D88,PREVCURVES,VLOOKUP(G88,MOVE_DOWN2,2,FALSE),FALSE)),VLOOKUP(G88,NGPREVPRICES,2,FALSE),BJ88,VLOOKUP(G88,NGPREVPRICES,4,FALSE),HLOOKUP(D88,PREVVOLS,VLOOKUP(G88,MOVE_DOWN2,2,FALSE),FALSE),VLOOKUP(G88,NGPREVPRICES,3,FALSE),HLOOKUP(D88,Correllate,VLOOKUP(G88,CorMove,2,FALSE),FALSE),Q88-$C$3,R88,$BI$5)*H88-BI88</f>
        <v>-275.36256833856896</v>
      </c>
      <c r="BH88" s="238">
        <f t="shared" si="153"/>
        <v>-1174.8535222680039</v>
      </c>
      <c r="BI88" s="238">
        <f>_xll.xSPRDOPT((VLOOKUP(G88,NGPREVPRICES,2,FALSE)+HLOOKUP(D88,PREVCURVES,VLOOKUP(G88,MOVE_DOWN2,2,FALSE),FALSE)),VLOOKUP(G88,NGPREVPRICES,2,FALSE),BJ88,VLOOKUP(G88,NGPREVPRICES,4,FALSE),HLOOKUP(D88,PREVVOLS,VLOOKUP(G88,MOVE_DOWN2,2,FALSE),FALSE),VLOOKUP(G88,NGPREVPRICES,3,FALSE),HLOOKUP(D88,Correllate,VLOOKUP(G88,CorMove,2,FALSE),FALSE),Q88-$BC$3,R88,$BI$5)*H88</f>
        <v>25312.194060610953</v>
      </c>
      <c r="BJ88" s="239">
        <f t="shared" si="154"/>
        <v>-0.3</v>
      </c>
      <c r="BL88" t="str">
        <f t="shared" si="155"/>
        <v>36770Curve Shift/Gamma</v>
      </c>
      <c r="BM88" t="str">
        <f t="shared" si="127"/>
        <v>36770Rho</v>
      </c>
      <c r="BN88" t="str">
        <f t="shared" si="128"/>
        <v>36770Drift</v>
      </c>
      <c r="BO88" t="str">
        <f t="shared" si="129"/>
        <v>36770Vega</v>
      </c>
      <c r="BP88" t="str">
        <f t="shared" si="130"/>
        <v>36770Theta</v>
      </c>
    </row>
    <row r="89" spans="1:68" ht="12" customHeight="1" x14ac:dyDescent="0.25">
      <c r="A89" t="s">
        <v>290</v>
      </c>
      <c r="B89" t="s">
        <v>253</v>
      </c>
      <c r="C89" t="s">
        <v>304</v>
      </c>
      <c r="D89" s="4" t="s">
        <v>9</v>
      </c>
      <c r="E89" t="s">
        <v>20</v>
      </c>
      <c r="F89" t="s">
        <v>21</v>
      </c>
      <c r="G89" s="5">
        <v>36800</v>
      </c>
      <c r="H89" s="130">
        <v>310000</v>
      </c>
      <c r="I89">
        <v>-0.3</v>
      </c>
      <c r="J89" s="53">
        <f t="shared" si="139"/>
        <v>3.18</v>
      </c>
      <c r="K89" s="7">
        <f t="shared" si="140"/>
        <v>-0.29749999999999999</v>
      </c>
      <c r="L89" s="4">
        <f t="shared" si="141"/>
        <v>2.8825000000000003</v>
      </c>
      <c r="M89" s="159">
        <f t="shared" si="142"/>
        <v>6.5817989695161006E-2</v>
      </c>
      <c r="N89" s="4">
        <f t="shared" si="143"/>
        <v>0.42249999999999999</v>
      </c>
      <c r="O89" s="4">
        <f t="shared" si="144"/>
        <v>0.41399999999999998</v>
      </c>
      <c r="P89" s="9">
        <f t="shared" si="145"/>
        <v>0.96</v>
      </c>
      <c r="Q89" s="5">
        <f t="shared" si="122"/>
        <v>36797</v>
      </c>
      <c r="R89" s="4">
        <f t="shared" si="146"/>
        <v>1</v>
      </c>
      <c r="S89" s="160">
        <f>_xll.xSPRDOPT($L89,$J89,$I89,$M89,$O89,$N89,$P89,$Q89-$C$3,$R89,0)</f>
        <v>0.10220851732105973</v>
      </c>
      <c r="T89" s="161">
        <f>_xll.xSPRDOPT($L89,$J89,$I89,$M89,$O89,$N89,$P89,$Q89-$C$3,$R89,1)*H89</f>
        <v>155437.9190480058</v>
      </c>
      <c r="U89" s="162">
        <f t="shared" si="147"/>
        <v>31684.640369528519</v>
      </c>
      <c r="V89" s="161">
        <f>_xll.xSPRDOPT($L89,$J89,$I89,$M89,$O89,$N89,$P89,$Q89-$C$3,$R89,2)*H89</f>
        <v>-146395.54087874157</v>
      </c>
      <c r="W89" s="161">
        <f t="shared" si="148"/>
        <v>9042.3781692642369</v>
      </c>
      <c r="X89" s="51" t="str">
        <f t="shared" si="149"/>
        <v>36800IF-NWPL_ROCKY_M</v>
      </c>
      <c r="Y89" s="431">
        <f t="shared" si="150"/>
        <v>31</v>
      </c>
      <c r="AA89" s="128">
        <f t="shared" si="131"/>
        <v>38687</v>
      </c>
      <c r="AB89" s="43">
        <f t="shared" si="156"/>
        <v>0</v>
      </c>
      <c r="AC89" s="43">
        <f t="shared" si="156"/>
        <v>0</v>
      </c>
      <c r="AD89" s="43">
        <f t="shared" si="156"/>
        <v>0</v>
      </c>
      <c r="AE89" s="43">
        <f t="shared" si="156"/>
        <v>0</v>
      </c>
      <c r="AF89" s="44">
        <f t="shared" si="156"/>
        <v>0</v>
      </c>
      <c r="AG89" s="44">
        <f t="shared" si="156"/>
        <v>0</v>
      </c>
      <c r="AH89" s="128">
        <f t="shared" si="132"/>
        <v>38687</v>
      </c>
      <c r="AI89" s="44">
        <f t="shared" si="137"/>
        <v>0</v>
      </c>
      <c r="AJ89" s="51"/>
      <c r="AK89" s="128">
        <f t="shared" si="133"/>
        <v>38687</v>
      </c>
      <c r="AL89" s="43">
        <f t="shared" si="157"/>
        <v>0</v>
      </c>
      <c r="AM89" s="43">
        <f t="shared" si="157"/>
        <v>0</v>
      </c>
      <c r="AN89" s="43">
        <f t="shared" si="157"/>
        <v>0</v>
      </c>
      <c r="AO89" s="43">
        <f t="shared" si="157"/>
        <v>0</v>
      </c>
      <c r="AP89" s="44">
        <f t="shared" si="157"/>
        <v>0</v>
      </c>
      <c r="AQ89" s="44">
        <f t="shared" si="157"/>
        <v>0</v>
      </c>
      <c r="AR89" s="128">
        <f t="shared" si="134"/>
        <v>38687</v>
      </c>
      <c r="AS89" s="44">
        <f t="shared" si="138"/>
        <v>0</v>
      </c>
      <c r="AT89" s="51"/>
      <c r="AU89" s="51"/>
      <c r="AV89" s="51"/>
      <c r="AW89" s="51"/>
      <c r="AX89" s="51"/>
      <c r="AY89" s="51"/>
      <c r="AZ89" s="51"/>
      <c r="BA89" s="51"/>
      <c r="BB89" s="142">
        <f t="shared" si="151"/>
        <v>36800</v>
      </c>
      <c r="BC89" s="238">
        <f>_xll.xSPRDOPT((VLOOKUP(G89,NGPrices,2,FALSE)+HLOOKUP(D89,Prices,VLOOKUP(G89,move_down,2,FALSE),FALSE)),VLOOKUP(G89,NGPrices,2,FALSE),I89,VLOOKUP(G89,NGPREVPRICES,4,FALSE),HLOOKUP(D89,PREVVOLS,VLOOKUP(G89,MOVE_DOWN2,2,FALSE),FALSE),VLOOKUP(G89,NGPREVPRICES,3,FALSE),HLOOKUP(D89,Correllate,VLOOKUP(G89,CorMove,2,FALSE),FALSE),Q89-$BC$3,R89,$BC$5)*H89-BI89</f>
        <v>-1724.7319661967886</v>
      </c>
      <c r="BD89" s="238">
        <f>_xll.xSPRDOPT((VLOOKUP(G89,NGPREVPRICES,2,FALSE)+HLOOKUP(D89,PREVCURVES,VLOOKUP(G89,MOVE_DOWN2,2,FALSE),FALSE)),VLOOKUP(G89,NGPREVPRICES,2,FALSE),BJ89,VLOOKUP(G89,NGPrices,4,FALSE),HLOOKUP(D89,PREVVOLS,VLOOKUP(G89,MOVE_DOWN2,2,FALSE),FALSE),VLOOKUP(G89,NGPREVPRICES,3,FALSE),HLOOKUP(D89,Correllate,VLOOKUP(G89,CorMove,2,FALSE),FALSE),Q89-$BC$3,R89,$BI$5)*H89-BI89</f>
        <v>0.54404983660788275</v>
      </c>
      <c r="BE89" s="10">
        <f t="shared" si="152"/>
        <v>-6.019597329905082</v>
      </c>
      <c r="BF89" s="238">
        <f>_xll.xSPRDOPT((VLOOKUP(G89,NGPREVPRICES,2,FALSE)+HLOOKUP(D89,PREVCURVES,VLOOKUP(G89,MOVE_DOWN2,2,FALSE),FALSE)),VLOOKUP(G89,NGPREVPRICES,2,FALSE),BJ89,VLOOKUP(G89,NGPREVPRICES,4,FALSE),HLOOKUP(D89,VOLS,VLOOKUP(G89,move_down,2,FALSE),FALSE),VLOOKUP(G89,NGPrices,3,FALSE),HLOOKUP(D89,Correllate,VLOOKUP(G89,CorMove,2,FALSE),FALSE),Q89-$BC$3,R89,$BI$5)*H89-BI89</f>
        <v>720.87264507636428</v>
      </c>
      <c r="BG89" s="238">
        <f>_xll.xSPRDOPT((VLOOKUP(G89,NGPREVPRICES,2,FALSE)+HLOOKUP(D89,PREVCURVES,VLOOKUP(G89,MOVE_DOWN2,2,FALSE),FALSE)),VLOOKUP(G89,NGPREVPRICES,2,FALSE),BJ89,VLOOKUP(G89,NGPREVPRICES,4,FALSE),HLOOKUP(D89,PREVVOLS,VLOOKUP(G89,MOVE_DOWN2,2,FALSE),FALSE),VLOOKUP(G89,NGPREVPRICES,3,FALSE),HLOOKUP(D89,Correllate,VLOOKUP(G89,CorMove,2,FALSE),FALSE),Q89-$C$3,R89,$BI$5)*H89-BI89</f>
        <v>-254.96043157331587</v>
      </c>
      <c r="BH89" s="238">
        <f t="shared" si="153"/>
        <v>-1264.2953001870374</v>
      </c>
      <c r="BI89" s="238">
        <f>_xll.xSPRDOPT((VLOOKUP(G89,NGPREVPRICES,2,FALSE)+HLOOKUP(D89,PREVCURVES,VLOOKUP(G89,MOVE_DOWN2,2,FALSE),FALSE)),VLOOKUP(G89,NGPREVPRICES,2,FALSE),BJ89,VLOOKUP(G89,NGPREVPRICES,4,FALSE),HLOOKUP(D89,PREVVOLS,VLOOKUP(G89,MOVE_DOWN2,2,FALSE),FALSE),VLOOKUP(G89,NGPREVPRICES,3,FALSE),HLOOKUP(D89,Correllate,VLOOKUP(G89,CorMove,2,FALSE),FALSE),Q89-$BC$3,R89,$BI$5)*H89</f>
        <v>32940.044046315605</v>
      </c>
      <c r="BJ89" s="239">
        <f t="shared" si="154"/>
        <v>-0.3</v>
      </c>
      <c r="BL89" t="str">
        <f t="shared" si="155"/>
        <v>36800Curve Shift/Gamma</v>
      </c>
      <c r="BM89" t="str">
        <f t="shared" si="127"/>
        <v>36800Rho</v>
      </c>
      <c r="BN89" t="str">
        <f t="shared" si="128"/>
        <v>36800Drift</v>
      </c>
      <c r="BO89" t="str">
        <f t="shared" si="129"/>
        <v>36800Vega</v>
      </c>
      <c r="BP89" t="str">
        <f t="shared" si="130"/>
        <v>36800Theta</v>
      </c>
    </row>
    <row r="90" spans="1:68" ht="12" customHeight="1" x14ac:dyDescent="0.25">
      <c r="A90" t="s">
        <v>290</v>
      </c>
      <c r="B90" t="s">
        <v>253</v>
      </c>
      <c r="C90" t="s">
        <v>304</v>
      </c>
      <c r="D90" s="4" t="s">
        <v>9</v>
      </c>
      <c r="E90" t="s">
        <v>20</v>
      </c>
      <c r="F90" t="s">
        <v>1</v>
      </c>
      <c r="G90" s="5">
        <v>36647</v>
      </c>
      <c r="H90" s="130">
        <v>310000</v>
      </c>
      <c r="I90">
        <v>-0.3</v>
      </c>
      <c r="J90" s="53">
        <f t="shared" ref="J90:J95" si="158">VLOOKUP(G90,NGPrices,2,FALSE)</f>
        <v>3.1579999999999999</v>
      </c>
      <c r="K90" s="7">
        <f t="shared" ref="K90:K95" si="159">HLOOKUP(D90,Prices,VLOOKUP(G90,move_down,2,FALSE),FALSE)</f>
        <v>-0.34499999999999997</v>
      </c>
      <c r="L90" s="4">
        <f t="shared" ref="L90:L95" si="160">K90+J90</f>
        <v>2.8129999999999997</v>
      </c>
      <c r="M90" s="159">
        <f t="shared" ref="M90:M95" si="161">VLOOKUP(G90,NGPrices,4,FALSE)</f>
        <v>6.2683518517613002E-2</v>
      </c>
      <c r="N90" s="4">
        <f t="shared" ref="N90:N95" si="162">VLOOKUP(G90,NGPrices,3,FALSE)</f>
        <v>0.41</v>
      </c>
      <c r="O90" s="4">
        <f t="shared" ref="O90:O95" si="163">HLOOKUP(D90,VOLS,VLOOKUP(G90,move_down,2,FALSE),FALSE)</f>
        <v>0.377</v>
      </c>
      <c r="P90" s="9">
        <f t="shared" ref="P90:P95" si="164">HLOOKUP(D90,Correllate,VLOOKUP(G90,CorMove,2,FALSE),FALSE)</f>
        <v>0.96</v>
      </c>
      <c r="Q90" s="5">
        <f t="shared" si="122"/>
        <v>36643</v>
      </c>
      <c r="R90" s="4">
        <f t="shared" ref="R90:R95" si="165">IF(F90="P",0,1)</f>
        <v>0</v>
      </c>
      <c r="S90" s="160">
        <f>_xll.xSPRDOPT($L90,$J90,$I90,$M90,$O90,$N90,$P90,$Q90-$C$3,$R90,0)</f>
        <v>5.4519562114139636E-2</v>
      </c>
      <c r="T90" s="161">
        <f>_xll.xSPRDOPT($L90,$J90,$I90,$M90,$O90,$N90,$P90,$Q90-$C$3,$R90,1)*H90</f>
        <v>-232543.69964169749</v>
      </c>
      <c r="U90" s="162">
        <f t="shared" ref="U90:U95" si="166">S90*H90</f>
        <v>16901.064255383288</v>
      </c>
      <c r="V90" s="161">
        <f>_xll.xSPRDOPT($L90,$J90,$I90,$M90,$O90,$N90,$P90,$Q90-$C$3,$R90,2)*H90</f>
        <v>234334.127309706</v>
      </c>
      <c r="W90" s="161">
        <f t="shared" ref="W90:W95" si="167">+V90+T90</f>
        <v>1790.4276680085168</v>
      </c>
      <c r="X90" s="51" t="str">
        <f t="shared" ref="X90:X95" si="168">CONCATENATE(G90,D90)</f>
        <v>36647IF-NWPL_ROCKY_M</v>
      </c>
      <c r="Y90" s="431">
        <f t="shared" ref="Y90:Y95" si="169">H90/10000</f>
        <v>31</v>
      </c>
      <c r="AA90" s="128">
        <f t="shared" si="131"/>
        <v>38718</v>
      </c>
      <c r="AB90" s="43">
        <f t="shared" si="156"/>
        <v>0</v>
      </c>
      <c r="AC90" s="43">
        <f t="shared" si="156"/>
        <v>0</v>
      </c>
      <c r="AD90" s="43">
        <f t="shared" si="156"/>
        <v>0</v>
      </c>
      <c r="AE90" s="43">
        <f t="shared" si="156"/>
        <v>0</v>
      </c>
      <c r="AF90" s="44">
        <f t="shared" si="156"/>
        <v>0</v>
      </c>
      <c r="AG90" s="44">
        <f t="shared" si="156"/>
        <v>0</v>
      </c>
      <c r="AH90" s="128">
        <f t="shared" si="132"/>
        <v>38718</v>
      </c>
      <c r="AI90" s="44">
        <f t="shared" si="137"/>
        <v>0</v>
      </c>
      <c r="AJ90" s="51"/>
      <c r="AK90" s="128">
        <f t="shared" si="133"/>
        <v>38718</v>
      </c>
      <c r="AL90" s="43">
        <f t="shared" si="157"/>
        <v>0</v>
      </c>
      <c r="AM90" s="43">
        <f t="shared" si="157"/>
        <v>0</v>
      </c>
      <c r="AN90" s="43">
        <f t="shared" si="157"/>
        <v>0</v>
      </c>
      <c r="AO90" s="43">
        <f t="shared" si="157"/>
        <v>0</v>
      </c>
      <c r="AP90" s="44">
        <f t="shared" si="157"/>
        <v>0</v>
      </c>
      <c r="AQ90" s="44">
        <f t="shared" si="157"/>
        <v>0</v>
      </c>
      <c r="AR90" s="128">
        <f t="shared" si="134"/>
        <v>38718</v>
      </c>
      <c r="AS90" s="44">
        <f t="shared" si="138"/>
        <v>0</v>
      </c>
      <c r="AT90" s="51"/>
      <c r="AU90" s="51"/>
      <c r="AV90" s="51"/>
      <c r="AW90" s="51"/>
      <c r="AX90" s="51"/>
      <c r="AY90" s="51"/>
      <c r="AZ90" s="51"/>
      <c r="BA90" s="51"/>
      <c r="BB90" s="142">
        <f t="shared" si="151"/>
        <v>36647</v>
      </c>
      <c r="BC90" s="238">
        <f>_xll.xSPRDOPT((VLOOKUP(G90,NGPrices,2,FALSE)+HLOOKUP(D90,Prices,VLOOKUP(G90,move_down,2,FALSE),FALSE)),VLOOKUP(G90,NGPrices,2,FALSE),I90,VLOOKUP(G90,NGPREVPRICES,4,FALSE),HLOOKUP(D90,PREVVOLS,VLOOKUP(G90,MOVE_DOWN2,2,FALSE),FALSE),VLOOKUP(G90,NGPREVPRICES,3,FALSE),HLOOKUP(D90,Correllate,VLOOKUP(G90,CorMove,2,FALSE),FALSE),Q90-$BC$3,R90,$BC$5)*H90-BI90</f>
        <v>6885.138177544075</v>
      </c>
      <c r="BD90" s="238">
        <f>_xll.xSPRDOPT((VLOOKUP(G90,NGPREVPRICES,2,FALSE)+HLOOKUP(D90,PREVCURVES,VLOOKUP(G90,MOVE_DOWN2,2,FALSE),FALSE)),VLOOKUP(G90,NGPREVPRICES,2,FALSE),BJ90,VLOOKUP(G90,NGPrices,4,FALSE),HLOOKUP(D90,PREVVOLS,VLOOKUP(G90,MOVE_DOWN2,2,FALSE),FALSE),VLOOKUP(G90,NGPREVPRICES,3,FALSE),HLOOKUP(D90,Correllate,VLOOKUP(G90,CorMove,2,FALSE),FALSE),Q90-$BC$3,R90,$BI$5)*H90-BI90</f>
        <v>-3.4319217684242176E-2</v>
      </c>
      <c r="BE90" s="10">
        <f t="shared" si="152"/>
        <v>-1.6767163987606182</v>
      </c>
      <c r="BF90" s="238">
        <f>_xll.xSPRDOPT((VLOOKUP(G90,NGPREVPRICES,2,FALSE)+HLOOKUP(D90,PREVCURVES,VLOOKUP(G90,MOVE_DOWN2,2,FALSE),FALSE)),VLOOKUP(G90,NGPREVPRICES,2,FALSE),BJ90,VLOOKUP(G90,NGPREVPRICES,4,FALSE),HLOOKUP(D90,VOLS,VLOOKUP(G90,move_down,2,FALSE),FALSE),VLOOKUP(G90,NGPrices,3,FALSE),HLOOKUP(D90,Correllate,VLOOKUP(G90,CorMove,2,FALSE),FALSE),Q90-$BC$3,R90,$BI$5)*H90-BI90</f>
        <v>1210.3933045259655</v>
      </c>
      <c r="BG90" s="238">
        <f>_xll.xSPRDOPT((VLOOKUP(G90,NGPREVPRICES,2,FALSE)+HLOOKUP(D90,PREVCURVES,VLOOKUP(G90,MOVE_DOWN2,2,FALSE),FALSE)),VLOOKUP(G90,NGPREVPRICES,2,FALSE),BJ90,VLOOKUP(G90,NGPREVPRICES,4,FALSE),HLOOKUP(D90,PREVVOLS,VLOOKUP(G90,MOVE_DOWN2,2,FALSE),FALSE),VLOOKUP(G90,NGPREVPRICES,3,FALSE),HLOOKUP(D90,Correllate,VLOOKUP(G90,CorMove,2,FALSE),FALSE),Q90-$C$3,R90,$BI$5)*H90-BI90</f>
        <v>-936.79154730175105</v>
      </c>
      <c r="BH90" s="238">
        <f t="shared" si="153"/>
        <v>7157.0288991518446</v>
      </c>
      <c r="BI90" s="238">
        <f>_xll.xSPRDOPT((VLOOKUP(G90,NGPREVPRICES,2,FALSE)+HLOOKUP(D90,PREVCURVES,VLOOKUP(G90,MOVE_DOWN2,2,FALSE),FALSE)),VLOOKUP(G90,NGPREVPRICES,2,FALSE),BJ90,VLOOKUP(G90,NGPREVPRICES,4,FALSE),HLOOKUP(D90,PREVVOLS,VLOOKUP(G90,MOVE_DOWN2,2,FALSE),FALSE),VLOOKUP(G90,NGPREVPRICES,3,FALSE),HLOOKUP(D90,Correllate,VLOOKUP(G90,CorMove,2,FALSE),FALSE),Q90-$BC$3,R90,$BI$5)*H90</f>
        <v>9913.2630950454513</v>
      </c>
      <c r="BJ90" s="239">
        <f t="shared" si="154"/>
        <v>-0.3</v>
      </c>
      <c r="BL90" t="str">
        <f t="shared" si="155"/>
        <v>36647Curve Shift/Gamma</v>
      </c>
      <c r="BM90" t="str">
        <f t="shared" si="127"/>
        <v>36647Rho</v>
      </c>
      <c r="BN90" t="str">
        <f t="shared" si="128"/>
        <v>36647Drift</v>
      </c>
      <c r="BO90" t="str">
        <f t="shared" si="129"/>
        <v>36647Vega</v>
      </c>
      <c r="BP90" t="str">
        <f t="shared" si="130"/>
        <v>36647Theta</v>
      </c>
    </row>
    <row r="91" spans="1:68" ht="12" customHeight="1" x14ac:dyDescent="0.25">
      <c r="A91" t="s">
        <v>290</v>
      </c>
      <c r="B91" t="s">
        <v>253</v>
      </c>
      <c r="C91" t="s">
        <v>304</v>
      </c>
      <c r="D91" s="4" t="s">
        <v>9</v>
      </c>
      <c r="E91" t="s">
        <v>20</v>
      </c>
      <c r="F91" t="s">
        <v>1</v>
      </c>
      <c r="G91" s="5">
        <v>36678</v>
      </c>
      <c r="H91" s="130">
        <v>300000</v>
      </c>
      <c r="I91">
        <v>-0.3</v>
      </c>
      <c r="J91" s="53">
        <f t="shared" si="158"/>
        <v>3.1720000000000002</v>
      </c>
      <c r="K91" s="7">
        <f t="shared" si="159"/>
        <v>-0.34</v>
      </c>
      <c r="L91" s="4">
        <f t="shared" si="160"/>
        <v>2.8320000000000003</v>
      </c>
      <c r="M91" s="159">
        <f t="shared" si="161"/>
        <v>6.3039999833066004E-2</v>
      </c>
      <c r="N91" s="4">
        <f t="shared" si="162"/>
        <v>0.38250000000000001</v>
      </c>
      <c r="O91" s="4">
        <f t="shared" si="163"/>
        <v>0.375</v>
      </c>
      <c r="P91" s="9">
        <f t="shared" si="164"/>
        <v>0.96</v>
      </c>
      <c r="Q91" s="5">
        <f t="shared" si="122"/>
        <v>36676</v>
      </c>
      <c r="R91" s="4">
        <f t="shared" si="165"/>
        <v>0</v>
      </c>
      <c r="S91" s="160">
        <f>_xll.xSPRDOPT($L91,$J91,$I91,$M91,$O91,$N91,$P91,$Q91-$C$3,$R91,0)</f>
        <v>6.9922793429552654E-2</v>
      </c>
      <c r="T91" s="161">
        <f>_xll.xSPRDOPT($L91,$J91,$I91,$M91,$O91,$N91,$P91,$Q91-$C$3,$R91,1)*H91</f>
        <v>-186182.00307701615</v>
      </c>
      <c r="U91" s="162">
        <f t="shared" si="166"/>
        <v>20976.838028865797</v>
      </c>
      <c r="V91" s="161">
        <f>_xll.xSPRDOPT($L91,$J91,$I91,$M91,$O91,$N91,$P91,$Q91-$C$3,$R91,2)*H91</f>
        <v>190091.00091499969</v>
      </c>
      <c r="W91" s="161">
        <f t="shared" si="167"/>
        <v>3908.9978379835375</v>
      </c>
      <c r="X91" s="51" t="str">
        <f t="shared" si="168"/>
        <v>36678IF-NWPL_ROCKY_M</v>
      </c>
      <c r="Y91" s="431">
        <f t="shared" si="169"/>
        <v>30</v>
      </c>
      <c r="AA91" s="128">
        <f t="shared" si="131"/>
        <v>38749</v>
      </c>
      <c r="AB91" s="43">
        <f t="shared" si="156"/>
        <v>0</v>
      </c>
      <c r="AC91" s="43">
        <f t="shared" si="156"/>
        <v>0</v>
      </c>
      <c r="AD91" s="43">
        <f t="shared" si="156"/>
        <v>0</v>
      </c>
      <c r="AE91" s="43">
        <f t="shared" si="156"/>
        <v>0</v>
      </c>
      <c r="AF91" s="44">
        <f t="shared" si="156"/>
        <v>0</v>
      </c>
      <c r="AG91" s="44">
        <f t="shared" si="156"/>
        <v>0</v>
      </c>
      <c r="AH91" s="128">
        <f t="shared" si="132"/>
        <v>38749</v>
      </c>
      <c r="AI91" s="44">
        <f t="shared" si="137"/>
        <v>0</v>
      </c>
      <c r="AJ91" s="51"/>
      <c r="AK91" s="128">
        <f t="shared" si="133"/>
        <v>38749</v>
      </c>
      <c r="AL91" s="43">
        <f t="shared" si="157"/>
        <v>0</v>
      </c>
      <c r="AM91" s="43">
        <f t="shared" si="157"/>
        <v>0</v>
      </c>
      <c r="AN91" s="43">
        <f t="shared" si="157"/>
        <v>0</v>
      </c>
      <c r="AO91" s="43">
        <f t="shared" si="157"/>
        <v>0</v>
      </c>
      <c r="AP91" s="44">
        <f t="shared" si="157"/>
        <v>0</v>
      </c>
      <c r="AQ91" s="44">
        <f t="shared" si="157"/>
        <v>0</v>
      </c>
      <c r="AR91" s="128">
        <f t="shared" si="134"/>
        <v>38749</v>
      </c>
      <c r="AS91" s="44">
        <f t="shared" si="138"/>
        <v>0</v>
      </c>
      <c r="AT91" s="51"/>
      <c r="AU91" s="51"/>
      <c r="AV91" s="51"/>
      <c r="AW91" s="51"/>
      <c r="AX91" s="51"/>
      <c r="AY91" s="51"/>
      <c r="AZ91" s="51"/>
      <c r="BA91" s="51"/>
      <c r="BB91" s="142">
        <f t="shared" si="151"/>
        <v>36678</v>
      </c>
      <c r="BC91" s="238">
        <f>_xll.xSPRDOPT((VLOOKUP(G91,NGPrices,2,FALSE)+HLOOKUP(D91,Prices,VLOOKUP(G91,move_down,2,FALSE),FALSE)),VLOOKUP(G91,NGPrices,2,FALSE),I91,VLOOKUP(G91,NGPREVPRICES,4,FALSE),HLOOKUP(D91,PREVVOLS,VLOOKUP(G91,MOVE_DOWN2,2,FALSE),FALSE),VLOOKUP(G91,NGPREVPRICES,3,FALSE),HLOOKUP(D91,Correllate,VLOOKUP(G91,CorMove,2,FALSE),FALSE),Q91-$BC$3,R91,$BC$5)*H91-BI91</f>
        <v>4688.9038860021446</v>
      </c>
      <c r="BD91" s="238">
        <f>_xll.xSPRDOPT((VLOOKUP(G91,NGPREVPRICES,2,FALSE)+HLOOKUP(D91,PREVCURVES,VLOOKUP(G91,MOVE_DOWN2,2,FALSE),FALSE)),VLOOKUP(G91,NGPREVPRICES,2,FALSE),BJ91,VLOOKUP(G91,NGPrices,4,FALSE),HLOOKUP(D91,PREVVOLS,VLOOKUP(G91,MOVE_DOWN2,2,FALSE),FALSE),VLOOKUP(G91,NGPREVPRICES,3,FALSE),HLOOKUP(D91,Correllate,VLOOKUP(G91,CorMove,2,FALSE),FALSE),Q91-$BC$3,R91,$BI$5)*H91-BI91</f>
        <v>-5.2192199527780758E-2</v>
      </c>
      <c r="BE91" s="10">
        <f t="shared" si="152"/>
        <v>-2.8040363630825595</v>
      </c>
      <c r="BF91" s="238">
        <f>_xll.xSPRDOPT((VLOOKUP(G91,NGPREVPRICES,2,FALSE)+HLOOKUP(D91,PREVCURVES,VLOOKUP(G91,MOVE_DOWN2,2,FALSE),FALSE)),VLOOKUP(G91,NGPREVPRICES,2,FALSE),BJ91,VLOOKUP(G91,NGPREVPRICES,4,FALSE),HLOOKUP(D91,VOLS,VLOOKUP(G91,move_down,2,FALSE),FALSE),VLOOKUP(G91,NGPrices,3,FALSE),HLOOKUP(D91,Correllate,VLOOKUP(G91,CorMove,2,FALSE),FALSE),Q91-$BC$3,R91,$BI$5)*H91-BI91</f>
        <v>367.93107900066207</v>
      </c>
      <c r="BG91" s="238">
        <f>_xll.xSPRDOPT((VLOOKUP(G91,NGPREVPRICES,2,FALSE)+HLOOKUP(D91,PREVCURVES,VLOOKUP(G91,MOVE_DOWN2,2,FALSE),FALSE)),VLOOKUP(G91,NGPREVPRICES,2,FALSE),BJ91,VLOOKUP(G91,NGPREVPRICES,4,FALSE),HLOOKUP(D91,PREVVOLS,VLOOKUP(G91,MOVE_DOWN2,2,FALSE),FALSE),VLOOKUP(G91,NGPREVPRICES,3,FALSE),HLOOKUP(D91,Correllate,VLOOKUP(G91,CorMove,2,FALSE),FALSE),Q91-$C$3,R91,$BI$5)*H91-BI91</f>
        <v>-453.49132888978966</v>
      </c>
      <c r="BH91" s="238">
        <f t="shared" si="153"/>
        <v>4600.4874075504067</v>
      </c>
      <c r="BI91" s="238">
        <f>_xll.xSPRDOPT((VLOOKUP(G91,NGPREVPRICES,2,FALSE)+HLOOKUP(D91,PREVCURVES,VLOOKUP(G91,MOVE_DOWN2,2,FALSE),FALSE)),VLOOKUP(G91,NGPREVPRICES,2,FALSE),BJ91,VLOOKUP(G91,NGPREVPRICES,4,FALSE),HLOOKUP(D91,PREVVOLS,VLOOKUP(G91,MOVE_DOWN2,2,FALSE),FALSE),VLOOKUP(G91,NGPREVPRICES,3,FALSE),HLOOKUP(D91,Correllate,VLOOKUP(G91,CorMove,2,FALSE),FALSE),Q91-$BC$3,R91,$BI$5)*H91</f>
        <v>16380.570041146142</v>
      </c>
      <c r="BJ91" s="239">
        <f t="shared" si="154"/>
        <v>-0.3</v>
      </c>
      <c r="BL91" t="str">
        <f t="shared" si="155"/>
        <v>36678Curve Shift/Gamma</v>
      </c>
      <c r="BM91" t="str">
        <f t="shared" si="127"/>
        <v>36678Rho</v>
      </c>
      <c r="BN91" t="str">
        <f t="shared" si="128"/>
        <v>36678Drift</v>
      </c>
      <c r="BO91" t="str">
        <f t="shared" si="129"/>
        <v>36678Vega</v>
      </c>
      <c r="BP91" t="str">
        <f t="shared" si="130"/>
        <v>36678Theta</v>
      </c>
    </row>
    <row r="92" spans="1:68" ht="12" customHeight="1" x14ac:dyDescent="0.25">
      <c r="A92" t="s">
        <v>290</v>
      </c>
      <c r="B92" t="s">
        <v>253</v>
      </c>
      <c r="C92" t="s">
        <v>304</v>
      </c>
      <c r="D92" s="4" t="s">
        <v>9</v>
      </c>
      <c r="E92" t="s">
        <v>20</v>
      </c>
      <c r="F92" t="s">
        <v>1</v>
      </c>
      <c r="G92" s="5">
        <v>36708</v>
      </c>
      <c r="H92" s="130">
        <v>310000</v>
      </c>
      <c r="I92">
        <v>-0.3</v>
      </c>
      <c r="J92" s="53">
        <f t="shared" si="158"/>
        <v>3.181</v>
      </c>
      <c r="K92" s="7">
        <f t="shared" si="159"/>
        <v>-0.32250000000000001</v>
      </c>
      <c r="L92" s="4">
        <f t="shared" si="160"/>
        <v>2.8585000000000003</v>
      </c>
      <c r="M92" s="159">
        <f t="shared" si="161"/>
        <v>6.3695649345076003E-2</v>
      </c>
      <c r="N92" s="4">
        <f t="shared" si="162"/>
        <v>0.39500000000000002</v>
      </c>
      <c r="O92" s="4">
        <f t="shared" si="163"/>
        <v>0.38700000000000001</v>
      </c>
      <c r="P92" s="9">
        <f t="shared" si="164"/>
        <v>0.96</v>
      </c>
      <c r="Q92" s="5">
        <f t="shared" si="122"/>
        <v>36706</v>
      </c>
      <c r="R92" s="4">
        <f t="shared" si="165"/>
        <v>0</v>
      </c>
      <c r="S92" s="160">
        <f>_xll.xSPRDOPT($L92,$J92,$I92,$M92,$O92,$N92,$P92,$Q92-$C$3,$R92,0)</f>
        <v>7.5576189232650151E-2</v>
      </c>
      <c r="T92" s="161">
        <f>_xll.xSPRDOPT($L92,$J92,$I92,$M92,$O92,$N92,$P92,$Q92-$C$3,$R92,1)*H92</f>
        <v>-167549.83187426248</v>
      </c>
      <c r="U92" s="162">
        <f t="shared" si="166"/>
        <v>23428.618662121546</v>
      </c>
      <c r="V92" s="161">
        <f>_xll.xSPRDOPT($L92,$J92,$I92,$M92,$O92,$N92,$P92,$Q92-$C$3,$R92,2)*H92</f>
        <v>173220.62406478907</v>
      </c>
      <c r="W92" s="161">
        <f t="shared" si="167"/>
        <v>5670.792190526583</v>
      </c>
      <c r="X92" s="51" t="str">
        <f t="shared" si="168"/>
        <v>36708IF-NWPL_ROCKY_M</v>
      </c>
      <c r="Y92" s="431">
        <f t="shared" si="169"/>
        <v>31</v>
      </c>
      <c r="AA92" s="128">
        <f t="shared" si="131"/>
        <v>38777</v>
      </c>
      <c r="AB92" s="43">
        <f t="shared" si="156"/>
        <v>0</v>
      </c>
      <c r="AC92" s="43">
        <f t="shared" si="156"/>
        <v>0</v>
      </c>
      <c r="AD92" s="43">
        <f t="shared" si="156"/>
        <v>0</v>
      </c>
      <c r="AE92" s="43">
        <f t="shared" si="156"/>
        <v>0</v>
      </c>
      <c r="AF92" s="44">
        <f t="shared" si="156"/>
        <v>0</v>
      </c>
      <c r="AG92" s="44">
        <f t="shared" si="156"/>
        <v>0</v>
      </c>
      <c r="AH92" s="128">
        <f t="shared" si="132"/>
        <v>38777</v>
      </c>
      <c r="AI92" s="44">
        <f t="shared" si="137"/>
        <v>0</v>
      </c>
      <c r="AJ92" s="51"/>
      <c r="AK92" s="128">
        <f t="shared" si="133"/>
        <v>38777</v>
      </c>
      <c r="AL92" s="43">
        <f t="shared" si="157"/>
        <v>0</v>
      </c>
      <c r="AM92" s="43">
        <f t="shared" si="157"/>
        <v>0</v>
      </c>
      <c r="AN92" s="43">
        <f t="shared" si="157"/>
        <v>0</v>
      </c>
      <c r="AO92" s="43">
        <f t="shared" si="157"/>
        <v>0</v>
      </c>
      <c r="AP92" s="44">
        <f t="shared" si="157"/>
        <v>0</v>
      </c>
      <c r="AQ92" s="44">
        <f t="shared" si="157"/>
        <v>0</v>
      </c>
      <c r="AR92" s="128">
        <f t="shared" si="134"/>
        <v>38777</v>
      </c>
      <c r="AS92" s="44">
        <f t="shared" si="138"/>
        <v>0</v>
      </c>
      <c r="AT92" s="51"/>
      <c r="AU92" s="51"/>
      <c r="AV92" s="51"/>
      <c r="AW92" s="51"/>
      <c r="AX92" s="51"/>
      <c r="AY92" s="51"/>
      <c r="AZ92" s="51"/>
      <c r="BA92" s="51"/>
      <c r="BB92" s="142">
        <f t="shared" si="151"/>
        <v>36708</v>
      </c>
      <c r="BC92" s="238">
        <f>_xll.xSPRDOPT((VLOOKUP(G92,NGPrices,2,FALSE)+HLOOKUP(D92,Prices,VLOOKUP(G92,move_down,2,FALSE),FALSE)),VLOOKUP(G92,NGPrices,2,FALSE),I92,VLOOKUP(G92,NGPREVPRICES,4,FALSE),HLOOKUP(D92,PREVVOLS,VLOOKUP(G92,MOVE_DOWN2,2,FALSE),FALSE),VLOOKUP(G92,NGPREVPRICES,3,FALSE),HLOOKUP(D92,Correllate,VLOOKUP(G92,CorMove,2,FALSE),FALSE),Q92-$BC$3,R92,$BC$5)*H92-BI92</f>
        <v>2877.575843939645</v>
      </c>
      <c r="BD92" s="238">
        <f>_xll.xSPRDOPT((VLOOKUP(G92,NGPREVPRICES,2,FALSE)+HLOOKUP(D92,PREVCURVES,VLOOKUP(G92,MOVE_DOWN2,2,FALSE),FALSE)),VLOOKUP(G92,NGPREVPRICES,2,FALSE),BJ92,VLOOKUP(G92,NGPrices,4,FALSE),HLOOKUP(D92,PREVVOLS,VLOOKUP(G92,MOVE_DOWN2,2,FALSE),FALSE),VLOOKUP(G92,NGPREVPRICES,3,FALSE),HLOOKUP(D92,Correllate,VLOOKUP(G92,CorMove,2,FALSE),FALSE),Q92-$BC$3,R92,$BI$5)*H92-BI92</f>
        <v>-0.19474545536650112</v>
      </c>
      <c r="BE92" s="10">
        <f t="shared" si="152"/>
        <v>-3.5520665201147494</v>
      </c>
      <c r="BF92" s="238">
        <f>_xll.xSPRDOPT((VLOOKUP(G92,NGPREVPRICES,2,FALSE)+HLOOKUP(D92,PREVCURVES,VLOOKUP(G92,MOVE_DOWN2,2,FALSE),FALSE)),VLOOKUP(G92,NGPREVPRICES,2,FALSE),BJ92,VLOOKUP(G92,NGPREVPRICES,4,FALSE),HLOOKUP(D92,VOLS,VLOOKUP(G92,move_down,2,FALSE),FALSE),VLOOKUP(G92,NGPrices,3,FALSE),HLOOKUP(D92,Correllate,VLOOKUP(G92,CorMove,2,FALSE),FALSE),Q92-$BC$3,R92,$BI$5)*H92-BI92</f>
        <v>492.02045983550488</v>
      </c>
      <c r="BG92" s="238">
        <f>_xll.xSPRDOPT((VLOOKUP(G92,NGPREVPRICES,2,FALSE)+HLOOKUP(D92,PREVCURVES,VLOOKUP(G92,MOVE_DOWN2,2,FALSE),FALSE)),VLOOKUP(G92,NGPREVPRICES,2,FALSE),BJ92,VLOOKUP(G92,NGPREVPRICES,4,FALSE),HLOOKUP(D92,PREVVOLS,VLOOKUP(G92,MOVE_DOWN2,2,FALSE),FALSE),VLOOKUP(G92,NGPREVPRICES,3,FALSE),HLOOKUP(D92,Correllate,VLOOKUP(G92,CorMove,2,FALSE),FALSE),Q92-$C$3,R92,$BI$5)*H92-BI92</f>
        <v>-373.52536575215345</v>
      </c>
      <c r="BH92" s="238">
        <f t="shared" si="153"/>
        <v>2992.3241260475152</v>
      </c>
      <c r="BI92" s="238">
        <f>_xll.xSPRDOPT((VLOOKUP(G92,NGPREVPRICES,2,FALSE)+HLOOKUP(D92,PREVCURVES,VLOOKUP(G92,MOVE_DOWN2,2,FALSE),FALSE)),VLOOKUP(G92,NGPREVPRICES,2,FALSE),BJ92,VLOOKUP(G92,NGPREVPRICES,4,FALSE),HLOOKUP(D92,PREVVOLS,VLOOKUP(G92,MOVE_DOWN2,2,FALSE),FALSE),VLOOKUP(G92,NGPREVPRICES,3,FALSE),HLOOKUP(D92,Correllate,VLOOKUP(G92,CorMove,2,FALSE),FALSE),Q92-$BC$3,R92,$BI$5)*H92</f>
        <v>20439.473354898309</v>
      </c>
      <c r="BJ92" s="239">
        <f t="shared" si="154"/>
        <v>-0.3</v>
      </c>
      <c r="BL92" t="str">
        <f t="shared" si="155"/>
        <v>36708Curve Shift/Gamma</v>
      </c>
      <c r="BM92" t="str">
        <f t="shared" si="127"/>
        <v>36708Rho</v>
      </c>
      <c r="BN92" t="str">
        <f t="shared" si="128"/>
        <v>36708Drift</v>
      </c>
      <c r="BO92" t="str">
        <f t="shared" si="129"/>
        <v>36708Vega</v>
      </c>
      <c r="BP92" t="str">
        <f t="shared" si="130"/>
        <v>36708Theta</v>
      </c>
    </row>
    <row r="93" spans="1:68" ht="12" customHeight="1" x14ac:dyDescent="0.25">
      <c r="A93" t="s">
        <v>290</v>
      </c>
      <c r="B93" t="s">
        <v>253</v>
      </c>
      <c r="C93" t="s">
        <v>304</v>
      </c>
      <c r="D93" s="4" t="s">
        <v>9</v>
      </c>
      <c r="E93" t="s">
        <v>20</v>
      </c>
      <c r="F93" t="s">
        <v>1</v>
      </c>
      <c r="G93" s="5">
        <v>36739</v>
      </c>
      <c r="H93" s="130">
        <v>310000</v>
      </c>
      <c r="I93">
        <v>-0.3</v>
      </c>
      <c r="J93" s="53">
        <f t="shared" si="158"/>
        <v>3.1829999999999998</v>
      </c>
      <c r="K93" s="7">
        <f t="shared" si="159"/>
        <v>-0.32250000000000001</v>
      </c>
      <c r="L93" s="4">
        <f t="shared" si="160"/>
        <v>2.8605</v>
      </c>
      <c r="M93" s="159">
        <f t="shared" si="161"/>
        <v>6.4500399973534003E-2</v>
      </c>
      <c r="N93" s="4">
        <f t="shared" si="162"/>
        <v>0.41249999999999998</v>
      </c>
      <c r="O93" s="4">
        <f t="shared" si="163"/>
        <v>0.40400000000000003</v>
      </c>
      <c r="P93" s="9">
        <f t="shared" si="164"/>
        <v>0.96</v>
      </c>
      <c r="Q93" s="5">
        <f t="shared" si="122"/>
        <v>36735</v>
      </c>
      <c r="R93" s="4">
        <f t="shared" si="165"/>
        <v>0</v>
      </c>
      <c r="S93" s="160">
        <f>_xll.xSPRDOPT($L93,$J93,$I93,$M93,$O93,$N93,$P93,$Q93-$C$3,$R93,0)</f>
        <v>9.0035084554176345E-2</v>
      </c>
      <c r="T93" s="161">
        <f>_xll.xSPRDOPT($L93,$J93,$I93,$M93,$O93,$N93,$P93,$Q93-$C$3,$R93,1)*H93</f>
        <v>-162917.0037533516</v>
      </c>
      <c r="U93" s="162">
        <f t="shared" si="166"/>
        <v>27910.876211794668</v>
      </c>
      <c r="V93" s="161">
        <f>_xll.xSPRDOPT($L93,$J93,$I93,$M93,$O93,$N93,$P93,$Q93-$C$3,$R93,2)*H93</f>
        <v>169903.28773599633</v>
      </c>
      <c r="W93" s="161">
        <f t="shared" si="167"/>
        <v>6986.2839826447307</v>
      </c>
      <c r="X93" s="51" t="str">
        <f t="shared" si="168"/>
        <v>36739IF-NWPL_ROCKY_M</v>
      </c>
      <c r="Y93" s="431">
        <f t="shared" si="169"/>
        <v>31</v>
      </c>
      <c r="Z93" s="51"/>
      <c r="AA93" s="128">
        <f t="shared" si="131"/>
        <v>38808</v>
      </c>
      <c r="AB93" s="43">
        <f t="shared" si="156"/>
        <v>0</v>
      </c>
      <c r="AC93" s="43">
        <f t="shared" si="156"/>
        <v>0</v>
      </c>
      <c r="AD93" s="43">
        <f t="shared" si="156"/>
        <v>0</v>
      </c>
      <c r="AE93" s="43">
        <f t="shared" si="156"/>
        <v>0</v>
      </c>
      <c r="AF93" s="44">
        <f t="shared" si="156"/>
        <v>0</v>
      </c>
      <c r="AG93" s="44">
        <f t="shared" si="156"/>
        <v>0</v>
      </c>
      <c r="AH93" s="128">
        <f t="shared" si="132"/>
        <v>38808</v>
      </c>
      <c r="AI93" s="44">
        <f t="shared" si="137"/>
        <v>0</v>
      </c>
      <c r="AJ93" s="51"/>
      <c r="AK93" s="128">
        <f t="shared" si="133"/>
        <v>38808</v>
      </c>
      <c r="AL93" s="43">
        <f t="shared" si="157"/>
        <v>0</v>
      </c>
      <c r="AM93" s="43">
        <f t="shared" si="157"/>
        <v>0</v>
      </c>
      <c r="AN93" s="43">
        <f t="shared" si="157"/>
        <v>0</v>
      </c>
      <c r="AO93" s="43">
        <f t="shared" si="157"/>
        <v>0</v>
      </c>
      <c r="AP93" s="44">
        <f t="shared" si="157"/>
        <v>0</v>
      </c>
      <c r="AQ93" s="44">
        <f t="shared" si="157"/>
        <v>0</v>
      </c>
      <c r="AR93" s="128">
        <f t="shared" si="134"/>
        <v>38808</v>
      </c>
      <c r="AS93" s="44">
        <f t="shared" si="138"/>
        <v>0</v>
      </c>
      <c r="AT93" s="51"/>
      <c r="AU93" s="51"/>
      <c r="AV93" s="51"/>
      <c r="AW93" s="51"/>
      <c r="AX93" s="51"/>
      <c r="AY93" s="51"/>
      <c r="AZ93" s="51"/>
      <c r="BA93" s="51"/>
      <c r="BB93" s="142">
        <f t="shared" si="151"/>
        <v>36739</v>
      </c>
      <c r="BC93" s="238">
        <f>_xll.xSPRDOPT((VLOOKUP(G93,NGPrices,2,FALSE)+HLOOKUP(D93,Prices,VLOOKUP(G93,move_down,2,FALSE),FALSE)),VLOOKUP(G93,NGPrices,2,FALSE),I93,VLOOKUP(G93,NGPREVPRICES,4,FALSE),HLOOKUP(D93,PREVVOLS,VLOOKUP(G93,MOVE_DOWN2,2,FALSE),FALSE),VLOOKUP(G93,NGPREVPRICES,3,FALSE),HLOOKUP(D93,Correllate,VLOOKUP(G93,CorMove,2,FALSE),FALSE),Q93-$BC$3,R93,$BC$5)*H93-BI93</f>
        <v>2918.2330250483501</v>
      </c>
      <c r="BD93" s="238">
        <f>_xll.xSPRDOPT((VLOOKUP(G93,NGPREVPRICES,2,FALSE)+HLOOKUP(D93,PREVCURVES,VLOOKUP(G93,MOVE_DOWN2,2,FALSE),FALSE)),VLOOKUP(G93,NGPREVPRICES,2,FALSE),BJ93,VLOOKUP(G93,NGPrices,4,FALSE),HLOOKUP(D93,PREVVOLS,VLOOKUP(G93,MOVE_DOWN2,2,FALSE),FALSE),VLOOKUP(G93,NGPREVPRICES,3,FALSE),HLOOKUP(D93,Correllate,VLOOKUP(G93,CorMove,2,FALSE),FALSE),Q93-$BC$3,R93,$BI$5)*H93-BI93</f>
        <v>-0.18537743010892882</v>
      </c>
      <c r="BE93" s="10">
        <f t="shared" si="152"/>
        <v>-4.3795328705273278</v>
      </c>
      <c r="BF93" s="238">
        <f>_xll.xSPRDOPT((VLOOKUP(G93,NGPREVPRICES,2,FALSE)+HLOOKUP(D93,PREVCURVES,VLOOKUP(G93,MOVE_DOWN2,2,FALSE),FALSE)),VLOOKUP(G93,NGPREVPRICES,2,FALSE),BJ93,VLOOKUP(G93,NGPREVPRICES,4,FALSE),HLOOKUP(D93,VOLS,VLOOKUP(G93,move_down,2,FALSE),FALSE),VLOOKUP(G93,NGPrices,3,FALSE),HLOOKUP(D93,Correllate,VLOOKUP(G93,CorMove,2,FALSE),FALSE),Q93-$BC$3,R93,$BI$5)*H93-BI93</f>
        <v>576.3478603365329</v>
      </c>
      <c r="BG93" s="238">
        <f>_xll.xSPRDOPT((VLOOKUP(G93,NGPREVPRICES,2,FALSE)+HLOOKUP(D93,PREVCURVES,VLOOKUP(G93,MOVE_DOWN2,2,FALSE),FALSE)),VLOOKUP(G93,NGPREVPRICES,2,FALSE),BJ93,VLOOKUP(G93,NGPREVPRICES,4,FALSE),HLOOKUP(D93,PREVVOLS,VLOOKUP(G93,MOVE_DOWN2,2,FALSE),FALSE),VLOOKUP(G93,NGPREVPRICES,3,FALSE),HLOOKUP(D93,Correllate,VLOOKUP(G93,CorMove,2,FALSE),FALSE),Q93-$C$3,R93,$BI$5)*H93-BI93</f>
        <v>-326.59579476696672</v>
      </c>
      <c r="BH93" s="238">
        <f t="shared" si="153"/>
        <v>3163.42018031728</v>
      </c>
      <c r="BI93" s="238">
        <f>_xll.xSPRDOPT((VLOOKUP(G93,NGPREVPRICES,2,FALSE)+HLOOKUP(D93,PREVCURVES,VLOOKUP(G93,MOVE_DOWN2,2,FALSE),FALSE)),VLOOKUP(G93,NGPREVPRICES,2,FALSE),BJ93,VLOOKUP(G93,NGPREVPRICES,4,FALSE),HLOOKUP(D93,PREVVOLS,VLOOKUP(G93,MOVE_DOWN2,2,FALSE),FALSE),VLOOKUP(G93,NGPREVPRICES,3,FALSE),HLOOKUP(D93,Correllate,VLOOKUP(G93,CorMove,2,FALSE),FALSE),Q93-$BC$3,R93,$BI$5)*H93</f>
        <v>24745.907505735529</v>
      </c>
      <c r="BJ93" s="239">
        <f t="shared" si="154"/>
        <v>-0.3</v>
      </c>
      <c r="BL93" t="str">
        <f t="shared" si="155"/>
        <v>36739Curve Shift/Gamma</v>
      </c>
      <c r="BM93" t="str">
        <f t="shared" si="127"/>
        <v>36739Rho</v>
      </c>
      <c r="BN93" t="str">
        <f t="shared" si="128"/>
        <v>36739Drift</v>
      </c>
      <c r="BO93" t="str">
        <f t="shared" si="129"/>
        <v>36739Vega</v>
      </c>
      <c r="BP93" t="str">
        <f t="shared" si="130"/>
        <v>36739Theta</v>
      </c>
    </row>
    <row r="94" spans="1:68" ht="12" customHeight="1" x14ac:dyDescent="0.25">
      <c r="A94" t="s">
        <v>290</v>
      </c>
      <c r="B94" t="s">
        <v>253</v>
      </c>
      <c r="C94" t="s">
        <v>304</v>
      </c>
      <c r="D94" s="4" t="s">
        <v>9</v>
      </c>
      <c r="E94" t="s">
        <v>20</v>
      </c>
      <c r="F94" t="s">
        <v>1</v>
      </c>
      <c r="G94" s="5">
        <v>36770</v>
      </c>
      <c r="H94" s="130">
        <v>300000</v>
      </c>
      <c r="I94">
        <v>-0.3</v>
      </c>
      <c r="J94" s="53">
        <f t="shared" si="158"/>
        <v>3.173</v>
      </c>
      <c r="K94" s="7">
        <f t="shared" si="159"/>
        <v>-0.32250000000000001</v>
      </c>
      <c r="L94" s="4">
        <f t="shared" si="160"/>
        <v>2.8505000000000003</v>
      </c>
      <c r="M94" s="159">
        <f t="shared" si="161"/>
        <v>6.5221012015626995E-2</v>
      </c>
      <c r="N94" s="4">
        <f t="shared" si="162"/>
        <v>0.42</v>
      </c>
      <c r="O94" s="4">
        <f t="shared" si="163"/>
        <v>0.41199999999999998</v>
      </c>
      <c r="P94" s="9">
        <f t="shared" si="164"/>
        <v>0.96</v>
      </c>
      <c r="Q94" s="5">
        <f t="shared" si="122"/>
        <v>36768</v>
      </c>
      <c r="R94" s="4">
        <f t="shared" si="165"/>
        <v>0</v>
      </c>
      <c r="S94" s="160">
        <f>_xll.xSPRDOPT($L94,$J94,$I94,$M94,$O94,$N94,$P94,$Q94-$C$3,$R94,0)</f>
        <v>0.10243156755313955</v>
      </c>
      <c r="T94" s="161">
        <f>_xll.xSPRDOPT($L94,$J94,$I94,$M94,$O94,$N94,$P94,$Q94-$C$3,$R94,1)*H94</f>
        <v>-154346.55212072213</v>
      </c>
      <c r="U94" s="162">
        <f t="shared" si="166"/>
        <v>30729.470265941865</v>
      </c>
      <c r="V94" s="161">
        <f>_xll.xSPRDOPT($L94,$J94,$I94,$M94,$O94,$N94,$P94,$Q94-$C$3,$R94,2)*H94</f>
        <v>162228.79850556038</v>
      </c>
      <c r="W94" s="161">
        <f t="shared" si="167"/>
        <v>7882.2463848382467</v>
      </c>
      <c r="X94" s="51" t="str">
        <f t="shared" si="168"/>
        <v>36770IF-NWPL_ROCKY_M</v>
      </c>
      <c r="Y94" s="431">
        <f t="shared" si="169"/>
        <v>30</v>
      </c>
      <c r="Z94" s="51"/>
      <c r="AA94" s="128">
        <f t="shared" si="131"/>
        <v>38838</v>
      </c>
      <c r="AB94" s="43">
        <f t="shared" si="156"/>
        <v>0</v>
      </c>
      <c r="AC94" s="43">
        <f t="shared" si="156"/>
        <v>0</v>
      </c>
      <c r="AD94" s="43">
        <f t="shared" si="156"/>
        <v>0</v>
      </c>
      <c r="AE94" s="43">
        <f t="shared" si="156"/>
        <v>0</v>
      </c>
      <c r="AF94" s="44">
        <f t="shared" si="156"/>
        <v>0</v>
      </c>
      <c r="AG94" s="44">
        <f t="shared" si="156"/>
        <v>0</v>
      </c>
      <c r="AH94" s="128">
        <f t="shared" si="132"/>
        <v>38838</v>
      </c>
      <c r="AI94" s="44">
        <f t="shared" si="137"/>
        <v>0</v>
      </c>
      <c r="AJ94" s="51"/>
      <c r="AK94" s="128">
        <f t="shared" si="133"/>
        <v>38838</v>
      </c>
      <c r="AL94" s="43">
        <f t="shared" si="157"/>
        <v>0</v>
      </c>
      <c r="AM94" s="43">
        <f t="shared" si="157"/>
        <v>0</v>
      </c>
      <c r="AN94" s="43">
        <f t="shared" si="157"/>
        <v>0</v>
      </c>
      <c r="AO94" s="43">
        <f t="shared" si="157"/>
        <v>0</v>
      </c>
      <c r="AP94" s="44">
        <f t="shared" si="157"/>
        <v>0</v>
      </c>
      <c r="AQ94" s="44">
        <f t="shared" si="157"/>
        <v>0</v>
      </c>
      <c r="AR94" s="128">
        <f t="shared" si="134"/>
        <v>38838</v>
      </c>
      <c r="AS94" s="44">
        <f t="shared" si="138"/>
        <v>0</v>
      </c>
      <c r="AT94" s="51"/>
      <c r="AU94" s="51"/>
      <c r="AV94" s="51"/>
      <c r="AW94" s="51"/>
      <c r="AX94" s="51"/>
      <c r="AY94" s="51"/>
      <c r="AZ94" s="51"/>
      <c r="BA94" s="51"/>
      <c r="BB94" s="142">
        <f t="shared" si="151"/>
        <v>36770</v>
      </c>
      <c r="BC94" s="238">
        <f>_xll.xSPRDOPT((VLOOKUP(G94,NGPrices,2,FALSE)+HLOOKUP(D94,Prices,VLOOKUP(G94,move_down,2,FALSE),FALSE)),VLOOKUP(G94,NGPrices,2,FALSE),I94,VLOOKUP(G94,NGPREVPRICES,4,FALSE),HLOOKUP(D94,PREVVOLS,VLOOKUP(G94,MOVE_DOWN2,2,FALSE),FALSE),VLOOKUP(G94,NGPREVPRICES,3,FALSE),HLOOKUP(D94,Correllate,VLOOKUP(G94,CorMove,2,FALSE),FALSE),Q94-$BC$3,R94,$BC$5)*H94-BI94</f>
        <v>2860.8829363679579</v>
      </c>
      <c r="BD94" s="238">
        <f>_xll.xSPRDOPT((VLOOKUP(G94,NGPREVPRICES,2,FALSE)+HLOOKUP(D94,PREVCURVES,VLOOKUP(G94,MOVE_DOWN2,2,FALSE),FALSE)),VLOOKUP(G94,NGPREVPRICES,2,FALSE),BJ94,VLOOKUP(G94,NGPrices,4,FALSE),HLOOKUP(D94,PREVVOLS,VLOOKUP(G94,MOVE_DOWN2,2,FALSE),FALSE),VLOOKUP(G94,NGPREVPRICES,3,FALSE),HLOOKUP(D94,Correllate,VLOOKUP(G94,CorMove,2,FALSE),FALSE),Q94-$BC$3,R94,$BI$5)*H94-BI94</f>
        <v>4.5957016252941685E-2</v>
      </c>
      <c r="BE94" s="10">
        <f t="shared" si="152"/>
        <v>-4.9520262659607397</v>
      </c>
      <c r="BF94" s="238">
        <f>_xll.xSPRDOPT((VLOOKUP(G94,NGPREVPRICES,2,FALSE)+HLOOKUP(D94,PREVCURVES,VLOOKUP(G94,MOVE_DOWN2,2,FALSE),FALSE)),VLOOKUP(G94,NGPREVPRICES,2,FALSE),BJ94,VLOOKUP(G94,NGPREVPRICES,4,FALSE),HLOOKUP(D94,VOLS,VLOOKUP(G94,move_down,2,FALSE),FALSE),VLOOKUP(G94,NGPrices,3,FALSE),HLOOKUP(D94,Correllate,VLOOKUP(G94,CorMove,2,FALSE),FALSE),Q94-$BC$3,R94,$BI$5)*H94-BI94</f>
        <v>634.599314597177</v>
      </c>
      <c r="BG94" s="238">
        <f>_xll.xSPRDOPT((VLOOKUP(G94,NGPREVPRICES,2,FALSE)+HLOOKUP(D94,PREVCURVES,VLOOKUP(G94,MOVE_DOWN2,2,FALSE),FALSE)),VLOOKUP(G94,NGPREVPRICES,2,FALSE),BJ94,VLOOKUP(G94,NGPREVPRICES,4,FALSE),HLOOKUP(D94,PREVVOLS,VLOOKUP(G94,MOVE_DOWN2,2,FALSE),FALSE),VLOOKUP(G94,NGPREVPRICES,3,FALSE),HLOOKUP(D94,Correllate,VLOOKUP(G94,CorMove,2,FALSE),FALSE),Q94-$C$3,R94,$BI$5)*H94-BI94</f>
        <v>-274.18619752113955</v>
      </c>
      <c r="BH94" s="238">
        <f t="shared" si="153"/>
        <v>3216.3899841942875</v>
      </c>
      <c r="BI94" s="238">
        <f>_xll.xSPRDOPT((VLOOKUP(G94,NGPREVPRICES,2,FALSE)+HLOOKUP(D94,PREVCURVES,VLOOKUP(G94,MOVE_DOWN2,2,FALSE),FALSE)),VLOOKUP(G94,NGPREVPRICES,2,FALSE),BJ94,VLOOKUP(G94,NGPREVPRICES,4,FALSE),HLOOKUP(D94,PREVVOLS,VLOOKUP(G94,MOVE_DOWN2,2,FALSE),FALSE),VLOOKUP(G94,NGPREVPRICES,3,FALSE),HLOOKUP(D94,Correllate,VLOOKUP(G94,CorMove,2,FALSE),FALSE),Q94-$BC$3,R94,$BI$5)*H94</f>
        <v>27507.423392809065</v>
      </c>
      <c r="BJ94" s="239">
        <f t="shared" si="154"/>
        <v>-0.3</v>
      </c>
      <c r="BL94" t="str">
        <f t="shared" si="155"/>
        <v>36770Curve Shift/Gamma</v>
      </c>
      <c r="BM94" t="str">
        <f t="shared" si="127"/>
        <v>36770Rho</v>
      </c>
      <c r="BN94" t="str">
        <f t="shared" si="128"/>
        <v>36770Drift</v>
      </c>
      <c r="BO94" t="str">
        <f t="shared" si="129"/>
        <v>36770Vega</v>
      </c>
      <c r="BP94" t="str">
        <f t="shared" si="130"/>
        <v>36770Theta</v>
      </c>
    </row>
    <row r="95" spans="1:68" ht="12" customHeight="1" x14ac:dyDescent="0.25">
      <c r="A95" t="s">
        <v>290</v>
      </c>
      <c r="B95" t="s">
        <v>253</v>
      </c>
      <c r="C95" t="s">
        <v>304</v>
      </c>
      <c r="D95" s="4" t="s">
        <v>9</v>
      </c>
      <c r="E95" t="s">
        <v>20</v>
      </c>
      <c r="F95" t="s">
        <v>1</v>
      </c>
      <c r="G95" s="5">
        <v>36800</v>
      </c>
      <c r="H95" s="130">
        <v>310000</v>
      </c>
      <c r="I95">
        <v>-0.3</v>
      </c>
      <c r="J95" s="53">
        <f t="shared" si="158"/>
        <v>3.18</v>
      </c>
      <c r="K95" s="7">
        <f t="shared" si="159"/>
        <v>-0.29749999999999999</v>
      </c>
      <c r="L95" s="4">
        <f t="shared" si="160"/>
        <v>2.8825000000000003</v>
      </c>
      <c r="M95" s="159">
        <f t="shared" si="161"/>
        <v>6.5817989695161006E-2</v>
      </c>
      <c r="N95" s="4">
        <f t="shared" si="162"/>
        <v>0.42249999999999999</v>
      </c>
      <c r="O95" s="4">
        <f t="shared" si="163"/>
        <v>0.41399999999999998</v>
      </c>
      <c r="P95" s="9">
        <f t="shared" si="164"/>
        <v>0.96</v>
      </c>
      <c r="Q95" s="5">
        <f t="shared" si="122"/>
        <v>36797</v>
      </c>
      <c r="R95" s="4">
        <f t="shared" si="165"/>
        <v>0</v>
      </c>
      <c r="S95" s="160">
        <f>_xll.xSPRDOPT($L95,$J95,$I95,$M95,$O95,$N95,$P95,$Q95-$C$3,$R95,0)</f>
        <v>9.9781318220726639E-2</v>
      </c>
      <c r="T95" s="161">
        <f>_xll.xSPRDOPT($L95,$J95,$I95,$M95,$O95,$N95,$P95,$Q95-$C$3,$R95,1)*H95</f>
        <v>-145534.7693932415</v>
      </c>
      <c r="U95" s="162">
        <f t="shared" si="166"/>
        <v>30932.208648425258</v>
      </c>
      <c r="V95" s="161">
        <f>_xll.xSPRDOPT($L95,$J95,$I95,$M95,$O95,$N95,$P95,$Q95-$C$3,$R95,2)*H95</f>
        <v>154577.14756250574</v>
      </c>
      <c r="W95" s="161">
        <f t="shared" si="167"/>
        <v>9042.3781692642369</v>
      </c>
      <c r="X95" s="51" t="str">
        <f t="shared" si="168"/>
        <v>36800IF-NWPL_ROCKY_M</v>
      </c>
      <c r="Y95" s="431">
        <f t="shared" si="169"/>
        <v>31</v>
      </c>
      <c r="Z95" s="51"/>
      <c r="AA95" s="128">
        <f t="shared" si="131"/>
        <v>38869</v>
      </c>
      <c r="AB95" s="43">
        <f t="shared" si="156"/>
        <v>0</v>
      </c>
      <c r="AC95" s="43">
        <f t="shared" si="156"/>
        <v>0</v>
      </c>
      <c r="AD95" s="43">
        <f t="shared" si="156"/>
        <v>0</v>
      </c>
      <c r="AE95" s="43">
        <f t="shared" si="156"/>
        <v>0</v>
      </c>
      <c r="AF95" s="44">
        <f t="shared" si="156"/>
        <v>0</v>
      </c>
      <c r="AG95" s="44">
        <f t="shared" si="156"/>
        <v>0</v>
      </c>
      <c r="AH95" s="128">
        <f t="shared" si="132"/>
        <v>38869</v>
      </c>
      <c r="AI95" s="44">
        <f t="shared" si="137"/>
        <v>0</v>
      </c>
      <c r="AJ95" s="51"/>
      <c r="AK95" s="128">
        <f t="shared" si="133"/>
        <v>38869</v>
      </c>
      <c r="AL95" s="43">
        <f t="shared" si="157"/>
        <v>0</v>
      </c>
      <c r="AM95" s="43">
        <f t="shared" si="157"/>
        <v>0</v>
      </c>
      <c r="AN95" s="43">
        <f t="shared" si="157"/>
        <v>0</v>
      </c>
      <c r="AO95" s="43">
        <f t="shared" si="157"/>
        <v>0</v>
      </c>
      <c r="AP95" s="44">
        <f t="shared" si="157"/>
        <v>0</v>
      </c>
      <c r="AQ95" s="44">
        <f t="shared" si="157"/>
        <v>0</v>
      </c>
      <c r="AR95" s="128">
        <f t="shared" si="134"/>
        <v>38869</v>
      </c>
      <c r="AS95" s="44">
        <f t="shared" si="138"/>
        <v>0</v>
      </c>
      <c r="AT95" s="51"/>
      <c r="AU95" s="51"/>
      <c r="AV95" s="51"/>
      <c r="AW95" s="51"/>
      <c r="AX95" s="51"/>
      <c r="AY95" s="51"/>
      <c r="AZ95" s="51"/>
      <c r="BA95" s="51"/>
      <c r="BB95" s="142">
        <f>G95</f>
        <v>36800</v>
      </c>
      <c r="BC95" s="238">
        <f>_xll.xSPRDOPT((VLOOKUP(G95,NGPrices,2,FALSE)+HLOOKUP(D95,Prices,VLOOKUP(G95,move_down,2,FALSE),FALSE)),VLOOKUP(G95,NGPrices,2,FALSE),I95,VLOOKUP(G95,NGPREVPRICES,4,FALSE),HLOOKUP(D95,PREVVOLS,VLOOKUP(G95,MOVE_DOWN2,2,FALSE),FALSE),VLOOKUP(G95,NGPREVPRICES,3,FALSE),HLOOKUP(D95,Correllate,VLOOKUP(G95,CorMove,2,FALSE),FALSE),Q95-$BC$3,R95,$BC$5)*H95-BI95</f>
        <v>2787.3439115996989</v>
      </c>
      <c r="BD95" s="238">
        <f>_xll.xSPRDOPT((VLOOKUP(G95,NGPREVPRICES,2,FALSE)+HLOOKUP(D95,PREVCURVES,VLOOKUP(G95,MOVE_DOWN2,2,FALSE),FALSE)),VLOOKUP(G95,NGPREVPRICES,2,FALSE),BJ95,VLOOKUP(G95,NGPrices,4,FALSE),HLOOKUP(D95,PREVVOLS,VLOOKUP(G95,MOVE_DOWN2,2,FALSE),FALSE),VLOOKUP(G95,NGPREVPRICES,3,FALSE),HLOOKUP(D95,Correllate,VLOOKUP(G95,CorMove,2,FALSE),FALSE),Q95-$BC$3,R95,$BI$5)*H95-BI95</f>
        <v>0.45710622182014049</v>
      </c>
      <c r="BE95" s="10">
        <f>(BI95/VLOOKUP(BB95,discount,3,FALSE))-(BI95/VLOOKUP(BB95,discount,2,FALSE))</f>
        <v>-5.0576164297126525</v>
      </c>
      <c r="BF95" s="238">
        <f>_xll.xSPRDOPT((VLOOKUP(G95,NGPREVPRICES,2,FALSE)+HLOOKUP(D95,PREVCURVES,VLOOKUP(G95,MOVE_DOWN2,2,FALSE),FALSE)),VLOOKUP(G95,NGPREVPRICES,2,FALSE),BJ95,VLOOKUP(G95,NGPREVPRICES,4,FALSE),HLOOKUP(D95,VOLS,VLOOKUP(G95,move_down,2,FALSE),FALSE),VLOOKUP(G95,NGPrices,3,FALSE),HLOOKUP(D95,Correllate,VLOOKUP(G95,CorMove,2,FALSE),FALSE),Q95-$BC$3,R95,$BI$5)*H95-BI95</f>
        <v>720.87264507644795</v>
      </c>
      <c r="BG95" s="238">
        <f>_xll.xSPRDOPT((VLOOKUP(G95,NGPREVPRICES,2,FALSE)+HLOOKUP(D95,PREVCURVES,VLOOKUP(G95,MOVE_DOWN2,2,FALSE),FALSE)),VLOOKUP(G95,NGPREVPRICES,2,FALSE),BJ95,VLOOKUP(G95,NGPREVPRICES,4,FALSE),HLOOKUP(D95,PREVVOLS,VLOOKUP(G95,MOVE_DOWN2,2,FALSE),FALSE),VLOOKUP(G95,NGPREVPRICES,3,FALSE),HLOOKUP(D95,Correllate,VLOOKUP(G95,CorMove,2,FALSE),FALSE),Q95-$C$3,R95,$BI$5)*H95-BI95</f>
        <v>-257.80852726313242</v>
      </c>
      <c r="BH95" s="238">
        <f>SUM(BC95:BG95)</f>
        <v>3245.8075192051219</v>
      </c>
      <c r="BI95" s="238">
        <f>_xll.xSPRDOPT((VLOOKUP(G95,NGPREVPRICES,2,FALSE)+HLOOKUP(D95,PREVCURVES,VLOOKUP(G95,MOVE_DOWN2,2,FALSE),FALSE)),VLOOKUP(G95,NGPREVPRICES,2,FALSE),BJ95,VLOOKUP(G95,NGPREVPRICES,4,FALSE),HLOOKUP(D95,PREVVOLS,VLOOKUP(G95,MOVE_DOWN2,2,FALSE),FALSE),VLOOKUP(G95,NGPREVPRICES,3,FALSE),HLOOKUP(D95,Correllate,VLOOKUP(G95,CorMove,2,FALSE),FALSE),Q95-$BC$3,R95,$BI$5)*H95</f>
        <v>27675.955522219483</v>
      </c>
      <c r="BJ95" s="239">
        <f>I95</f>
        <v>-0.3</v>
      </c>
      <c r="BL95" t="str">
        <f>CONCATENATE(BB95,$BC$6)</f>
        <v>36800Curve Shift/Gamma</v>
      </c>
      <c r="BM95" t="str">
        <f t="shared" si="127"/>
        <v>36800Rho</v>
      </c>
      <c r="BN95" t="str">
        <f t="shared" si="128"/>
        <v>36800Drift</v>
      </c>
      <c r="BO95" t="str">
        <f t="shared" si="129"/>
        <v>36800Vega</v>
      </c>
      <c r="BP95" t="str">
        <f t="shared" si="130"/>
        <v>36800Theta</v>
      </c>
    </row>
    <row r="96" spans="1:68" ht="12" customHeight="1" x14ac:dyDescent="0.25">
      <c r="A96" s="395" t="s">
        <v>282</v>
      </c>
      <c r="B96" t="s">
        <v>253</v>
      </c>
      <c r="C96" t="s">
        <v>305</v>
      </c>
      <c r="D96" s="4" t="s">
        <v>7</v>
      </c>
      <c r="E96" t="s">
        <v>20</v>
      </c>
      <c r="F96" t="s">
        <v>1</v>
      </c>
      <c r="G96" s="5">
        <v>36861</v>
      </c>
      <c r="H96" s="130">
        <v>500000</v>
      </c>
      <c r="I96">
        <v>1</v>
      </c>
      <c r="J96" s="53">
        <f t="shared" ref="J96:J120" si="170">VLOOKUP(G96,NGPrices,2,FALSE)</f>
        <v>3.3519999999999999</v>
      </c>
      <c r="K96" s="7">
        <f t="shared" ref="K96:K120" si="171">HLOOKUP(D96,Prices,VLOOKUP(G96,move_down,2,FALSE),FALSE)</f>
        <v>1.27</v>
      </c>
      <c r="L96" s="4">
        <f t="shared" ref="L96:L120" si="172">K96+J96</f>
        <v>4.6219999999999999</v>
      </c>
      <c r="M96" s="159">
        <f t="shared" ref="M96:M120" si="173">VLOOKUP(G96,NGPrices,4,FALSE)</f>
        <v>6.6657003312999993E-2</v>
      </c>
      <c r="N96" s="4">
        <f t="shared" ref="N96:N120" si="174">VLOOKUP(G96,NGPrices,3,FALSE)</f>
        <v>0.43</v>
      </c>
      <c r="O96" s="4">
        <f t="shared" ref="O96:O120" si="175">HLOOKUP(D96,VOLS,VLOOKUP(G96,move_down,2,FALSE),FALSE)</f>
        <v>0.47299999999999998</v>
      </c>
      <c r="P96" s="9">
        <f t="shared" ref="P96:P120" si="176">HLOOKUP(D96,Correllate,VLOOKUP(G96,CorMove,2,FALSE),FALSE)</f>
        <v>0.95</v>
      </c>
      <c r="Q96" s="5">
        <f t="shared" si="122"/>
        <v>36859</v>
      </c>
      <c r="R96" s="4">
        <f t="shared" ref="R96:R120" si="177">IF(F96="P",0,1)</f>
        <v>0</v>
      </c>
      <c r="S96" s="160">
        <f>_xll.xSPRDOPT($L96,$J96,$I96,$M96,$O96,$N96,$P96,$Q96-$C$3,$R96,0)</f>
        <v>0.14869965960711118</v>
      </c>
      <c r="T96" s="161">
        <f>_xll.xSPRDOPT($L96,$J96,$I96,$M96,$O96,$N96,$P96,$Q96-$C$3,$R96,1)*H96</f>
        <v>-147386.0514724346</v>
      </c>
      <c r="U96" s="162">
        <f t="shared" ref="U96:U120" si="178">S96*H96</f>
        <v>74349.829803555593</v>
      </c>
      <c r="V96" s="161">
        <f>_xll.xSPRDOPT($L96,$J96,$I96,$M96,$O96,$N96,$P96,$Q96-$C$3,$R96,2)*H96</f>
        <v>164528.63122898998</v>
      </c>
      <c r="W96" s="161">
        <f t="shared" ref="W96:W120" si="179">+V96+T96</f>
        <v>17142.57975655538</v>
      </c>
      <c r="X96" s="51" t="str">
        <f t="shared" ref="X96:X120" si="180">CONCATENATE(G96,D96)</f>
        <v>36861IF-TRANSCO/Z6</v>
      </c>
      <c r="Y96" s="431">
        <f t="shared" ref="Y96:Y120" si="181">H96/10000</f>
        <v>50</v>
      </c>
      <c r="Z96" s="51"/>
      <c r="AA96" s="128">
        <f t="shared" si="131"/>
        <v>38899</v>
      </c>
      <c r="AB96" s="43">
        <f t="shared" si="156"/>
        <v>0</v>
      </c>
      <c r="AC96" s="43">
        <f t="shared" si="156"/>
        <v>0</v>
      </c>
      <c r="AD96" s="43">
        <f t="shared" si="156"/>
        <v>0</v>
      </c>
      <c r="AE96" s="43">
        <f t="shared" si="156"/>
        <v>0</v>
      </c>
      <c r="AF96" s="44">
        <f t="shared" si="156"/>
        <v>0</v>
      </c>
      <c r="AG96" s="44">
        <f t="shared" si="156"/>
        <v>0</v>
      </c>
      <c r="AH96" s="128">
        <f t="shared" si="132"/>
        <v>38899</v>
      </c>
      <c r="AI96" s="44">
        <f t="shared" si="137"/>
        <v>0</v>
      </c>
      <c r="AJ96" s="51"/>
      <c r="AK96" s="128">
        <f t="shared" si="133"/>
        <v>38899</v>
      </c>
      <c r="AL96" s="43">
        <f t="shared" si="157"/>
        <v>0</v>
      </c>
      <c r="AM96" s="43">
        <f t="shared" si="157"/>
        <v>0</v>
      </c>
      <c r="AN96" s="43">
        <f t="shared" si="157"/>
        <v>0</v>
      </c>
      <c r="AO96" s="43">
        <f t="shared" si="157"/>
        <v>0</v>
      </c>
      <c r="AP96" s="44">
        <f t="shared" si="157"/>
        <v>0</v>
      </c>
      <c r="AQ96" s="44">
        <f t="shared" si="157"/>
        <v>0</v>
      </c>
      <c r="AR96" s="128">
        <f t="shared" si="134"/>
        <v>38899</v>
      </c>
      <c r="AS96" s="44">
        <f t="shared" si="138"/>
        <v>0</v>
      </c>
      <c r="AT96" s="51"/>
      <c r="AU96" s="51"/>
      <c r="AV96" s="51"/>
      <c r="AW96" s="51"/>
      <c r="AX96" s="51"/>
      <c r="AY96" s="51"/>
      <c r="AZ96" s="51"/>
      <c r="BA96" s="51"/>
      <c r="BB96" s="142">
        <f t="shared" ref="BB96:BB108" si="182">G96</f>
        <v>36861</v>
      </c>
      <c r="BC96" s="238">
        <f>_xll.xSPRDOPT((VLOOKUP(G96,NGPrices,2,FALSE)+HLOOKUP(D96,Prices,VLOOKUP(G96,move_down,2,FALSE),FALSE)),VLOOKUP(G96,NGPrices,2,FALSE),I96,VLOOKUP(G96,NGPREVPRICES,4,FALSE),HLOOKUP(D96,PREVVOLS,VLOOKUP(G96,MOVE_DOWN2,2,FALSE),FALSE),VLOOKUP(G96,NGPREVPRICES,3,FALSE),HLOOKUP(D96,Correllate,VLOOKUP(G96,CorMove,2,FALSE),FALSE),Q96-$BC$3,R96,$BC$5)*H96-BI96</f>
        <v>-6229.9717700868932</v>
      </c>
      <c r="BD96" s="238">
        <f>_xll.xSPRDOPT((VLOOKUP(G96,NGPREVPRICES,2,FALSE)+HLOOKUP(D96,PREVCURVES,VLOOKUP(G96,MOVE_DOWN2,2,FALSE),FALSE)),VLOOKUP(G96,NGPREVPRICES,2,FALSE),BJ96,VLOOKUP(G96,NGPrices,4,FALSE),HLOOKUP(D96,PREVVOLS,VLOOKUP(G96,MOVE_DOWN2,2,FALSE),FALSE),VLOOKUP(G96,NGPREVPRICES,3,FALSE),HLOOKUP(D96,Correllate,VLOOKUP(G96,CorMove,2,FALSE),FALSE),Q96-$BC$3,R96,$BI$5)*H96-BI96</f>
        <v>5.4525208554841811</v>
      </c>
      <c r="BE96" s="10">
        <f t="shared" ref="BE96:BE108" si="183">(BI96/VLOOKUP(BB96,discount,3,FALSE))-(BI96/VLOOKUP(BB96,discount,2,FALSE))</f>
        <v>-15.024004367034649</v>
      </c>
      <c r="BF96" s="238">
        <f>_xll.xSPRDOPT((VLOOKUP(G96,NGPREVPRICES,2,FALSE)+HLOOKUP(D96,PREVCURVES,VLOOKUP(G96,MOVE_DOWN2,2,FALSE),FALSE)),VLOOKUP(G96,NGPREVPRICES,2,FALSE),BJ96,VLOOKUP(G96,NGPREVPRICES,4,FALSE),HLOOKUP(D96,VOLS,VLOOKUP(G96,move_down,2,FALSE),FALSE),VLOOKUP(G96,NGPrices,3,FALSE),HLOOKUP(D96,Correllate,VLOOKUP(G96,CorMove,2,FALSE),FALSE),Q96-$BC$3,R96,$BI$5)*H96-BI96</f>
        <v>1134.8355757740937</v>
      </c>
      <c r="BG96" s="238">
        <f>_xll.xSPRDOPT((VLOOKUP(G96,NGPREVPRICES,2,FALSE)+HLOOKUP(D96,PREVCURVES,VLOOKUP(G96,MOVE_DOWN2,2,FALSE),FALSE)),VLOOKUP(G96,NGPREVPRICES,2,FALSE),BJ96,VLOOKUP(G96,NGPREVPRICES,4,FALSE),HLOOKUP(D96,PREVVOLS,VLOOKUP(G96,MOVE_DOWN2,2,FALSE),FALSE),VLOOKUP(G96,NGPREVPRICES,3,FALSE),HLOOKUP(D96,Correllate,VLOOKUP(G96,CorMove,2,FALSE),FALSE),Q96-$C$3,R96,$BI$5)*H96-BI96</f>
        <v>-738.02774328824307</v>
      </c>
      <c r="BH96" s="238">
        <f t="shared" ref="BH96:BH108" si="184">SUM(BC96:BG96)</f>
        <v>-5842.735421112593</v>
      </c>
      <c r="BI96" s="238">
        <f>_xll.xSPRDOPT((VLOOKUP(G96,NGPREVPRICES,2,FALSE)+HLOOKUP(D96,PREVCURVES,VLOOKUP(G96,MOVE_DOWN2,2,FALSE),FALSE)),VLOOKUP(G96,NGPREVPRICES,2,FALSE),BJ96,VLOOKUP(G96,NGPREVPRICES,4,FALSE),HLOOKUP(D96,PREVVOLS,VLOOKUP(G96,MOVE_DOWN2,2,FALSE),FALSE),VLOOKUP(G96,NGPREVPRICES,3,FALSE),HLOOKUP(D96,Correllate,VLOOKUP(G96,CorMove,2,FALSE),FALSE),Q96-$BC$3,R96,$BI$5)*H96</f>
        <v>80191.935035575982</v>
      </c>
      <c r="BJ96" s="239">
        <f t="shared" ref="BJ96:BJ108" si="185">I96</f>
        <v>1</v>
      </c>
      <c r="BL96" t="str">
        <f t="shared" ref="BL96:BL108" si="186">CONCATENATE(BB96,$BC$6)</f>
        <v>36861Curve Shift/Gamma</v>
      </c>
      <c r="BM96" t="str">
        <f t="shared" si="127"/>
        <v>36861Rho</v>
      </c>
      <c r="BN96" t="str">
        <f t="shared" si="128"/>
        <v>36861Drift</v>
      </c>
      <c r="BO96" t="str">
        <f t="shared" si="129"/>
        <v>36861Vega</v>
      </c>
      <c r="BP96" t="str">
        <f t="shared" si="130"/>
        <v>36861Theta</v>
      </c>
    </row>
    <row r="97" spans="1:68" ht="12" customHeight="1" x14ac:dyDescent="0.25">
      <c r="A97" s="395" t="s">
        <v>282</v>
      </c>
      <c r="B97" t="s">
        <v>253</v>
      </c>
      <c r="C97" t="s">
        <v>305</v>
      </c>
      <c r="D97" s="4" t="s">
        <v>7</v>
      </c>
      <c r="E97" t="s">
        <v>20</v>
      </c>
      <c r="F97" t="s">
        <v>1</v>
      </c>
      <c r="G97" s="5">
        <v>36892</v>
      </c>
      <c r="H97" s="130">
        <v>500000</v>
      </c>
      <c r="I97">
        <v>1</v>
      </c>
      <c r="J97" s="53">
        <f t="shared" si="170"/>
        <v>3.3650000000000002</v>
      </c>
      <c r="K97" s="7">
        <f t="shared" si="171"/>
        <v>1.53</v>
      </c>
      <c r="L97" s="4">
        <f t="shared" si="172"/>
        <v>4.8950000000000005</v>
      </c>
      <c r="M97" s="159">
        <f t="shared" si="173"/>
        <v>6.7045194353832993E-2</v>
      </c>
      <c r="N97" s="4">
        <f t="shared" si="174"/>
        <v>0.4325</v>
      </c>
      <c r="O97" s="4">
        <f t="shared" si="175"/>
        <v>0.433</v>
      </c>
      <c r="P97" s="9">
        <f t="shared" si="176"/>
        <v>0.95</v>
      </c>
      <c r="Q97" s="5">
        <f t="shared" si="122"/>
        <v>36888</v>
      </c>
      <c r="R97" s="4">
        <f t="shared" si="177"/>
        <v>0</v>
      </c>
      <c r="S97" s="160">
        <f>_xll.xSPRDOPT($L97,$J97,$I97,$M97,$O97,$N97,$P97,$Q97-$C$3,$R97,0)</f>
        <v>6.3705909306697284E-2</v>
      </c>
      <c r="T97" s="161">
        <f>_xll.xSPRDOPT($L97,$J97,$I97,$M97,$O97,$N97,$P97,$Q97-$C$3,$R97,1)*H97</f>
        <v>-81266.694918547495</v>
      </c>
      <c r="U97" s="162">
        <f t="shared" si="178"/>
        <v>31852.954653348643</v>
      </c>
      <c r="V97" s="161">
        <f>_xll.xSPRDOPT($L97,$J97,$I97,$M97,$O97,$N97,$P97,$Q97-$C$3,$R97,2)*H97</f>
        <v>91969.007024849343</v>
      </c>
      <c r="W97" s="161">
        <f t="shared" si="179"/>
        <v>10702.312106301848</v>
      </c>
      <c r="X97" s="51" t="str">
        <f t="shared" si="180"/>
        <v>36892IF-TRANSCO/Z6</v>
      </c>
      <c r="Y97" s="431">
        <f t="shared" si="181"/>
        <v>50</v>
      </c>
      <c r="AA97" s="128">
        <f t="shared" si="131"/>
        <v>38930</v>
      </c>
      <c r="AB97" s="43">
        <f t="shared" ref="AB97:AG106" si="187">SUMIF($X:$X,CONCATENATE($AA97,AB$6),$T:$T)/10000</f>
        <v>0</v>
      </c>
      <c r="AC97" s="43">
        <f t="shared" si="187"/>
        <v>0</v>
      </c>
      <c r="AD97" s="43">
        <f t="shared" si="187"/>
        <v>0</v>
      </c>
      <c r="AE97" s="43">
        <f t="shared" si="187"/>
        <v>0</v>
      </c>
      <c r="AF97" s="44">
        <f t="shared" si="187"/>
        <v>0</v>
      </c>
      <c r="AG97" s="44">
        <f t="shared" si="187"/>
        <v>0</v>
      </c>
      <c r="AH97" s="128">
        <f t="shared" si="132"/>
        <v>38930</v>
      </c>
      <c r="AI97" s="44">
        <f t="shared" si="137"/>
        <v>0</v>
      </c>
      <c r="AJ97" s="51"/>
      <c r="AK97" s="128">
        <f t="shared" si="133"/>
        <v>38930</v>
      </c>
      <c r="AL97" s="43">
        <f t="shared" ref="AL97:AQ106" si="188">SUMIF($X:$X,CONCATENATE($AA97,AL$6),$W:$W)</f>
        <v>0</v>
      </c>
      <c r="AM97" s="43">
        <f t="shared" si="188"/>
        <v>0</v>
      </c>
      <c r="AN97" s="43">
        <f t="shared" si="188"/>
        <v>0</v>
      </c>
      <c r="AO97" s="43">
        <f t="shared" si="188"/>
        <v>0</v>
      </c>
      <c r="AP97" s="44">
        <f t="shared" si="188"/>
        <v>0</v>
      </c>
      <c r="AQ97" s="44">
        <f t="shared" si="188"/>
        <v>0</v>
      </c>
      <c r="AR97" s="128">
        <f t="shared" si="134"/>
        <v>38930</v>
      </c>
      <c r="AS97" s="44">
        <f t="shared" si="138"/>
        <v>0</v>
      </c>
      <c r="AT97" s="51"/>
      <c r="AU97" s="51"/>
      <c r="AV97" s="51"/>
      <c r="AW97" s="51"/>
      <c r="AX97" s="51"/>
      <c r="AY97" s="51"/>
      <c r="AZ97" s="51"/>
      <c r="BA97" s="51"/>
      <c r="BB97" s="142">
        <f t="shared" si="182"/>
        <v>36892</v>
      </c>
      <c r="BC97" s="238">
        <f>_xll.xSPRDOPT((VLOOKUP(G97,NGPrices,2,FALSE)+HLOOKUP(D97,Prices,VLOOKUP(G97,move_down,2,FALSE),FALSE)),VLOOKUP(G97,NGPrices,2,FALSE),I97,VLOOKUP(G97,NGPREVPRICES,4,FALSE),HLOOKUP(D97,PREVVOLS,VLOOKUP(G97,MOVE_DOWN2,2,FALSE),FALSE),VLOOKUP(G97,NGPREVPRICES,3,FALSE),HLOOKUP(D97,Correllate,VLOOKUP(G97,CorMove,2,FALSE),FALSE),Q97-$BC$3,R97,$BC$5)*H97-BI97</f>
        <v>-5684.0165377201047</v>
      </c>
      <c r="BD97" s="238">
        <f>_xll.xSPRDOPT((VLOOKUP(G97,NGPREVPRICES,2,FALSE)+HLOOKUP(D97,PREVCURVES,VLOOKUP(G97,MOVE_DOWN2,2,FALSE),FALSE)),VLOOKUP(G97,NGPREVPRICES,2,FALSE),BJ97,VLOOKUP(G97,NGPrices,4,FALSE),HLOOKUP(D97,PREVVOLS,VLOOKUP(G97,MOVE_DOWN2,2,FALSE),FALSE),VLOOKUP(G97,NGPREVPRICES,3,FALSE),HLOOKUP(D97,Correllate,VLOOKUP(G97,CorMove,2,FALSE),FALSE),Q97-$BC$3,R97,$BI$5)*H97-BI97</f>
        <v>4.0398074080439983</v>
      </c>
      <c r="BE97" s="10">
        <f t="shared" si="183"/>
        <v>-7.0269880679843482</v>
      </c>
      <c r="BF97" s="238">
        <f>_xll.xSPRDOPT((VLOOKUP(G97,NGPREVPRICES,2,FALSE)+HLOOKUP(D97,PREVCURVES,VLOOKUP(G97,MOVE_DOWN2,2,FALSE),FALSE)),VLOOKUP(G97,NGPREVPRICES,2,FALSE),BJ97,VLOOKUP(G97,NGPREVPRICES,4,FALSE),HLOOKUP(D97,VOLS,VLOOKUP(G97,move_down,2,FALSE),FALSE),VLOOKUP(G97,NGPrices,3,FALSE),HLOOKUP(D97,Correllate,VLOOKUP(G97,CorMove,2,FALSE),FALSE),Q97-$BC$3,R97,$BI$5)*H97-BI97</f>
        <v>1007.0654277285503</v>
      </c>
      <c r="BG97" s="238">
        <f>_xll.xSPRDOPT((VLOOKUP(G97,NGPREVPRICES,2,FALSE)+HLOOKUP(D97,PREVCURVES,VLOOKUP(G97,MOVE_DOWN2,2,FALSE),FALSE)),VLOOKUP(G97,NGPREVPRICES,2,FALSE),BJ97,VLOOKUP(G97,NGPREVPRICES,4,FALSE),HLOOKUP(D97,PREVVOLS,VLOOKUP(G97,MOVE_DOWN2,2,FALSE),FALSE),VLOOKUP(G97,NGPREVPRICES,3,FALSE),HLOOKUP(D97,Correllate,VLOOKUP(G97,CorMove,2,FALSE),FALSE),Q97-$C$3,R97,$BI$5)*H97-BI97</f>
        <v>-480.54282279219478</v>
      </c>
      <c r="BH97" s="238">
        <f t="shared" si="184"/>
        <v>-5160.4811134436895</v>
      </c>
      <c r="BI97" s="238">
        <f>_xll.xSPRDOPT((VLOOKUP(G97,NGPREVPRICES,2,FALSE)+HLOOKUP(D97,PREVCURVES,VLOOKUP(G97,MOVE_DOWN2,2,FALSE),FALSE)),VLOOKUP(G97,NGPREVPRICES,2,FALSE),BJ97,VLOOKUP(G97,NGPREVPRICES,4,FALSE),HLOOKUP(D97,PREVVOLS,VLOOKUP(G97,MOVE_DOWN2,2,FALSE),FALSE),VLOOKUP(G97,NGPREVPRICES,3,FALSE),HLOOKUP(D97,Correllate,VLOOKUP(G97,CorMove,2,FALSE),FALSE),Q97-$BC$3,R97,$BI$5)*H97</f>
        <v>37050.586894656844</v>
      </c>
      <c r="BJ97" s="239">
        <f t="shared" si="185"/>
        <v>1</v>
      </c>
      <c r="BL97" t="str">
        <f t="shared" si="186"/>
        <v>36892Curve Shift/Gamma</v>
      </c>
      <c r="BM97" t="str">
        <f t="shared" si="127"/>
        <v>36892Rho</v>
      </c>
      <c r="BN97" t="str">
        <f t="shared" si="128"/>
        <v>36892Drift</v>
      </c>
      <c r="BO97" t="str">
        <f t="shared" si="129"/>
        <v>36892Vega</v>
      </c>
      <c r="BP97" t="str">
        <f t="shared" si="130"/>
        <v>36892Theta</v>
      </c>
    </row>
    <row r="98" spans="1:68" ht="12" customHeight="1" x14ac:dyDescent="0.25">
      <c r="A98" s="395" t="s">
        <v>282</v>
      </c>
      <c r="B98" t="s">
        <v>253</v>
      </c>
      <c r="C98" t="s">
        <v>305</v>
      </c>
      <c r="D98" s="4" t="s">
        <v>7</v>
      </c>
      <c r="E98" t="s">
        <v>20</v>
      </c>
      <c r="F98" t="s">
        <v>1</v>
      </c>
      <c r="G98" s="5">
        <v>36923</v>
      </c>
      <c r="H98" s="130">
        <v>500000</v>
      </c>
      <c r="I98">
        <v>1</v>
      </c>
      <c r="J98" s="53">
        <f t="shared" si="170"/>
        <v>3.1909999999999998</v>
      </c>
      <c r="K98" s="7">
        <f t="shared" si="171"/>
        <v>1.49</v>
      </c>
      <c r="L98" s="4">
        <f t="shared" si="172"/>
        <v>4.681</v>
      </c>
      <c r="M98" s="159">
        <f t="shared" si="173"/>
        <v>6.7372913158926004E-2</v>
      </c>
      <c r="N98" s="4">
        <f t="shared" si="174"/>
        <v>0.42249999999999999</v>
      </c>
      <c r="O98" s="4">
        <f t="shared" si="175"/>
        <v>0.46500000000000002</v>
      </c>
      <c r="P98" s="9">
        <f t="shared" si="176"/>
        <v>0.95</v>
      </c>
      <c r="Q98" s="5">
        <f t="shared" si="122"/>
        <v>36921</v>
      </c>
      <c r="R98" s="4">
        <f t="shared" si="177"/>
        <v>0</v>
      </c>
      <c r="S98" s="160">
        <f>_xll.xSPRDOPT($L98,$J98,$I98,$M98,$O98,$N98,$P98,$Q98-$C$3,$R98,0)</f>
        <v>0.11149875602137516</v>
      </c>
      <c r="T98" s="161">
        <f>_xll.xSPRDOPT($L98,$J98,$I98,$M98,$O98,$N98,$P98,$Q98-$C$3,$R98,1)*H98</f>
        <v>-104899.3309094205</v>
      </c>
      <c r="U98" s="162">
        <f t="shared" si="178"/>
        <v>55749.378010687578</v>
      </c>
      <c r="V98" s="161">
        <f>_xll.xSPRDOPT($L98,$J98,$I98,$M98,$O98,$N98,$P98,$Q98-$C$3,$R98,2)*H98</f>
        <v>120696.08545237704</v>
      </c>
      <c r="W98" s="161">
        <f t="shared" si="179"/>
        <v>15796.754542956536</v>
      </c>
      <c r="X98" s="51" t="str">
        <f t="shared" si="180"/>
        <v>36923IF-TRANSCO/Z6</v>
      </c>
      <c r="Y98" s="431">
        <f t="shared" si="181"/>
        <v>50</v>
      </c>
      <c r="AA98" s="128">
        <f t="shared" si="131"/>
        <v>38961</v>
      </c>
      <c r="AB98" s="43">
        <f t="shared" si="187"/>
        <v>0</v>
      </c>
      <c r="AC98" s="43">
        <f t="shared" si="187"/>
        <v>0</v>
      </c>
      <c r="AD98" s="43">
        <f t="shared" si="187"/>
        <v>0</v>
      </c>
      <c r="AE98" s="43">
        <f t="shared" si="187"/>
        <v>0</v>
      </c>
      <c r="AF98" s="44">
        <f t="shared" si="187"/>
        <v>0</v>
      </c>
      <c r="AG98" s="44">
        <f t="shared" si="187"/>
        <v>0</v>
      </c>
      <c r="AH98" s="128">
        <f t="shared" si="132"/>
        <v>38961</v>
      </c>
      <c r="AI98" s="44">
        <f t="shared" si="137"/>
        <v>0</v>
      </c>
      <c r="AJ98" s="51"/>
      <c r="AK98" s="128">
        <f t="shared" si="133"/>
        <v>38961</v>
      </c>
      <c r="AL98" s="43">
        <f t="shared" si="188"/>
        <v>0</v>
      </c>
      <c r="AM98" s="43">
        <f t="shared" si="188"/>
        <v>0</v>
      </c>
      <c r="AN98" s="43">
        <f t="shared" si="188"/>
        <v>0</v>
      </c>
      <c r="AO98" s="43">
        <f t="shared" si="188"/>
        <v>0</v>
      </c>
      <c r="AP98" s="44">
        <f t="shared" si="188"/>
        <v>0</v>
      </c>
      <c r="AQ98" s="44">
        <f t="shared" si="188"/>
        <v>0</v>
      </c>
      <c r="AR98" s="128">
        <f t="shared" si="134"/>
        <v>38961</v>
      </c>
      <c r="AS98" s="44">
        <f t="shared" si="138"/>
        <v>0</v>
      </c>
      <c r="AT98" s="51"/>
      <c r="AU98" s="51"/>
      <c r="AV98" s="51"/>
      <c r="AW98" s="51"/>
      <c r="AX98" s="51"/>
      <c r="AY98" s="51"/>
      <c r="AZ98" s="51"/>
      <c r="BA98" s="51"/>
      <c r="BB98" s="142">
        <f t="shared" si="182"/>
        <v>36923</v>
      </c>
      <c r="BC98" s="238">
        <f>_xll.xSPRDOPT((VLOOKUP(G98,NGPrices,2,FALSE)+HLOOKUP(D98,Prices,VLOOKUP(G98,move_down,2,FALSE),FALSE)),VLOOKUP(G98,NGPrices,2,FALSE),I98,VLOOKUP(G98,NGPREVPRICES,4,FALSE),HLOOKUP(D98,PREVVOLS,VLOOKUP(G98,MOVE_DOWN2,2,FALSE),FALSE),VLOOKUP(G98,NGPREVPRICES,3,FALSE),HLOOKUP(D98,Correllate,VLOOKUP(G98,CorMove,2,FALSE),FALSE),Q98-$BC$3,R98,$BC$5)*H98-BI98</f>
        <v>-5800.4343944362263</v>
      </c>
      <c r="BD98" s="238">
        <f>_xll.xSPRDOPT((VLOOKUP(G98,NGPREVPRICES,2,FALSE)+HLOOKUP(D98,PREVCURVES,VLOOKUP(G98,MOVE_DOWN2,2,FALSE),FALSE)),VLOOKUP(G98,NGPREVPRICES,2,FALSE),BJ98,VLOOKUP(G98,NGPrices,4,FALSE),HLOOKUP(D98,PREVVOLS,VLOOKUP(G98,MOVE_DOWN2,2,FALSE),FALSE),VLOOKUP(G98,NGPREVPRICES,3,FALSE),HLOOKUP(D98,Correllate,VLOOKUP(G98,CorMove,2,FALSE),FALSE),Q98-$BC$3,R98,$BI$5)*H98-BI98</f>
        <v>10.350429113903374</v>
      </c>
      <c r="BE98" s="10">
        <f t="shared" si="183"/>
        <v>-11.605847448474378</v>
      </c>
      <c r="BF98" s="238">
        <f>_xll.xSPRDOPT((VLOOKUP(G98,NGPREVPRICES,2,FALSE)+HLOOKUP(D98,PREVCURVES,VLOOKUP(G98,MOVE_DOWN2,2,FALSE),FALSE)),VLOOKUP(G98,NGPREVPRICES,2,FALSE),BJ98,VLOOKUP(G98,NGPREVPRICES,4,FALSE),HLOOKUP(D98,VOLS,VLOOKUP(G98,move_down,2,FALSE),FALSE),VLOOKUP(G98,NGPrices,3,FALSE),HLOOKUP(D98,Correllate,VLOOKUP(G98,CorMove,2,FALSE),FALSE),Q98-$BC$3,R98,$BI$5)*H98-BI98</f>
        <v>1663.6877807991768</v>
      </c>
      <c r="BG98" s="238">
        <f>_xll.xSPRDOPT((VLOOKUP(G98,NGPREVPRICES,2,FALSE)+HLOOKUP(D98,PREVCURVES,VLOOKUP(G98,MOVE_DOWN2,2,FALSE),FALSE)),VLOOKUP(G98,NGPREVPRICES,2,FALSE),BJ98,VLOOKUP(G98,NGPREVPRICES,4,FALSE),HLOOKUP(D98,PREVVOLS,VLOOKUP(G98,MOVE_DOWN2,2,FALSE),FALSE),VLOOKUP(G98,NGPREVPRICES,3,FALSE),HLOOKUP(D98,Correllate,VLOOKUP(G98,CorMove,2,FALSE),FALSE),Q98-$C$3,R98,$BI$5)*H98-BI98</f>
        <v>-569.7451414038951</v>
      </c>
      <c r="BH98" s="238">
        <f t="shared" si="184"/>
        <v>-4707.7471733755156</v>
      </c>
      <c r="BI98" s="238">
        <f>_xll.xSPRDOPT((VLOOKUP(G98,NGPREVPRICES,2,FALSE)+HLOOKUP(D98,PREVCURVES,VLOOKUP(G98,MOVE_DOWN2,2,FALSE),FALSE)),VLOOKUP(G98,NGPREVPRICES,2,FALSE),BJ98,VLOOKUP(G98,NGPREVPRICES,4,FALSE),HLOOKUP(D98,PREVVOLS,VLOOKUP(G98,MOVE_DOWN2,2,FALSE),FALSE),VLOOKUP(G98,NGPREVPRICES,3,FALSE),HLOOKUP(D98,Correllate,VLOOKUP(G98,CorMove,2,FALSE),FALSE),Q98-$BC$3,R98,$BI$5)*H98</f>
        <v>60489.032941079655</v>
      </c>
      <c r="BJ98" s="239">
        <f t="shared" si="185"/>
        <v>1</v>
      </c>
      <c r="BL98" t="str">
        <f t="shared" si="186"/>
        <v>36923Curve Shift/Gamma</v>
      </c>
      <c r="BM98" t="str">
        <f t="shared" si="127"/>
        <v>36923Rho</v>
      </c>
      <c r="BN98" t="str">
        <f t="shared" si="128"/>
        <v>36923Drift</v>
      </c>
      <c r="BO98" t="str">
        <f t="shared" si="129"/>
        <v>36923Vega</v>
      </c>
      <c r="BP98" t="str">
        <f t="shared" si="130"/>
        <v>36923Theta</v>
      </c>
    </row>
    <row r="99" spans="1:68" ht="12" customHeight="1" x14ac:dyDescent="0.25">
      <c r="A99" t="s">
        <v>299</v>
      </c>
      <c r="B99" t="s">
        <v>253</v>
      </c>
      <c r="C99" t="s">
        <v>306</v>
      </c>
      <c r="D99" s="4" t="s">
        <v>7</v>
      </c>
      <c r="E99" t="s">
        <v>20</v>
      </c>
      <c r="F99" t="s">
        <v>1</v>
      </c>
      <c r="G99" s="5">
        <v>36831</v>
      </c>
      <c r="H99" s="130">
        <v>500000</v>
      </c>
      <c r="I99">
        <v>0.75</v>
      </c>
      <c r="J99" s="53">
        <f t="shared" si="170"/>
        <v>3.2650000000000001</v>
      </c>
      <c r="K99" s="7">
        <f t="shared" si="171"/>
        <v>0.70750000000000002</v>
      </c>
      <c r="L99" s="4">
        <f t="shared" si="172"/>
        <v>3.9725000000000001</v>
      </c>
      <c r="M99" s="159">
        <f t="shared" si="173"/>
        <v>6.6244373635737999E-2</v>
      </c>
      <c r="N99" s="4">
        <f t="shared" si="174"/>
        <v>0.42749999999999999</v>
      </c>
      <c r="O99" s="4">
        <f t="shared" si="175"/>
        <v>0.42799999999999999</v>
      </c>
      <c r="P99" s="9">
        <f t="shared" si="176"/>
        <v>0.95</v>
      </c>
      <c r="Q99" s="5">
        <f t="shared" si="122"/>
        <v>36829</v>
      </c>
      <c r="R99" s="4">
        <f t="shared" si="177"/>
        <v>0</v>
      </c>
      <c r="S99" s="160">
        <f>_xll.xSPRDOPT($L99,$J99,$I99,$M99,$O99,$N99,$P99,$Q99-$C$3,$R99,0)</f>
        <v>0.18598820786544734</v>
      </c>
      <c r="T99" s="161">
        <f>_xll.xSPRDOPT($L99,$J99,$I99,$M99,$O99,$N99,$P99,$Q99-$C$3,$R99,1)*H99</f>
        <v>-247925.65473510345</v>
      </c>
      <c r="U99" s="162">
        <f t="shared" si="178"/>
        <v>92994.103932723665</v>
      </c>
      <c r="V99" s="161">
        <f>_xll.xSPRDOPT($L99,$J99,$I99,$M99,$O99,$N99,$P99,$Q99-$C$3,$R99,2)*H99</f>
        <v>264055.18350265932</v>
      </c>
      <c r="W99" s="161">
        <f t="shared" si="179"/>
        <v>16129.528767555865</v>
      </c>
      <c r="X99" s="51" t="str">
        <f t="shared" si="180"/>
        <v>36831IF-TRANSCO/Z6</v>
      </c>
      <c r="Y99" s="431">
        <f t="shared" si="181"/>
        <v>50</v>
      </c>
      <c r="AA99" s="128">
        <f t="shared" si="131"/>
        <v>38991</v>
      </c>
      <c r="AB99" s="43">
        <f t="shared" si="187"/>
        <v>0</v>
      </c>
      <c r="AC99" s="43">
        <f t="shared" si="187"/>
        <v>0</v>
      </c>
      <c r="AD99" s="43">
        <f t="shared" si="187"/>
        <v>0</v>
      </c>
      <c r="AE99" s="43">
        <f t="shared" si="187"/>
        <v>0</v>
      </c>
      <c r="AF99" s="44">
        <f t="shared" si="187"/>
        <v>0</v>
      </c>
      <c r="AG99" s="44">
        <f t="shared" si="187"/>
        <v>0</v>
      </c>
      <c r="AH99" s="128">
        <f t="shared" si="132"/>
        <v>38991</v>
      </c>
      <c r="AI99" s="44">
        <f t="shared" si="137"/>
        <v>0</v>
      </c>
      <c r="AJ99" s="51"/>
      <c r="AK99" s="128">
        <f t="shared" si="133"/>
        <v>38991</v>
      </c>
      <c r="AL99" s="43">
        <f t="shared" si="188"/>
        <v>0</v>
      </c>
      <c r="AM99" s="43">
        <f t="shared" si="188"/>
        <v>0</v>
      </c>
      <c r="AN99" s="43">
        <f t="shared" si="188"/>
        <v>0</v>
      </c>
      <c r="AO99" s="43">
        <f t="shared" si="188"/>
        <v>0</v>
      </c>
      <c r="AP99" s="44">
        <f t="shared" si="188"/>
        <v>0</v>
      </c>
      <c r="AQ99" s="44">
        <f t="shared" si="188"/>
        <v>0</v>
      </c>
      <c r="AR99" s="128">
        <f t="shared" si="134"/>
        <v>38991</v>
      </c>
      <c r="AS99" s="44">
        <f t="shared" si="138"/>
        <v>0</v>
      </c>
      <c r="AT99" s="51"/>
      <c r="AU99" s="51"/>
      <c r="AV99" s="51"/>
      <c r="AW99" s="51"/>
      <c r="AX99" s="51"/>
      <c r="AY99" s="51"/>
      <c r="AZ99" s="51"/>
      <c r="BA99" s="51"/>
      <c r="BB99" s="142">
        <f t="shared" si="182"/>
        <v>36831</v>
      </c>
      <c r="BC99" s="238">
        <f>_xll.xSPRDOPT((VLOOKUP(G99,NGPrices,2,FALSE)+HLOOKUP(D99,Prices,VLOOKUP(G99,move_down,2,FALSE),FALSE)),VLOOKUP(G99,NGPrices,2,FALSE),I99,VLOOKUP(G99,NGPREVPRICES,4,FALSE),HLOOKUP(D99,PREVVOLS,VLOOKUP(G99,MOVE_DOWN2,2,FALSE),FALSE),VLOOKUP(G99,NGPREVPRICES,3,FALSE),HLOOKUP(D99,Correllate,VLOOKUP(G99,CorMove,2,FALSE),FALSE),Q99-$BC$3,R99,$BC$5)*H99-BI99</f>
        <v>1056.8413683653635</v>
      </c>
      <c r="BD99" s="238">
        <f>_xll.xSPRDOPT((VLOOKUP(G99,NGPREVPRICES,2,FALSE)+HLOOKUP(D99,PREVCURVES,VLOOKUP(G99,MOVE_DOWN2,2,FALSE),FALSE)),VLOOKUP(G99,NGPREVPRICES,2,FALSE),BJ99,VLOOKUP(G99,NGPrices,4,FALSE),HLOOKUP(D99,PREVVOLS,VLOOKUP(G99,MOVE_DOWN2,2,FALSE),FALSE),VLOOKUP(G99,NGPREVPRICES,3,FALSE),HLOOKUP(D99,Correllate,VLOOKUP(G99,CorMove,2,FALSE),FALSE),Q99-$BC$3,R99,$BI$5)*H99-BI99</f>
        <v>3.6348357252427377</v>
      </c>
      <c r="BE99" s="10">
        <f t="shared" si="183"/>
        <v>-16.941741376576829</v>
      </c>
      <c r="BF99" s="238">
        <f>_xll.xSPRDOPT((VLOOKUP(G99,NGPREVPRICES,2,FALSE)+HLOOKUP(D99,PREVCURVES,VLOOKUP(G99,MOVE_DOWN2,2,FALSE),FALSE)),VLOOKUP(G99,NGPREVPRICES,2,FALSE),BJ99,VLOOKUP(G99,NGPREVPRICES,4,FALSE),HLOOKUP(D99,VOLS,VLOOKUP(G99,move_down,2,FALSE),FALSE),VLOOKUP(G99,NGPrices,3,FALSE),HLOOKUP(D99,Correllate,VLOOKUP(G99,CorMove,2,FALSE),FALSE),Q99-$BC$3,R99,$BI$5)*H99-BI99</f>
        <v>953.7101420078543</v>
      </c>
      <c r="BG99" s="238">
        <f>_xll.xSPRDOPT((VLOOKUP(G99,NGPREVPRICES,2,FALSE)+HLOOKUP(D99,PREVCURVES,VLOOKUP(G99,MOVE_DOWN2,2,FALSE),FALSE)),VLOOKUP(G99,NGPREVPRICES,2,FALSE),BJ99,VLOOKUP(G99,NGPREVPRICES,4,FALSE),HLOOKUP(D99,PREVVOLS,VLOOKUP(G99,MOVE_DOWN2,2,FALSE),FALSE),VLOOKUP(G99,NGPREVPRICES,3,FALSE),HLOOKUP(D99,Correllate,VLOOKUP(G99,CorMove,2,FALSE),FALSE),Q99-$C$3,R99,$BI$5)*H99-BI99</f>
        <v>-561.48116980669147</v>
      </c>
      <c r="BH99" s="238">
        <f t="shared" si="184"/>
        <v>1435.7634349151922</v>
      </c>
      <c r="BI99" s="238">
        <f>_xll.xSPRDOPT((VLOOKUP(G99,NGPREVPRICES,2,FALSE)+HLOOKUP(D99,PREVCURVES,VLOOKUP(G99,MOVE_DOWN2,2,FALSE),FALSE)),VLOOKUP(G99,NGPREVPRICES,2,FALSE),BJ99,VLOOKUP(G99,NGPREVPRICES,4,FALSE),HLOOKUP(D99,PREVVOLS,VLOOKUP(G99,MOVE_DOWN2,2,FALSE),FALSE),VLOOKUP(G99,NGPREVPRICES,3,FALSE),HLOOKUP(D99,Correllate,VLOOKUP(G99,CorMove,2,FALSE),FALSE),Q99-$BC$3,R99,$BI$5)*H99</f>
        <v>91543.185972685125</v>
      </c>
      <c r="BJ99" s="239">
        <f t="shared" si="185"/>
        <v>0.75</v>
      </c>
      <c r="BL99" t="str">
        <f t="shared" si="186"/>
        <v>36831Curve Shift/Gamma</v>
      </c>
      <c r="BM99" t="str">
        <f t="shared" si="127"/>
        <v>36831Rho</v>
      </c>
      <c r="BN99" t="str">
        <f t="shared" si="128"/>
        <v>36831Drift</v>
      </c>
      <c r="BO99" t="str">
        <f t="shared" si="129"/>
        <v>36831Vega</v>
      </c>
      <c r="BP99" t="str">
        <f t="shared" si="130"/>
        <v>36831Theta</v>
      </c>
    </row>
    <row r="100" spans="1:68" ht="12" customHeight="1" x14ac:dyDescent="0.25">
      <c r="A100" t="s">
        <v>299</v>
      </c>
      <c r="B100" t="s">
        <v>253</v>
      </c>
      <c r="C100" t="s">
        <v>306</v>
      </c>
      <c r="D100" s="4" t="s">
        <v>7</v>
      </c>
      <c r="E100" t="s">
        <v>20</v>
      </c>
      <c r="F100" t="s">
        <v>1</v>
      </c>
      <c r="G100" s="5">
        <v>36861</v>
      </c>
      <c r="H100" s="130">
        <v>500000</v>
      </c>
      <c r="I100">
        <v>0.75</v>
      </c>
      <c r="J100" s="53">
        <f t="shared" si="170"/>
        <v>3.3519999999999999</v>
      </c>
      <c r="K100" s="7">
        <f t="shared" si="171"/>
        <v>1.27</v>
      </c>
      <c r="L100" s="4">
        <f t="shared" si="172"/>
        <v>4.6219999999999999</v>
      </c>
      <c r="M100" s="159">
        <f t="shared" si="173"/>
        <v>6.6657003312999993E-2</v>
      </c>
      <c r="N100" s="4">
        <f t="shared" si="174"/>
        <v>0.43</v>
      </c>
      <c r="O100" s="4">
        <f t="shared" si="175"/>
        <v>0.47299999999999998</v>
      </c>
      <c r="P100" s="9">
        <f t="shared" si="176"/>
        <v>0.95</v>
      </c>
      <c r="Q100" s="5">
        <f t="shared" si="122"/>
        <v>36859</v>
      </c>
      <c r="R100" s="4">
        <f t="shared" si="177"/>
        <v>0</v>
      </c>
      <c r="S100" s="160">
        <f>_xll.xSPRDOPT($L100,$J100,$I100,$M100,$O100,$N100,$P100,$Q100-$C$3,$R100,0)</f>
        <v>6.6042709098111274E-2</v>
      </c>
      <c r="T100" s="161">
        <f>_xll.xSPRDOPT($L100,$J100,$I100,$M100,$O100,$N100,$P100,$Q100-$C$3,$R100,1)*H100</f>
        <v>-83942.507510888157</v>
      </c>
      <c r="U100" s="162">
        <f t="shared" si="178"/>
        <v>33021.354549055635</v>
      </c>
      <c r="V100" s="161">
        <f>_xll.xSPRDOPT($L100,$J100,$I100,$M100,$O100,$N100,$P100,$Q100-$C$3,$R100,2)*H100</f>
        <v>97296.889979202824</v>
      </c>
      <c r="W100" s="161">
        <f t="shared" si="179"/>
        <v>13354.382468314667</v>
      </c>
      <c r="X100" s="51" t="str">
        <f t="shared" si="180"/>
        <v>36861IF-TRANSCO/Z6</v>
      </c>
      <c r="Y100" s="431">
        <f t="shared" si="181"/>
        <v>50</v>
      </c>
      <c r="Z100" s="51"/>
      <c r="AA100" s="128">
        <f t="shared" si="131"/>
        <v>39022</v>
      </c>
      <c r="AB100" s="43">
        <f t="shared" si="187"/>
        <v>0</v>
      </c>
      <c r="AC100" s="43">
        <f t="shared" si="187"/>
        <v>0</v>
      </c>
      <c r="AD100" s="43">
        <f t="shared" si="187"/>
        <v>0</v>
      </c>
      <c r="AE100" s="43">
        <f t="shared" si="187"/>
        <v>0</v>
      </c>
      <c r="AF100" s="44">
        <f t="shared" si="187"/>
        <v>0</v>
      </c>
      <c r="AG100" s="44">
        <f t="shared" si="187"/>
        <v>0</v>
      </c>
      <c r="AH100" s="128">
        <f t="shared" si="132"/>
        <v>39022</v>
      </c>
      <c r="AI100" s="44">
        <f t="shared" si="137"/>
        <v>0</v>
      </c>
      <c r="AJ100" s="51"/>
      <c r="AK100" s="128">
        <f t="shared" si="133"/>
        <v>39022</v>
      </c>
      <c r="AL100" s="43">
        <f t="shared" si="188"/>
        <v>0</v>
      </c>
      <c r="AM100" s="43">
        <f t="shared" si="188"/>
        <v>0</v>
      </c>
      <c r="AN100" s="43">
        <f t="shared" si="188"/>
        <v>0</v>
      </c>
      <c r="AO100" s="43">
        <f t="shared" si="188"/>
        <v>0</v>
      </c>
      <c r="AP100" s="44">
        <f t="shared" si="188"/>
        <v>0</v>
      </c>
      <c r="AQ100" s="44">
        <f t="shared" si="188"/>
        <v>0</v>
      </c>
      <c r="AR100" s="128">
        <f t="shared" si="134"/>
        <v>39022</v>
      </c>
      <c r="AS100" s="44">
        <f t="shared" si="138"/>
        <v>0</v>
      </c>
      <c r="AT100" s="51"/>
      <c r="AU100" s="51"/>
      <c r="AV100" s="51"/>
      <c r="AW100" s="51"/>
      <c r="AX100" s="51"/>
      <c r="AY100" s="51"/>
      <c r="AZ100" s="51"/>
      <c r="BA100" s="51"/>
      <c r="BB100" s="142">
        <f t="shared" si="182"/>
        <v>36861</v>
      </c>
      <c r="BC100" s="238">
        <f>_xll.xSPRDOPT((VLOOKUP(G100,NGPrices,2,FALSE)+HLOOKUP(D100,Prices,VLOOKUP(G100,move_down,2,FALSE),FALSE)),VLOOKUP(G100,NGPrices,2,FALSE),I100,VLOOKUP(G100,NGPREVPRICES,4,FALSE),HLOOKUP(D100,PREVVOLS,VLOOKUP(G100,MOVE_DOWN2,2,FALSE),FALSE),VLOOKUP(G100,NGPREVPRICES,3,FALSE),HLOOKUP(D100,Correllate,VLOOKUP(G100,CorMove,2,FALSE),FALSE),Q100-$BC$3,R100,$BC$5)*H100-BI100</f>
        <v>-3357.1804103018621</v>
      </c>
      <c r="BD100" s="238">
        <f>_xll.xSPRDOPT((VLOOKUP(G100,NGPREVPRICES,2,FALSE)+HLOOKUP(D100,PREVCURVES,VLOOKUP(G100,MOVE_DOWN2,2,FALSE),FALSE)),VLOOKUP(G100,NGPREVPRICES,2,FALSE),BJ100,VLOOKUP(G100,NGPrices,4,FALSE),HLOOKUP(D100,PREVVOLS,VLOOKUP(G100,MOVE_DOWN2,2,FALSE),FALSE),VLOOKUP(G100,NGPREVPRICES,3,FALSE),HLOOKUP(D100,Correllate,VLOOKUP(G100,CorMove,2,FALSE),FALSE),Q100-$BC$3,R100,$BI$5)*H100-BI100</f>
        <v>2.455973741656635</v>
      </c>
      <c r="BE100" s="10">
        <f t="shared" si="183"/>
        <v>-6.7672478831300396</v>
      </c>
      <c r="BF100" s="238">
        <f>_xll.xSPRDOPT((VLOOKUP(G100,NGPREVPRICES,2,FALSE)+HLOOKUP(D100,PREVCURVES,VLOOKUP(G100,MOVE_DOWN2,2,FALSE),FALSE)),VLOOKUP(G100,NGPREVPRICES,2,FALSE),BJ100,VLOOKUP(G100,NGPREVPRICES,4,FALSE),HLOOKUP(D100,VOLS,VLOOKUP(G100,move_down,2,FALSE),FALSE),VLOOKUP(G100,NGPrices,3,FALSE),HLOOKUP(D100,Correllate,VLOOKUP(G100,CorMove,2,FALSE),FALSE),Q100-$BC$3,R100,$BI$5)*H100-BI100</f>
        <v>813.34972642488719</v>
      </c>
      <c r="BG100" s="238">
        <f>_xll.xSPRDOPT((VLOOKUP(G100,NGPREVPRICES,2,FALSE)+HLOOKUP(D100,PREVCURVES,VLOOKUP(G100,MOVE_DOWN2,2,FALSE),FALSE)),VLOOKUP(G100,NGPREVPRICES,2,FALSE),BJ100,VLOOKUP(G100,NGPREVPRICES,4,FALSE),HLOOKUP(D100,PREVVOLS,VLOOKUP(G100,MOVE_DOWN2,2,FALSE),FALSE),VLOOKUP(G100,NGPREVPRICES,3,FALSE),HLOOKUP(D100,Correllate,VLOOKUP(G100,CorMove,2,FALSE),FALSE),Q100-$C$3,R100,$BI$5)*H100-BI100</f>
        <v>-539.25121309833048</v>
      </c>
      <c r="BH100" s="238">
        <f t="shared" si="184"/>
        <v>-3087.3931711167788</v>
      </c>
      <c r="BI100" s="238">
        <f>_xll.xSPRDOPT((VLOOKUP(G100,NGPREVPRICES,2,FALSE)+HLOOKUP(D100,PREVCURVES,VLOOKUP(G100,MOVE_DOWN2,2,FALSE),FALSE)),VLOOKUP(G100,NGPREVPRICES,2,FALSE),BJ100,VLOOKUP(G100,NGPREVPRICES,4,FALSE),HLOOKUP(D100,PREVVOLS,VLOOKUP(G100,MOVE_DOWN2,2,FALSE),FALSE),VLOOKUP(G100,NGPREVPRICES,3,FALSE),HLOOKUP(D100,Correllate,VLOOKUP(G100,CorMove,2,FALSE),FALSE),Q100-$BC$3,R100,$BI$5)*H100</f>
        <v>36120.776415950182</v>
      </c>
      <c r="BJ100" s="239">
        <f t="shared" si="185"/>
        <v>0.75</v>
      </c>
      <c r="BL100" t="str">
        <f t="shared" si="186"/>
        <v>36861Curve Shift/Gamma</v>
      </c>
      <c r="BM100" t="str">
        <f t="shared" si="127"/>
        <v>36861Rho</v>
      </c>
      <c r="BN100" t="str">
        <f t="shared" si="128"/>
        <v>36861Drift</v>
      </c>
      <c r="BO100" t="str">
        <f t="shared" si="129"/>
        <v>36861Vega</v>
      </c>
      <c r="BP100" t="str">
        <f t="shared" si="130"/>
        <v>36861Theta</v>
      </c>
    </row>
    <row r="101" spans="1:68" ht="12" customHeight="1" x14ac:dyDescent="0.25">
      <c r="A101" t="s">
        <v>299</v>
      </c>
      <c r="B101" t="s">
        <v>253</v>
      </c>
      <c r="C101" t="s">
        <v>306</v>
      </c>
      <c r="D101" s="4" t="s">
        <v>7</v>
      </c>
      <c r="E101" t="s">
        <v>20</v>
      </c>
      <c r="F101" t="s">
        <v>1</v>
      </c>
      <c r="G101" s="5">
        <v>36892</v>
      </c>
      <c r="H101" s="130">
        <v>500000</v>
      </c>
      <c r="I101">
        <v>0.75</v>
      </c>
      <c r="J101" s="53">
        <f t="shared" si="170"/>
        <v>3.3650000000000002</v>
      </c>
      <c r="K101" s="7">
        <f t="shared" si="171"/>
        <v>1.53</v>
      </c>
      <c r="L101" s="4">
        <f t="shared" si="172"/>
        <v>4.8950000000000005</v>
      </c>
      <c r="M101" s="159">
        <f t="shared" si="173"/>
        <v>6.7045194353832993E-2</v>
      </c>
      <c r="N101" s="4">
        <f t="shared" si="174"/>
        <v>0.4325</v>
      </c>
      <c r="O101" s="4">
        <f t="shared" si="175"/>
        <v>0.433</v>
      </c>
      <c r="P101" s="9">
        <f t="shared" si="176"/>
        <v>0.95</v>
      </c>
      <c r="Q101" s="5">
        <f t="shared" si="122"/>
        <v>36888</v>
      </c>
      <c r="R101" s="4">
        <f t="shared" si="177"/>
        <v>0</v>
      </c>
      <c r="S101" s="160">
        <f>_xll.xSPRDOPT($L101,$J101,$I101,$M101,$O101,$N101,$P101,$Q101-$C$3,$R101,0)</f>
        <v>2.0689915268424675E-2</v>
      </c>
      <c r="T101" s="161">
        <f>_xll.xSPRDOPT($L101,$J101,$I101,$M101,$O101,$N101,$P101,$Q101-$C$3,$R101,1)*H101</f>
        <v>-34362.562785452021</v>
      </c>
      <c r="U101" s="162">
        <f t="shared" si="178"/>
        <v>10344.957634212336</v>
      </c>
      <c r="V101" s="161">
        <f>_xll.xSPRDOPT($L101,$J101,$I101,$M101,$O101,$N101,$P101,$Q101-$C$3,$R101,2)*H101</f>
        <v>40777.091354060438</v>
      </c>
      <c r="W101" s="161">
        <f t="shared" si="179"/>
        <v>6414.5285686084171</v>
      </c>
      <c r="X101" s="51" t="str">
        <f t="shared" si="180"/>
        <v>36892IF-TRANSCO/Z6</v>
      </c>
      <c r="Y101" s="431">
        <f t="shared" si="181"/>
        <v>50</v>
      </c>
      <c r="Z101" s="51"/>
      <c r="AA101" s="128">
        <f t="shared" si="131"/>
        <v>39052</v>
      </c>
      <c r="AB101" s="43">
        <f t="shared" si="187"/>
        <v>0</v>
      </c>
      <c r="AC101" s="43">
        <f t="shared" si="187"/>
        <v>0</v>
      </c>
      <c r="AD101" s="43">
        <f t="shared" si="187"/>
        <v>0</v>
      </c>
      <c r="AE101" s="43">
        <f t="shared" si="187"/>
        <v>0</v>
      </c>
      <c r="AF101" s="44">
        <f t="shared" si="187"/>
        <v>0</v>
      </c>
      <c r="AG101" s="44">
        <f t="shared" si="187"/>
        <v>0</v>
      </c>
      <c r="AH101" s="128">
        <f t="shared" si="132"/>
        <v>39052</v>
      </c>
      <c r="AI101" s="44">
        <f t="shared" si="137"/>
        <v>0</v>
      </c>
      <c r="AJ101" s="51"/>
      <c r="AK101" s="128">
        <f t="shared" si="133"/>
        <v>39052</v>
      </c>
      <c r="AL101" s="43">
        <f t="shared" si="188"/>
        <v>0</v>
      </c>
      <c r="AM101" s="43">
        <f t="shared" si="188"/>
        <v>0</v>
      </c>
      <c r="AN101" s="43">
        <f t="shared" si="188"/>
        <v>0</v>
      </c>
      <c r="AO101" s="43">
        <f t="shared" si="188"/>
        <v>0</v>
      </c>
      <c r="AP101" s="44">
        <f t="shared" si="188"/>
        <v>0</v>
      </c>
      <c r="AQ101" s="44">
        <f t="shared" si="188"/>
        <v>0</v>
      </c>
      <c r="AR101" s="128">
        <f t="shared" si="134"/>
        <v>39052</v>
      </c>
      <c r="AS101" s="44">
        <f t="shared" si="138"/>
        <v>0</v>
      </c>
      <c r="AT101" s="51"/>
      <c r="AU101" s="51"/>
      <c r="AV101" s="51"/>
      <c r="AW101" s="51"/>
      <c r="AX101" s="51"/>
      <c r="AY101" s="51"/>
      <c r="AZ101" s="51"/>
      <c r="BA101" s="51"/>
      <c r="BB101" s="142">
        <f t="shared" si="182"/>
        <v>36892</v>
      </c>
      <c r="BC101" s="238">
        <f>_xll.xSPRDOPT((VLOOKUP(G101,NGPrices,2,FALSE)+HLOOKUP(D101,Prices,VLOOKUP(G101,move_down,2,FALSE),FALSE)),VLOOKUP(G101,NGPrices,2,FALSE),I101,VLOOKUP(G101,NGPREVPRICES,4,FALSE),HLOOKUP(D101,PREVVOLS,VLOOKUP(G101,MOVE_DOWN2,2,FALSE),FALSE),VLOOKUP(G101,NGPREVPRICES,3,FALSE),HLOOKUP(D101,Correllate,VLOOKUP(G101,CorMove,2,FALSE),FALSE),Q101-$BC$3,R101,$BC$5)*H101-BI101</f>
        <v>-2324.7089420233024</v>
      </c>
      <c r="BD101" s="238">
        <f>_xll.xSPRDOPT((VLOOKUP(G101,NGPREVPRICES,2,FALSE)+HLOOKUP(D101,PREVCURVES,VLOOKUP(G101,MOVE_DOWN2,2,FALSE),FALSE)),VLOOKUP(G101,NGPREVPRICES,2,FALSE),BJ101,VLOOKUP(G101,NGPrices,4,FALSE),HLOOKUP(D101,PREVVOLS,VLOOKUP(G101,MOVE_DOWN2,2,FALSE),FALSE),VLOOKUP(G101,NGPREVPRICES,3,FALSE),HLOOKUP(D101,Correllate,VLOOKUP(G101,CorMove,2,FALSE),FALSE),Q101-$BC$3,R101,$BI$5)*H101-BI101</f>
        <v>1.3547405894878466</v>
      </c>
      <c r="BE101" s="10">
        <f t="shared" si="183"/>
        <v>-2.3564850979273615</v>
      </c>
      <c r="BF101" s="238">
        <f>_xll.xSPRDOPT((VLOOKUP(G101,NGPREVPRICES,2,FALSE)+HLOOKUP(D101,PREVCURVES,VLOOKUP(G101,MOVE_DOWN2,2,FALSE),FALSE)),VLOOKUP(G101,NGPREVPRICES,2,FALSE),BJ101,VLOOKUP(G101,NGPREVPRICES,4,FALSE),HLOOKUP(D101,VOLS,VLOOKUP(G101,move_down,2,FALSE),FALSE),VLOOKUP(G101,NGPrices,3,FALSE),HLOOKUP(D101,Correllate,VLOOKUP(G101,CorMove,2,FALSE),FALSE),Q101-$BC$3,R101,$BI$5)*H101-BI101</f>
        <v>545.57063908666714</v>
      </c>
      <c r="BG101" s="238">
        <f>_xll.xSPRDOPT((VLOOKUP(G101,NGPREVPRICES,2,FALSE)+HLOOKUP(D101,PREVCURVES,VLOOKUP(G101,MOVE_DOWN2,2,FALSE),FALSE)),VLOOKUP(G101,NGPREVPRICES,2,FALSE),BJ101,VLOOKUP(G101,NGPREVPRICES,4,FALSE),HLOOKUP(D101,PREVVOLS,VLOOKUP(G101,MOVE_DOWN2,2,FALSE),FALSE),VLOOKUP(G101,NGPREVPRICES,3,FALSE),HLOOKUP(D101,Correllate,VLOOKUP(G101,CorMove,2,FALSE),FALSE),Q101-$C$3,R101,$BI$5)*H101-BI101</f>
        <v>-261.98949741340584</v>
      </c>
      <c r="BH101" s="238">
        <f t="shared" si="184"/>
        <v>-2042.1295448584806</v>
      </c>
      <c r="BI101" s="238">
        <f>_xll.xSPRDOPT((VLOOKUP(G101,NGPREVPRICES,2,FALSE)+HLOOKUP(D101,PREVCURVES,VLOOKUP(G101,MOVE_DOWN2,2,FALSE),FALSE)),VLOOKUP(G101,NGPREVPRICES,2,FALSE),BJ101,VLOOKUP(G101,NGPREVPRICES,4,FALSE),HLOOKUP(D101,PREVVOLS,VLOOKUP(G101,MOVE_DOWN2,2,FALSE),FALSE),VLOOKUP(G101,NGPREVPRICES,3,FALSE),HLOOKUP(D101,Correllate,VLOOKUP(G101,CorMove,2,FALSE),FALSE),Q101-$BC$3,R101,$BI$5)*H101</f>
        <v>12424.833376977418</v>
      </c>
      <c r="BJ101" s="239">
        <f t="shared" si="185"/>
        <v>0.75</v>
      </c>
      <c r="BL101" t="str">
        <f t="shared" si="186"/>
        <v>36892Curve Shift/Gamma</v>
      </c>
      <c r="BM101" t="str">
        <f t="shared" si="127"/>
        <v>36892Rho</v>
      </c>
      <c r="BN101" t="str">
        <f t="shared" si="128"/>
        <v>36892Drift</v>
      </c>
      <c r="BO101" t="str">
        <f t="shared" si="129"/>
        <v>36892Vega</v>
      </c>
      <c r="BP101" t="str">
        <f t="shared" si="130"/>
        <v>36892Theta</v>
      </c>
    </row>
    <row r="102" spans="1:68" ht="12" customHeight="1" x14ac:dyDescent="0.25">
      <c r="A102" t="s">
        <v>299</v>
      </c>
      <c r="B102" t="s">
        <v>253</v>
      </c>
      <c r="C102" t="s">
        <v>306</v>
      </c>
      <c r="D102" s="4" t="s">
        <v>7</v>
      </c>
      <c r="E102" t="s">
        <v>20</v>
      </c>
      <c r="F102" t="s">
        <v>1</v>
      </c>
      <c r="G102" s="5">
        <v>36923</v>
      </c>
      <c r="H102" s="130">
        <v>500000</v>
      </c>
      <c r="I102">
        <v>0.75</v>
      </c>
      <c r="J102" s="53">
        <f t="shared" si="170"/>
        <v>3.1909999999999998</v>
      </c>
      <c r="K102" s="7">
        <f t="shared" si="171"/>
        <v>1.49</v>
      </c>
      <c r="L102" s="4">
        <f t="shared" si="172"/>
        <v>4.681</v>
      </c>
      <c r="M102" s="159">
        <f t="shared" si="173"/>
        <v>6.7372913158926004E-2</v>
      </c>
      <c r="N102" s="4">
        <f t="shared" si="174"/>
        <v>0.42249999999999999</v>
      </c>
      <c r="O102" s="4">
        <f t="shared" si="175"/>
        <v>0.46500000000000002</v>
      </c>
      <c r="P102" s="9">
        <f t="shared" si="176"/>
        <v>0.95</v>
      </c>
      <c r="Q102" s="5">
        <f t="shared" si="122"/>
        <v>36921</v>
      </c>
      <c r="R102" s="4">
        <f t="shared" si="177"/>
        <v>0</v>
      </c>
      <c r="S102" s="160">
        <f>_xll.xSPRDOPT($L102,$J102,$I102,$M102,$O102,$N102,$P102,$Q102-$C$3,$R102,0)</f>
        <v>4.7348188369674915E-2</v>
      </c>
      <c r="T102" s="161">
        <f>_xll.xSPRDOPT($L102,$J102,$I102,$M102,$O102,$N102,$P102,$Q102-$C$3,$R102,1)*H102</f>
        <v>-56410.925189326001</v>
      </c>
      <c r="U102" s="162">
        <f t="shared" si="178"/>
        <v>23674.094184837457</v>
      </c>
      <c r="V102" s="161">
        <f>_xll.xSPRDOPT($L102,$J102,$I102,$M102,$O102,$N102,$P102,$Q102-$C$3,$R102,2)*H102</f>
        <v>67684.161983733109</v>
      </c>
      <c r="W102" s="161">
        <f t="shared" si="179"/>
        <v>11273.236794407108</v>
      </c>
      <c r="X102" s="51" t="str">
        <f t="shared" si="180"/>
        <v>36923IF-TRANSCO/Z6</v>
      </c>
      <c r="Y102" s="431">
        <f t="shared" si="181"/>
        <v>50</v>
      </c>
      <c r="Z102" s="51"/>
      <c r="AA102" s="128">
        <f t="shared" si="131"/>
        <v>39083</v>
      </c>
      <c r="AB102" s="43">
        <f t="shared" si="187"/>
        <v>0</v>
      </c>
      <c r="AC102" s="43">
        <f t="shared" si="187"/>
        <v>0</v>
      </c>
      <c r="AD102" s="43">
        <f t="shared" si="187"/>
        <v>0</v>
      </c>
      <c r="AE102" s="43">
        <f t="shared" si="187"/>
        <v>0</v>
      </c>
      <c r="AF102" s="44">
        <f t="shared" si="187"/>
        <v>0</v>
      </c>
      <c r="AG102" s="44">
        <f t="shared" si="187"/>
        <v>0</v>
      </c>
      <c r="AH102" s="128">
        <f t="shared" si="132"/>
        <v>39083</v>
      </c>
      <c r="AI102" s="44">
        <f t="shared" si="137"/>
        <v>0</v>
      </c>
      <c r="AJ102" s="51"/>
      <c r="AK102" s="128">
        <f t="shared" si="133"/>
        <v>39083</v>
      </c>
      <c r="AL102" s="43">
        <f t="shared" si="188"/>
        <v>0</v>
      </c>
      <c r="AM102" s="43">
        <f t="shared" si="188"/>
        <v>0</v>
      </c>
      <c r="AN102" s="43">
        <f t="shared" si="188"/>
        <v>0</v>
      </c>
      <c r="AO102" s="43">
        <f t="shared" si="188"/>
        <v>0</v>
      </c>
      <c r="AP102" s="44">
        <f t="shared" si="188"/>
        <v>0</v>
      </c>
      <c r="AQ102" s="44">
        <f t="shared" si="188"/>
        <v>0</v>
      </c>
      <c r="AR102" s="128">
        <f t="shared" si="134"/>
        <v>39083</v>
      </c>
      <c r="AS102" s="44">
        <f t="shared" si="138"/>
        <v>0</v>
      </c>
      <c r="AT102" s="51"/>
      <c r="AU102" s="51"/>
      <c r="AV102" s="51"/>
      <c r="AW102" s="51"/>
      <c r="AX102" s="51"/>
      <c r="AY102" s="51"/>
      <c r="AZ102" s="51"/>
      <c r="BA102" s="51"/>
      <c r="BB102" s="142">
        <f t="shared" si="182"/>
        <v>36923</v>
      </c>
      <c r="BC102" s="238">
        <f>_xll.xSPRDOPT((VLOOKUP(G102,NGPrices,2,FALSE)+HLOOKUP(D102,Prices,VLOOKUP(G102,move_down,2,FALSE),FALSE)),VLOOKUP(G102,NGPrices,2,FALSE),I102,VLOOKUP(G102,NGPREVPRICES,4,FALSE),HLOOKUP(D102,PREVVOLS,VLOOKUP(G102,MOVE_DOWN2,2,FALSE),FALSE),VLOOKUP(G102,NGPREVPRICES,3,FALSE),HLOOKUP(D102,Correllate,VLOOKUP(G102,CorMove,2,FALSE),FALSE),Q102-$BC$3,R102,$BC$5)*H102-BI102</f>
        <v>-2997.2113969423117</v>
      </c>
      <c r="BD102" s="238">
        <f>_xll.xSPRDOPT((VLOOKUP(G102,NGPREVPRICES,2,FALSE)+HLOOKUP(D102,PREVCURVES,VLOOKUP(G102,MOVE_DOWN2,2,FALSE),FALSE)),VLOOKUP(G102,NGPREVPRICES,2,FALSE),BJ102,VLOOKUP(G102,NGPrices,4,FALSE),HLOOKUP(D102,PREVVOLS,VLOOKUP(G102,MOVE_DOWN2,2,FALSE),FALSE),VLOOKUP(G102,NGPREVPRICES,3,FALSE),HLOOKUP(D102,Correllate,VLOOKUP(G102,CorMove,2,FALSE),FALSE),Q102-$BC$3,R102,$BI$5)*H102-BI102</f>
        <v>4.4499524579623539</v>
      </c>
      <c r="BE102" s="10">
        <f t="shared" si="183"/>
        <v>-4.9896935493597994</v>
      </c>
      <c r="BF102" s="238">
        <f>_xll.xSPRDOPT((VLOOKUP(G102,NGPREVPRICES,2,FALSE)+HLOOKUP(D102,PREVCURVES,VLOOKUP(G102,MOVE_DOWN2,2,FALSE),FALSE)),VLOOKUP(G102,NGPREVPRICES,2,FALSE),BJ102,VLOOKUP(G102,NGPREVPRICES,4,FALSE),HLOOKUP(D102,VOLS,VLOOKUP(G102,move_down,2,FALSE),FALSE),VLOOKUP(G102,NGPrices,3,FALSE),HLOOKUP(D102,Correllate,VLOOKUP(G102,CorMove,2,FALSE),FALSE),Q102-$BC$3,R102,$BI$5)*H102-BI102</f>
        <v>1089.6701459299766</v>
      </c>
      <c r="BG102" s="238">
        <f>_xll.xSPRDOPT((VLOOKUP(G102,NGPREVPRICES,2,FALSE)+HLOOKUP(D102,PREVCURVES,VLOOKUP(G102,MOVE_DOWN2,2,FALSE),FALSE)),VLOOKUP(G102,NGPREVPRICES,2,FALSE),BJ102,VLOOKUP(G102,NGPREVPRICES,4,FALSE),HLOOKUP(D102,PREVVOLS,VLOOKUP(G102,MOVE_DOWN2,2,FALSE),FALSE),VLOOKUP(G102,NGPREVPRICES,3,FALSE),HLOOKUP(D102,Correllate,VLOOKUP(G102,CorMove,2,FALSE),FALSE),Q102-$C$3,R102,$BI$5)*H102-BI102</f>
        <v>-377.36784716335751</v>
      </c>
      <c r="BH102" s="238">
        <f t="shared" si="184"/>
        <v>-2285.4488392670901</v>
      </c>
      <c r="BI102" s="238">
        <f>_xll.xSPRDOPT((VLOOKUP(G102,NGPREVPRICES,2,FALSE)+HLOOKUP(D102,PREVCURVES,VLOOKUP(G102,MOVE_DOWN2,2,FALSE),FALSE)),VLOOKUP(G102,NGPREVPRICES,2,FALSE),BJ102,VLOOKUP(G102,NGPREVPRICES,4,FALSE),HLOOKUP(D102,PREVVOLS,VLOOKUP(G102,MOVE_DOWN2,2,FALSE),FALSE),VLOOKUP(G102,NGPREVPRICES,3,FALSE),HLOOKUP(D102,Correllate,VLOOKUP(G102,CorMove,2,FALSE),FALSE),Q102-$BC$3,R102,$BI$5)*H102</f>
        <v>26006.005921847653</v>
      </c>
      <c r="BJ102" s="239">
        <f t="shared" si="185"/>
        <v>0.75</v>
      </c>
      <c r="BL102" t="str">
        <f t="shared" si="186"/>
        <v>36923Curve Shift/Gamma</v>
      </c>
      <c r="BM102" t="str">
        <f t="shared" si="127"/>
        <v>36923Rho</v>
      </c>
      <c r="BN102" t="str">
        <f t="shared" si="128"/>
        <v>36923Drift</v>
      </c>
      <c r="BO102" t="str">
        <f t="shared" si="129"/>
        <v>36923Vega</v>
      </c>
      <c r="BP102" t="str">
        <f t="shared" si="130"/>
        <v>36923Theta</v>
      </c>
    </row>
    <row r="103" spans="1:68" ht="12" customHeight="1" x14ac:dyDescent="0.25">
      <c r="A103" t="s">
        <v>299</v>
      </c>
      <c r="B103" t="s">
        <v>253</v>
      </c>
      <c r="C103" t="s">
        <v>306</v>
      </c>
      <c r="D103" s="4" t="s">
        <v>7</v>
      </c>
      <c r="E103" t="s">
        <v>20</v>
      </c>
      <c r="F103" t="s">
        <v>1</v>
      </c>
      <c r="G103" s="5">
        <v>36951</v>
      </c>
      <c r="H103" s="130">
        <v>500000</v>
      </c>
      <c r="I103">
        <v>0.75</v>
      </c>
      <c r="J103" s="53">
        <f t="shared" si="170"/>
        <v>3.0169999999999999</v>
      </c>
      <c r="K103" s="7">
        <f t="shared" si="171"/>
        <v>0.86</v>
      </c>
      <c r="L103" s="4">
        <f t="shared" si="172"/>
        <v>3.8769999999999998</v>
      </c>
      <c r="M103" s="159">
        <f t="shared" si="173"/>
        <v>6.7668917271508006E-2</v>
      </c>
      <c r="N103" s="4">
        <f t="shared" si="174"/>
        <v>0.375</v>
      </c>
      <c r="O103" s="4">
        <f t="shared" si="175"/>
        <v>0.41299999999999998</v>
      </c>
      <c r="P103" s="9">
        <f t="shared" si="176"/>
        <v>0.95</v>
      </c>
      <c r="Q103" s="5">
        <f t="shared" ref="Q103:Q134" si="189">WORKDAY(G103,-2)</f>
        <v>36949</v>
      </c>
      <c r="R103" s="4">
        <f t="shared" si="177"/>
        <v>0</v>
      </c>
      <c r="S103" s="160">
        <f>_xll.xSPRDOPT($L103,$J103,$I103,$M103,$O103,$N103,$P103,$Q103-$C$3,$R103,0)</f>
        <v>0.16466798050310161</v>
      </c>
      <c r="T103" s="161">
        <f>_xll.xSPRDOPT($L103,$J103,$I103,$M103,$O103,$N103,$P103,$Q103-$C$3,$R103,1)*H103</f>
        <v>-181754.90297735436</v>
      </c>
      <c r="U103" s="162">
        <f t="shared" si="178"/>
        <v>82333.9902515508</v>
      </c>
      <c r="V103" s="161">
        <f>_xll.xSPRDOPT($L103,$J103,$I103,$M103,$O103,$N103,$P103,$Q103-$C$3,$R103,2)*H103</f>
        <v>201308.73229380304</v>
      </c>
      <c r="W103" s="161">
        <f t="shared" si="179"/>
        <v>19553.829316448682</v>
      </c>
      <c r="X103" s="51" t="str">
        <f t="shared" si="180"/>
        <v>36951IF-TRANSCO/Z6</v>
      </c>
      <c r="Y103" s="431">
        <f t="shared" si="181"/>
        <v>50</v>
      </c>
      <c r="Z103" s="51"/>
      <c r="AA103" s="128">
        <f t="shared" si="131"/>
        <v>39114</v>
      </c>
      <c r="AB103" s="43">
        <f t="shared" si="187"/>
        <v>0</v>
      </c>
      <c r="AC103" s="43">
        <f t="shared" si="187"/>
        <v>0</v>
      </c>
      <c r="AD103" s="43">
        <f t="shared" si="187"/>
        <v>0</v>
      </c>
      <c r="AE103" s="43">
        <f t="shared" si="187"/>
        <v>0</v>
      </c>
      <c r="AF103" s="44">
        <f t="shared" si="187"/>
        <v>0</v>
      </c>
      <c r="AG103" s="44">
        <f t="shared" si="187"/>
        <v>0</v>
      </c>
      <c r="AH103" s="128">
        <f t="shared" si="132"/>
        <v>39114</v>
      </c>
      <c r="AI103" s="44">
        <f t="shared" si="137"/>
        <v>0</v>
      </c>
      <c r="AJ103" s="51"/>
      <c r="AK103" s="128">
        <f t="shared" si="133"/>
        <v>39114</v>
      </c>
      <c r="AL103" s="43">
        <f t="shared" si="188"/>
        <v>0</v>
      </c>
      <c r="AM103" s="43">
        <f t="shared" si="188"/>
        <v>0</v>
      </c>
      <c r="AN103" s="43">
        <f t="shared" si="188"/>
        <v>0</v>
      </c>
      <c r="AO103" s="43">
        <f t="shared" si="188"/>
        <v>0</v>
      </c>
      <c r="AP103" s="44">
        <f t="shared" si="188"/>
        <v>0</v>
      </c>
      <c r="AQ103" s="44">
        <f t="shared" si="188"/>
        <v>0</v>
      </c>
      <c r="AR103" s="128">
        <f t="shared" si="134"/>
        <v>39114</v>
      </c>
      <c r="AS103" s="44">
        <f t="shared" si="138"/>
        <v>0</v>
      </c>
      <c r="AT103" s="51"/>
      <c r="AU103" s="51"/>
      <c r="AV103" s="51"/>
      <c r="AW103" s="51"/>
      <c r="AX103" s="51"/>
      <c r="AY103" s="51"/>
      <c r="AZ103" s="51"/>
      <c r="BA103" s="51"/>
      <c r="BB103" s="142">
        <f t="shared" si="182"/>
        <v>36951</v>
      </c>
      <c r="BC103" s="238">
        <f>_xll.xSPRDOPT((VLOOKUP(G103,NGPrices,2,FALSE)+HLOOKUP(D103,Prices,VLOOKUP(G103,move_down,2,FALSE),FALSE)),VLOOKUP(G103,NGPrices,2,FALSE),I103,VLOOKUP(G103,NGPREVPRICES,4,FALSE),HLOOKUP(D103,PREVVOLS,VLOOKUP(G103,MOVE_DOWN2,2,FALSE),FALSE),VLOOKUP(G103,NGPREVPRICES,3,FALSE),HLOOKUP(D103,Correllate,VLOOKUP(G103,CorMove,2,FALSE),FALSE),Q103-$BC$3,R103,$BC$5)*H103-BI103</f>
        <v>22448.560898885589</v>
      </c>
      <c r="BD103" s="238">
        <f>_xll.xSPRDOPT((VLOOKUP(G103,NGPREVPRICES,2,FALSE)+HLOOKUP(D103,PREVCURVES,VLOOKUP(G103,MOVE_DOWN2,2,FALSE),FALSE)),VLOOKUP(G103,NGPREVPRICES,2,FALSE),BJ103,VLOOKUP(G103,NGPrices,4,FALSE),HLOOKUP(D103,PREVVOLS,VLOOKUP(G103,MOVE_DOWN2,2,FALSE),FALSE),VLOOKUP(G103,NGPREVPRICES,3,FALSE),HLOOKUP(D103,Correllate,VLOOKUP(G103,CorMove,2,FALSE),FALSE),Q103-$BC$3,R103,$BI$5)*H103-BI103</f>
        <v>13.799450055477791</v>
      </c>
      <c r="BE103" s="10">
        <f t="shared" si="183"/>
        <v>-11.373846021240752</v>
      </c>
      <c r="BF103" s="238">
        <f>_xll.xSPRDOPT((VLOOKUP(G103,NGPREVPRICES,2,FALSE)+HLOOKUP(D103,PREVCURVES,VLOOKUP(G103,MOVE_DOWN2,2,FALSE),FALSE)),VLOOKUP(G103,NGPREVPRICES,2,FALSE),BJ103,VLOOKUP(G103,NGPREVPRICES,4,FALSE),HLOOKUP(D103,VOLS,VLOOKUP(G103,move_down,2,FALSE),FALSE),VLOOKUP(G103,NGPrices,3,FALSE),HLOOKUP(D103,Correllate,VLOOKUP(G103,CorMove,2,FALSE),FALSE),Q103-$BC$3,R103,$BI$5)*H103-BI103</f>
        <v>1557.1035138388688</v>
      </c>
      <c r="BG103" s="238">
        <f>_xll.xSPRDOPT((VLOOKUP(G103,NGPREVPRICES,2,FALSE)+HLOOKUP(D103,PREVCURVES,VLOOKUP(G103,MOVE_DOWN2,2,FALSE),FALSE)),VLOOKUP(G103,NGPREVPRICES,2,FALSE),BJ103,VLOOKUP(G103,NGPREVPRICES,4,FALSE),HLOOKUP(D103,PREVVOLS,VLOOKUP(G103,MOVE_DOWN2,2,FALSE),FALSE),VLOOKUP(G103,NGPREVPRICES,3,FALSE),HLOOKUP(D103,Correllate,VLOOKUP(G103,CorMove,2,FALSE),FALSE),Q103-$C$3,R103,$BI$5)*H103-BI103</f>
        <v>-423.49940870911087</v>
      </c>
      <c r="BH103" s="238">
        <f t="shared" si="184"/>
        <v>23584.590608049584</v>
      </c>
      <c r="BI103" s="238">
        <f>_xll.xSPRDOPT((VLOOKUP(G103,NGPREVPRICES,2,FALSE)+HLOOKUP(D103,PREVCURVES,VLOOKUP(G103,MOVE_DOWN2,2,FALSE),FALSE)),VLOOKUP(G103,NGPREVPRICES,2,FALSE),BJ103,VLOOKUP(G103,NGPREVPRICES,4,FALSE),HLOOKUP(D103,PREVVOLS,VLOOKUP(G103,MOVE_DOWN2,2,FALSE),FALSE),VLOOKUP(G103,NGPREVPRICES,3,FALSE),HLOOKUP(D103,Correllate,VLOOKUP(G103,CorMove,2,FALSE),FALSE),Q103-$BC$3,R103,$BI$5)*H103</f>
        <v>58661.879333436249</v>
      </c>
      <c r="BJ103" s="239">
        <f t="shared" si="185"/>
        <v>0.75</v>
      </c>
      <c r="BL103" t="str">
        <f t="shared" si="186"/>
        <v>36951Curve Shift/Gamma</v>
      </c>
      <c r="BM103" t="str">
        <f t="shared" si="127"/>
        <v>36951Rho</v>
      </c>
      <c r="BN103" t="str">
        <f t="shared" si="128"/>
        <v>36951Drift</v>
      </c>
      <c r="BO103" t="str">
        <f t="shared" si="129"/>
        <v>36951Vega</v>
      </c>
      <c r="BP103" t="str">
        <f t="shared" si="130"/>
        <v>36951Theta</v>
      </c>
    </row>
    <row r="104" spans="1:68" ht="12" customHeight="1" x14ac:dyDescent="0.25">
      <c r="A104" s="395" t="s">
        <v>282</v>
      </c>
      <c r="B104" t="s">
        <v>253</v>
      </c>
      <c r="C104" t="s">
        <v>307</v>
      </c>
      <c r="D104" s="4" t="s">
        <v>7</v>
      </c>
      <c r="E104" t="s">
        <v>20</v>
      </c>
      <c r="F104" t="s">
        <v>21</v>
      </c>
      <c r="G104" s="5">
        <v>36831</v>
      </c>
      <c r="H104" s="130">
        <v>-500000</v>
      </c>
      <c r="I104">
        <v>1.1499999999999999</v>
      </c>
      <c r="J104" s="53">
        <f t="shared" si="170"/>
        <v>3.2650000000000001</v>
      </c>
      <c r="K104" s="7">
        <f t="shared" si="171"/>
        <v>0.70750000000000002</v>
      </c>
      <c r="L104" s="4">
        <f t="shared" si="172"/>
        <v>3.9725000000000001</v>
      </c>
      <c r="M104" s="159">
        <f t="shared" si="173"/>
        <v>6.6244373635737999E-2</v>
      </c>
      <c r="N104" s="4">
        <f t="shared" si="174"/>
        <v>0.42749999999999999</v>
      </c>
      <c r="O104" s="4">
        <f t="shared" si="175"/>
        <v>0.42799999999999999</v>
      </c>
      <c r="P104" s="9">
        <f t="shared" si="176"/>
        <v>0.95</v>
      </c>
      <c r="Q104" s="5">
        <f t="shared" si="189"/>
        <v>36829</v>
      </c>
      <c r="R104" s="4">
        <f t="shared" si="177"/>
        <v>1</v>
      </c>
      <c r="S104" s="160">
        <f>_xll.xSPRDOPT($L104,$J104,$I104,$M104,$O104,$N104,$P104,$Q104-$C$3,$R104,0)</f>
        <v>4.6131080179801491E-2</v>
      </c>
      <c r="T104" s="161">
        <f>_xll.xSPRDOPT($L104,$J104,$I104,$M104,$O104,$N104,$P104,$Q104-$C$3,$R104,1)*H104</f>
        <v>-97741.511251206393</v>
      </c>
      <c r="U104" s="162">
        <f t="shared" si="178"/>
        <v>-23065.540089900747</v>
      </c>
      <c r="V104" s="161">
        <f>_xll.xSPRDOPT($L104,$J104,$I104,$M104,$O104,$N104,$P104,$Q104-$C$3,$R104,2)*H104</f>
        <v>87573.308518455917</v>
      </c>
      <c r="W104" s="161">
        <f t="shared" si="179"/>
        <v>-10168.202732750477</v>
      </c>
      <c r="X104" s="51" t="str">
        <f t="shared" si="180"/>
        <v>36831IF-TRANSCO/Z6</v>
      </c>
      <c r="Y104" s="431">
        <f t="shared" si="181"/>
        <v>-50</v>
      </c>
      <c r="AA104" s="128">
        <f t="shared" ref="AA104:AA135" si="190">EOMONTH(AA103,0)+1</f>
        <v>39142</v>
      </c>
      <c r="AB104" s="43">
        <f t="shared" si="187"/>
        <v>0</v>
      </c>
      <c r="AC104" s="43">
        <f t="shared" si="187"/>
        <v>0</v>
      </c>
      <c r="AD104" s="43">
        <f t="shared" si="187"/>
        <v>0</v>
      </c>
      <c r="AE104" s="43">
        <f t="shared" si="187"/>
        <v>0</v>
      </c>
      <c r="AF104" s="44">
        <f t="shared" si="187"/>
        <v>0</v>
      </c>
      <c r="AG104" s="44">
        <f t="shared" si="187"/>
        <v>0</v>
      </c>
      <c r="AH104" s="128">
        <f t="shared" ref="AH104:AH135" si="191">EOMONTH(AH103,0)+1</f>
        <v>39142</v>
      </c>
      <c r="AI104" s="44">
        <f t="shared" si="137"/>
        <v>0</v>
      </c>
      <c r="AJ104" s="51"/>
      <c r="AK104" s="128">
        <f t="shared" ref="AK104:AK135" si="192">EOMONTH(AK103,0)+1</f>
        <v>39142</v>
      </c>
      <c r="AL104" s="43">
        <f t="shared" si="188"/>
        <v>0</v>
      </c>
      <c r="AM104" s="43">
        <f t="shared" si="188"/>
        <v>0</v>
      </c>
      <c r="AN104" s="43">
        <f t="shared" si="188"/>
        <v>0</v>
      </c>
      <c r="AO104" s="43">
        <f t="shared" si="188"/>
        <v>0</v>
      </c>
      <c r="AP104" s="44">
        <f t="shared" si="188"/>
        <v>0</v>
      </c>
      <c r="AQ104" s="44">
        <f t="shared" si="188"/>
        <v>0</v>
      </c>
      <c r="AR104" s="128">
        <f t="shared" ref="AR104:AR135" si="193">EOMONTH(AR103,0)+1</f>
        <v>39142</v>
      </c>
      <c r="AS104" s="44">
        <f t="shared" si="138"/>
        <v>0</v>
      </c>
      <c r="AT104" s="51"/>
      <c r="AU104" s="51"/>
      <c r="AV104" s="51"/>
      <c r="AW104" s="51"/>
      <c r="AX104" s="51"/>
      <c r="AY104" s="51"/>
      <c r="AZ104" s="51"/>
      <c r="BA104" s="51"/>
      <c r="BB104" s="142">
        <f t="shared" si="182"/>
        <v>36831</v>
      </c>
      <c r="BC104" s="238">
        <f>_xll.xSPRDOPT((VLOOKUP(G104,NGPrices,2,FALSE)+HLOOKUP(D104,Prices,VLOOKUP(G104,move_down,2,FALSE),FALSE)),VLOOKUP(G104,NGPrices,2,FALSE),I104,VLOOKUP(G104,NGPREVPRICES,4,FALSE),HLOOKUP(D104,PREVVOLS,VLOOKUP(G104,MOVE_DOWN2,2,FALSE),FALSE),VLOOKUP(G104,NGPREVPRICES,3,FALSE),HLOOKUP(D104,Correllate,VLOOKUP(G104,CorMove,2,FALSE),FALSE),Q104-$BC$3,R104,$BC$5)*H104-BI104</f>
        <v>-661.10792033238249</v>
      </c>
      <c r="BD104" s="238">
        <f>_xll.xSPRDOPT((VLOOKUP(G104,NGPREVPRICES,2,FALSE)+HLOOKUP(D104,PREVCURVES,VLOOKUP(G104,MOVE_DOWN2,2,FALSE),FALSE)),VLOOKUP(G104,NGPREVPRICES,2,FALSE),BJ104,VLOOKUP(G104,NGPrices,4,FALSE),HLOOKUP(D104,PREVVOLS,VLOOKUP(G104,MOVE_DOWN2,2,FALSE),FALSE),VLOOKUP(G104,NGPREVPRICES,3,FALSE),HLOOKUP(D104,Correllate,VLOOKUP(G104,CorMove,2,FALSE),FALSE),Q104-$BC$3,R104,$BI$5)*H104-BI104</f>
        <v>-0.87893444373548846</v>
      </c>
      <c r="BE104" s="10">
        <f t="shared" si="183"/>
        <v>4.0966583247463859</v>
      </c>
      <c r="BF104" s="238">
        <f>_xll.xSPRDOPT((VLOOKUP(G104,NGPREVPRICES,2,FALSE)+HLOOKUP(D104,PREVCURVES,VLOOKUP(G104,MOVE_DOWN2,2,FALSE),FALSE)),VLOOKUP(G104,NGPREVPRICES,2,FALSE),BJ104,VLOOKUP(G104,NGPREVPRICES,4,FALSE),HLOOKUP(D104,VOLS,VLOOKUP(G104,move_down,2,FALSE),FALSE),VLOOKUP(G104,NGPrices,3,FALSE),HLOOKUP(D104,Correllate,VLOOKUP(G104,CorMove,2,FALSE),FALSE),Q104-$BC$3,R104,$BI$5)*H104-BI104</f>
        <v>-713.28682274524544</v>
      </c>
      <c r="BG104" s="238">
        <f>_xll.xSPRDOPT((VLOOKUP(G104,NGPREVPRICES,2,FALSE)+HLOOKUP(D104,PREVCURVES,VLOOKUP(G104,MOVE_DOWN2,2,FALSE),FALSE)),VLOOKUP(G104,NGPREVPRICES,2,FALSE),BJ104,VLOOKUP(G104,NGPREVPRICES,4,FALSE),HLOOKUP(D104,PREVVOLS,VLOOKUP(G104,MOVE_DOWN2,2,FALSE),FALSE),VLOOKUP(G104,NGPREVPRICES,3,FALSE),HLOOKUP(D104,Correllate,VLOOKUP(G104,CorMove,2,FALSE),FALSE),Q104-$C$3,R104,$BI$5)*H104-BI104</f>
        <v>441.54718211525687</v>
      </c>
      <c r="BH104" s="238">
        <f t="shared" si="184"/>
        <v>-929.62983708136017</v>
      </c>
      <c r="BI104" s="238">
        <f>_xll.xSPRDOPT((VLOOKUP(G104,NGPREVPRICES,2,FALSE)+HLOOKUP(D104,PREVCURVES,VLOOKUP(G104,MOVE_DOWN2,2,FALSE),FALSE)),VLOOKUP(G104,NGPREVPRICES,2,FALSE),BJ104,VLOOKUP(G104,NGPREVPRICES,4,FALSE),HLOOKUP(D104,PREVVOLS,VLOOKUP(G104,MOVE_DOWN2,2,FALSE),FALSE),VLOOKUP(G104,NGPREVPRICES,3,FALSE),HLOOKUP(D104,Correllate,VLOOKUP(G104,CorMove,2,FALSE),FALSE),Q104-$BC$3,R104,$BI$5)*H104</f>
        <v>-22135.927267037201</v>
      </c>
      <c r="BJ104" s="239">
        <f t="shared" si="185"/>
        <v>1.1499999999999999</v>
      </c>
      <c r="BL104" t="str">
        <f t="shared" si="186"/>
        <v>36831Curve Shift/Gamma</v>
      </c>
      <c r="BM104" t="str">
        <f t="shared" si="127"/>
        <v>36831Rho</v>
      </c>
      <c r="BN104" t="str">
        <f t="shared" si="128"/>
        <v>36831Drift</v>
      </c>
      <c r="BO104" t="str">
        <f t="shared" si="129"/>
        <v>36831Vega</v>
      </c>
      <c r="BP104" t="str">
        <f t="shared" si="130"/>
        <v>36831Theta</v>
      </c>
    </row>
    <row r="105" spans="1:68" ht="12" customHeight="1" x14ac:dyDescent="0.25">
      <c r="A105" s="395" t="s">
        <v>282</v>
      </c>
      <c r="B105" t="s">
        <v>253</v>
      </c>
      <c r="C105" t="s">
        <v>307</v>
      </c>
      <c r="D105" s="4" t="s">
        <v>7</v>
      </c>
      <c r="E105" t="s">
        <v>20</v>
      </c>
      <c r="F105" t="s">
        <v>21</v>
      </c>
      <c r="G105" s="5">
        <v>36861</v>
      </c>
      <c r="H105" s="130">
        <v>-500000</v>
      </c>
      <c r="I105">
        <v>1.1499999999999999</v>
      </c>
      <c r="J105" s="53">
        <f t="shared" si="170"/>
        <v>3.3519999999999999</v>
      </c>
      <c r="K105" s="7">
        <f t="shared" si="171"/>
        <v>1.27</v>
      </c>
      <c r="L105" s="4">
        <f t="shared" si="172"/>
        <v>4.6219999999999999</v>
      </c>
      <c r="M105" s="159">
        <f t="shared" si="173"/>
        <v>6.6657003312999993E-2</v>
      </c>
      <c r="N105" s="4">
        <f t="shared" si="174"/>
        <v>0.43</v>
      </c>
      <c r="O105" s="4">
        <f t="shared" si="175"/>
        <v>0.47299999999999998</v>
      </c>
      <c r="P105" s="9">
        <f t="shared" si="176"/>
        <v>0.95</v>
      </c>
      <c r="Q105" s="5">
        <f t="shared" si="189"/>
        <v>36859</v>
      </c>
      <c r="R105" s="4">
        <f t="shared" si="177"/>
        <v>1</v>
      </c>
      <c r="S105" s="160">
        <f>_xll.xSPRDOPT($L105,$J105,$I105,$M105,$O105,$N105,$P105,$Q105-$C$3,$R105,0)</f>
        <v>0.33176622731616323</v>
      </c>
      <c r="T105" s="161">
        <f>_xll.xSPRDOPT($L105,$J105,$I105,$M105,$O105,$N105,$P105,$Q105-$C$3,$R105,1)*H105</f>
        <v>-292451.94516981742</v>
      </c>
      <c r="U105" s="162">
        <f t="shared" si="178"/>
        <v>-165883.11365808162</v>
      </c>
      <c r="V105" s="161">
        <f>_xll.xSPRDOPT($L105,$J105,$I105,$M105,$O105,$N105,$P105,$Q105-$C$3,$R105,2)*H105</f>
        <v>274276.60291236831</v>
      </c>
      <c r="W105" s="161">
        <f t="shared" si="179"/>
        <v>-18175.342257449112</v>
      </c>
      <c r="X105" s="51" t="str">
        <f t="shared" si="180"/>
        <v>36861IF-TRANSCO/Z6</v>
      </c>
      <c r="Y105" s="431">
        <f t="shared" si="181"/>
        <v>-50</v>
      </c>
      <c r="AA105" s="128">
        <f t="shared" si="190"/>
        <v>39173</v>
      </c>
      <c r="AB105" s="43">
        <f t="shared" si="187"/>
        <v>0</v>
      </c>
      <c r="AC105" s="43">
        <f t="shared" si="187"/>
        <v>0</v>
      </c>
      <c r="AD105" s="43">
        <f t="shared" si="187"/>
        <v>0</v>
      </c>
      <c r="AE105" s="43">
        <f t="shared" si="187"/>
        <v>0</v>
      </c>
      <c r="AF105" s="44">
        <f t="shared" si="187"/>
        <v>0</v>
      </c>
      <c r="AG105" s="44">
        <f t="shared" si="187"/>
        <v>0</v>
      </c>
      <c r="AH105" s="128">
        <f t="shared" si="191"/>
        <v>39173</v>
      </c>
      <c r="AI105" s="44">
        <f t="shared" si="137"/>
        <v>0</v>
      </c>
      <c r="AJ105" s="51"/>
      <c r="AK105" s="128">
        <f t="shared" si="192"/>
        <v>39173</v>
      </c>
      <c r="AL105" s="43">
        <f t="shared" si="188"/>
        <v>0</v>
      </c>
      <c r="AM105" s="43">
        <f t="shared" si="188"/>
        <v>0</v>
      </c>
      <c r="AN105" s="43">
        <f t="shared" si="188"/>
        <v>0</v>
      </c>
      <c r="AO105" s="43">
        <f t="shared" si="188"/>
        <v>0</v>
      </c>
      <c r="AP105" s="44">
        <f t="shared" si="188"/>
        <v>0</v>
      </c>
      <c r="AQ105" s="44">
        <f t="shared" si="188"/>
        <v>0</v>
      </c>
      <c r="AR105" s="128">
        <f t="shared" si="193"/>
        <v>39173</v>
      </c>
      <c r="AS105" s="44">
        <f t="shared" si="138"/>
        <v>0</v>
      </c>
      <c r="AT105" s="51"/>
      <c r="AU105" s="51"/>
      <c r="AV105" s="51"/>
      <c r="AW105" s="51"/>
      <c r="AX105" s="51"/>
      <c r="AY105" s="51"/>
      <c r="AZ105" s="51"/>
      <c r="BA105" s="51"/>
      <c r="BB105" s="142">
        <f t="shared" si="182"/>
        <v>36861</v>
      </c>
      <c r="BC105" s="238">
        <f>_xll.xSPRDOPT((VLOOKUP(G105,NGPrices,2,FALSE)+HLOOKUP(D105,Prices,VLOOKUP(G105,move_down,2,FALSE),FALSE)),VLOOKUP(G105,NGPrices,2,FALSE),I105,VLOOKUP(G105,NGPREVPRICES,4,FALSE),HLOOKUP(D105,PREVVOLS,VLOOKUP(G105,MOVE_DOWN2,2,FALSE),FALSE),VLOOKUP(G105,NGPREVPRICES,3,FALSE),HLOOKUP(D105,Correllate,VLOOKUP(G105,CorMove,2,FALSE),FALSE),Q105-$BC$3,R105,$BC$5)*H105-BI105</f>
        <v>-14673.673877534369</v>
      </c>
      <c r="BD105" s="238">
        <f>_xll.xSPRDOPT((VLOOKUP(G105,NGPREVPRICES,2,FALSE)+HLOOKUP(D105,PREVCURVES,VLOOKUP(G105,MOVE_DOWN2,2,FALSE),FALSE)),VLOOKUP(G105,NGPREVPRICES,2,FALSE),BJ105,VLOOKUP(G105,NGPrices,4,FALSE),HLOOKUP(D105,PREVVOLS,VLOOKUP(G105,MOVE_DOWN2,2,FALSE),FALSE),VLOOKUP(G105,NGPREVPRICES,3,FALSE),HLOOKUP(D105,Correllate,VLOOKUP(G105,CorMove,2,FALSE),FALSE),Q105-$BC$3,R105,$BI$5)*H105-BI105</f>
        <v>-10.248134662688244</v>
      </c>
      <c r="BE105" s="10">
        <f t="shared" si="183"/>
        <v>28.237951583694667</v>
      </c>
      <c r="BF105" s="238">
        <f>_xll.xSPRDOPT((VLOOKUP(G105,NGPREVPRICES,2,FALSE)+HLOOKUP(D105,PREVCURVES,VLOOKUP(G105,MOVE_DOWN2,2,FALSE),FALSE)),VLOOKUP(G105,NGPREVPRICES,2,FALSE),BJ105,VLOOKUP(G105,NGPREVPRICES,4,FALSE),HLOOKUP(D105,VOLS,VLOOKUP(G105,move_down,2,FALSE),FALSE),VLOOKUP(G105,NGPrices,3,FALSE),HLOOKUP(D105,Correllate,VLOOKUP(G105,CorMove,2,FALSE),FALSE),Q105-$BC$3,R105,$BI$5)*H105-BI105</f>
        <v>-1253.1142666004016</v>
      </c>
      <c r="BG105" s="238">
        <f>_xll.xSPRDOPT((VLOOKUP(G105,NGPREVPRICES,2,FALSE)+HLOOKUP(D105,PREVCURVES,VLOOKUP(G105,MOVE_DOWN2,2,FALSE),FALSE)),VLOOKUP(G105,NGPREVPRICES,2,FALSE),BJ105,VLOOKUP(G105,NGPREVPRICES,4,FALSE),HLOOKUP(D105,PREVVOLS,VLOOKUP(G105,MOVE_DOWN2,2,FALSE),FALSE),VLOOKUP(G105,NGPREVPRICES,3,FALSE),HLOOKUP(D105,Correllate,VLOOKUP(G105,CorMove,2,FALSE),FALSE),Q105-$C$3,R105,$BI$5)*H105-BI105</f>
        <v>780.23758067269227</v>
      </c>
      <c r="BH105" s="238">
        <f t="shared" si="184"/>
        <v>-15128.560746541072</v>
      </c>
      <c r="BI105" s="238">
        <f>_xll.xSPRDOPT((VLOOKUP(G105,NGPREVPRICES,2,FALSE)+HLOOKUP(D105,PREVCURVES,VLOOKUP(G105,MOVE_DOWN2,2,FALSE),FALSE)),VLOOKUP(G105,NGPREVPRICES,2,FALSE),BJ105,VLOOKUP(G105,NGPREVPRICES,4,FALSE),HLOOKUP(D105,PREVVOLS,VLOOKUP(G105,MOVE_DOWN2,2,FALSE),FALSE),VLOOKUP(G105,NGPREVPRICES,3,FALSE),HLOOKUP(D105,Correllate,VLOOKUP(G105,CorMove,2,FALSE),FALSE),Q105-$BC$3,R105,$BI$5)*H105</f>
        <v>-150722.5319973866</v>
      </c>
      <c r="BJ105" s="239">
        <f t="shared" si="185"/>
        <v>1.1499999999999999</v>
      </c>
      <c r="BL105" t="str">
        <f t="shared" si="186"/>
        <v>36861Curve Shift/Gamma</v>
      </c>
      <c r="BM105" t="str">
        <f t="shared" si="127"/>
        <v>36861Rho</v>
      </c>
      <c r="BN105" t="str">
        <f t="shared" si="128"/>
        <v>36861Drift</v>
      </c>
      <c r="BO105" t="str">
        <f t="shared" si="129"/>
        <v>36861Vega</v>
      </c>
      <c r="BP105" t="str">
        <f t="shared" si="130"/>
        <v>36861Theta</v>
      </c>
    </row>
    <row r="106" spans="1:68" ht="12" customHeight="1" x14ac:dyDescent="0.25">
      <c r="A106" s="395" t="s">
        <v>282</v>
      </c>
      <c r="B106" t="s">
        <v>253</v>
      </c>
      <c r="C106" t="s">
        <v>307</v>
      </c>
      <c r="D106" s="4" t="s">
        <v>7</v>
      </c>
      <c r="E106" t="s">
        <v>20</v>
      </c>
      <c r="F106" t="s">
        <v>21</v>
      </c>
      <c r="G106" s="5">
        <v>36892</v>
      </c>
      <c r="H106" s="130">
        <v>-500000</v>
      </c>
      <c r="I106">
        <v>1.1499999999999999</v>
      </c>
      <c r="J106" s="53">
        <f t="shared" si="170"/>
        <v>3.3650000000000002</v>
      </c>
      <c r="K106" s="7">
        <f t="shared" si="171"/>
        <v>1.53</v>
      </c>
      <c r="L106" s="4">
        <f t="shared" si="172"/>
        <v>4.8950000000000005</v>
      </c>
      <c r="M106" s="159">
        <f t="shared" si="173"/>
        <v>6.7045194353832993E-2</v>
      </c>
      <c r="N106" s="4">
        <f t="shared" si="174"/>
        <v>0.4325</v>
      </c>
      <c r="O106" s="4">
        <f t="shared" si="175"/>
        <v>0.433</v>
      </c>
      <c r="P106" s="9">
        <f t="shared" si="176"/>
        <v>0.95</v>
      </c>
      <c r="Q106" s="5">
        <f t="shared" si="189"/>
        <v>36888</v>
      </c>
      <c r="R106" s="4">
        <f t="shared" si="177"/>
        <v>1</v>
      </c>
      <c r="S106" s="160">
        <f>_xll.xSPRDOPT($L106,$J106,$I106,$M106,$O106,$N106,$P106,$Q106-$C$3,$R106,0)</f>
        <v>0.46911881140098188</v>
      </c>
      <c r="T106" s="161">
        <f>_xll.xSPRDOPT($L106,$J106,$I106,$M106,$O106,$N106,$P106,$Q106-$C$3,$R106,1)*H106</f>
        <v>-359711.41942015674</v>
      </c>
      <c r="U106" s="162">
        <f t="shared" si="178"/>
        <v>-234559.40570049096</v>
      </c>
      <c r="V106" s="161">
        <f>_xll.xSPRDOPT($L106,$J106,$I106,$M106,$O106,$N106,$P106,$Q106-$C$3,$R106,2)*H106</f>
        <v>347024.5441452153</v>
      </c>
      <c r="W106" s="161">
        <f t="shared" si="179"/>
        <v>-12686.875274941442</v>
      </c>
      <c r="X106" s="51" t="str">
        <f t="shared" si="180"/>
        <v>36892IF-TRANSCO/Z6</v>
      </c>
      <c r="Y106" s="431">
        <f t="shared" si="181"/>
        <v>-50</v>
      </c>
      <c r="AA106" s="128">
        <f t="shared" si="190"/>
        <v>39203</v>
      </c>
      <c r="AB106" s="43">
        <f t="shared" si="187"/>
        <v>0</v>
      </c>
      <c r="AC106" s="43">
        <f t="shared" si="187"/>
        <v>0</v>
      </c>
      <c r="AD106" s="43">
        <f t="shared" si="187"/>
        <v>0</v>
      </c>
      <c r="AE106" s="43">
        <f t="shared" si="187"/>
        <v>0</v>
      </c>
      <c r="AF106" s="44">
        <f t="shared" si="187"/>
        <v>0</v>
      </c>
      <c r="AG106" s="44">
        <f t="shared" si="187"/>
        <v>0</v>
      </c>
      <c r="AH106" s="128">
        <f t="shared" si="191"/>
        <v>39203</v>
      </c>
      <c r="AI106" s="44">
        <f t="shared" si="137"/>
        <v>0</v>
      </c>
      <c r="AJ106" s="51"/>
      <c r="AK106" s="128">
        <f t="shared" si="192"/>
        <v>39203</v>
      </c>
      <c r="AL106" s="43">
        <f t="shared" si="188"/>
        <v>0</v>
      </c>
      <c r="AM106" s="43">
        <f t="shared" si="188"/>
        <v>0</v>
      </c>
      <c r="AN106" s="43">
        <f t="shared" si="188"/>
        <v>0</v>
      </c>
      <c r="AO106" s="43">
        <f t="shared" si="188"/>
        <v>0</v>
      </c>
      <c r="AP106" s="44">
        <f t="shared" si="188"/>
        <v>0</v>
      </c>
      <c r="AQ106" s="44">
        <f t="shared" si="188"/>
        <v>0</v>
      </c>
      <c r="AR106" s="128">
        <f t="shared" si="193"/>
        <v>39203</v>
      </c>
      <c r="AS106" s="44">
        <f t="shared" si="138"/>
        <v>0</v>
      </c>
      <c r="AT106" s="51"/>
      <c r="AU106" s="51"/>
      <c r="AV106" s="51"/>
      <c r="AW106" s="51"/>
      <c r="AX106" s="51"/>
      <c r="AY106" s="51"/>
      <c r="AZ106" s="51"/>
      <c r="BA106" s="51"/>
      <c r="BB106" s="142">
        <f t="shared" si="182"/>
        <v>36892</v>
      </c>
      <c r="BC106" s="238">
        <f>_xll.xSPRDOPT((VLOOKUP(G106,NGPrices,2,FALSE)+HLOOKUP(D106,Prices,VLOOKUP(G106,move_down,2,FALSE),FALSE)),VLOOKUP(G106,NGPrices,2,FALSE),I106,VLOOKUP(G106,NGPREVPRICES,4,FALSE),HLOOKUP(D106,PREVVOLS,VLOOKUP(G106,MOVE_DOWN2,2,FALSE),FALSE),VLOOKUP(G106,NGPREVPRICES,3,FALSE),HLOOKUP(D106,Correllate,VLOOKUP(G106,CorMove,2,FALSE),FALSE),Q106-$BC$3,R106,$BC$5)*H106-BI106</f>
        <v>-26259.249610708619</v>
      </c>
      <c r="BD106" s="238">
        <f>_xll.xSPRDOPT((VLOOKUP(G106,NGPREVPRICES,2,FALSE)+HLOOKUP(D106,PREVCURVES,VLOOKUP(G106,MOVE_DOWN2,2,FALSE),FALSE)),VLOOKUP(G106,NGPREVPRICES,2,FALSE),BJ106,VLOOKUP(G106,NGPrices,4,FALSE),HLOOKUP(D106,PREVVOLS,VLOOKUP(G106,MOVE_DOWN2,2,FALSE),FALSE),VLOOKUP(G106,NGPREVPRICES,3,FALSE),HLOOKUP(D106,Correllate,VLOOKUP(G106,CorMove,2,FALSE),FALSE),Q106-$BC$3,R106,$BI$5)*H106-BI106</f>
        <v>-22.630295099748764</v>
      </c>
      <c r="BE106" s="10">
        <f t="shared" si="183"/>
        <v>39.363959116541082</v>
      </c>
      <c r="BF106" s="238">
        <f>_xll.xSPRDOPT((VLOOKUP(G106,NGPREVPRICES,2,FALSE)+HLOOKUP(D106,PREVCURVES,VLOOKUP(G106,MOVE_DOWN2,2,FALSE),FALSE)),VLOOKUP(G106,NGPREVPRICES,2,FALSE),BJ106,VLOOKUP(G106,NGPREVPRICES,4,FALSE),HLOOKUP(D106,VOLS,VLOOKUP(G106,move_down,2,FALSE),FALSE),VLOOKUP(G106,NGPrices,3,FALSE),HLOOKUP(D106,Correllate,VLOOKUP(G106,CorMove,2,FALSE),FALSE),Q106-$BC$3,R106,$BI$5)*H106-BI106</f>
        <v>-1249.3741585149546</v>
      </c>
      <c r="BG106" s="238">
        <f>_xll.xSPRDOPT((VLOOKUP(G106,NGPREVPRICES,2,FALSE)+HLOOKUP(D106,PREVCURVES,VLOOKUP(G106,MOVE_DOWN2,2,FALSE),FALSE)),VLOOKUP(G106,NGPREVPRICES,2,FALSE),BJ106,VLOOKUP(G106,NGPREVPRICES,4,FALSE),HLOOKUP(D106,PREVVOLS,VLOOKUP(G106,MOVE_DOWN2,2,FALSE),FALSE),VLOOKUP(G106,NGPREVPRICES,3,FALSE),HLOOKUP(D106,Correllate,VLOOKUP(G106,CorMove,2,FALSE),FALSE),Q106-$C$3,R106,$BI$5)*H106-BI106</f>
        <v>508.83193747638143</v>
      </c>
      <c r="BH106" s="238">
        <f t="shared" si="184"/>
        <v>-26983.0581677304</v>
      </c>
      <c r="BI106" s="238">
        <f>_xll.xSPRDOPT((VLOOKUP(G106,NGPREVPRICES,2,FALSE)+HLOOKUP(D106,PREVCURVES,VLOOKUP(G106,MOVE_DOWN2,2,FALSE),FALSE)),VLOOKUP(G106,NGPREVPRICES,2,FALSE),BJ106,VLOOKUP(G106,NGPREVPRICES,4,FALSE),HLOOKUP(D106,PREVVOLS,VLOOKUP(G106,MOVE_DOWN2,2,FALSE),FALSE),VLOOKUP(G106,NGPREVPRICES,3,FALSE),HLOOKUP(D106,Correllate,VLOOKUP(G106,CorMove,2,FALSE),FALSE),Q106-$BC$3,R106,$BI$5)*H106</f>
        <v>-207550.91280287891</v>
      </c>
      <c r="BJ106" s="239">
        <f t="shared" si="185"/>
        <v>1.1499999999999999</v>
      </c>
      <c r="BL106" t="str">
        <f t="shared" si="186"/>
        <v>36892Curve Shift/Gamma</v>
      </c>
      <c r="BM106" t="str">
        <f t="shared" si="127"/>
        <v>36892Rho</v>
      </c>
      <c r="BN106" t="str">
        <f t="shared" si="128"/>
        <v>36892Drift</v>
      </c>
      <c r="BO106" t="str">
        <f t="shared" si="129"/>
        <v>36892Vega</v>
      </c>
      <c r="BP106" t="str">
        <f t="shared" si="130"/>
        <v>36892Theta</v>
      </c>
    </row>
    <row r="107" spans="1:68" ht="12" customHeight="1" x14ac:dyDescent="0.25">
      <c r="A107" s="395" t="s">
        <v>282</v>
      </c>
      <c r="B107" t="s">
        <v>253</v>
      </c>
      <c r="C107" t="s">
        <v>307</v>
      </c>
      <c r="D107" s="4" t="s">
        <v>7</v>
      </c>
      <c r="E107" t="s">
        <v>20</v>
      </c>
      <c r="F107" t="s">
        <v>21</v>
      </c>
      <c r="G107" s="5">
        <v>36923</v>
      </c>
      <c r="H107" s="130">
        <v>-500000</v>
      </c>
      <c r="I107">
        <v>1.1499999999999999</v>
      </c>
      <c r="J107" s="53">
        <f t="shared" si="170"/>
        <v>3.1909999999999998</v>
      </c>
      <c r="K107" s="7">
        <f t="shared" si="171"/>
        <v>1.49</v>
      </c>
      <c r="L107" s="4">
        <f t="shared" si="172"/>
        <v>4.681</v>
      </c>
      <c r="M107" s="159">
        <f t="shared" si="173"/>
        <v>6.7372913158926004E-2</v>
      </c>
      <c r="N107" s="4">
        <f t="shared" si="174"/>
        <v>0.42249999999999999</v>
      </c>
      <c r="O107" s="4">
        <f t="shared" si="175"/>
        <v>0.46500000000000002</v>
      </c>
      <c r="P107" s="9">
        <f t="shared" si="176"/>
        <v>0.95</v>
      </c>
      <c r="Q107" s="5">
        <f t="shared" si="189"/>
        <v>36921</v>
      </c>
      <c r="R107" s="4">
        <f t="shared" si="177"/>
        <v>1</v>
      </c>
      <c r="S107" s="160">
        <f>_xll.xSPRDOPT($L107,$J107,$I107,$M107,$O107,$N107,$P107,$Q107-$C$3,$R107,0)</f>
        <v>0.48838503117584009</v>
      </c>
      <c r="T107" s="161">
        <f>_xll.xSPRDOPT($L107,$J107,$I107,$M107,$O107,$N107,$P107,$Q107-$C$3,$R107,1)*H107</f>
        <v>-336688.76929166552</v>
      </c>
      <c r="U107" s="162">
        <f t="shared" si="178"/>
        <v>-244192.51558792003</v>
      </c>
      <c r="V107" s="161">
        <f>_xll.xSPRDOPT($L107,$J107,$I107,$M107,$O107,$N107,$P107,$Q107-$C$3,$R107,2)*H107</f>
        <v>319046.07271229045</v>
      </c>
      <c r="W107" s="161">
        <f t="shared" si="179"/>
        <v>-17642.696579375071</v>
      </c>
      <c r="X107" s="51" t="str">
        <f t="shared" si="180"/>
        <v>36923IF-TRANSCO/Z6</v>
      </c>
      <c r="Y107" s="431">
        <f t="shared" si="181"/>
        <v>-50</v>
      </c>
      <c r="Z107" s="51"/>
      <c r="AA107" s="128">
        <f t="shared" si="190"/>
        <v>39234</v>
      </c>
      <c r="AB107" s="43">
        <f t="shared" ref="AB107:AG116" si="194">SUMIF($X:$X,CONCATENATE($AA107,AB$6),$T:$T)/10000</f>
        <v>0</v>
      </c>
      <c r="AC107" s="43">
        <f t="shared" si="194"/>
        <v>0</v>
      </c>
      <c r="AD107" s="43">
        <f t="shared" si="194"/>
        <v>0</v>
      </c>
      <c r="AE107" s="43">
        <f t="shared" si="194"/>
        <v>0</v>
      </c>
      <c r="AF107" s="44">
        <f t="shared" si="194"/>
        <v>0</v>
      </c>
      <c r="AG107" s="44">
        <f t="shared" si="194"/>
        <v>0</v>
      </c>
      <c r="AH107" s="128">
        <f t="shared" si="191"/>
        <v>39234</v>
      </c>
      <c r="AI107" s="44">
        <f t="shared" si="137"/>
        <v>0</v>
      </c>
      <c r="AJ107" s="51"/>
      <c r="AK107" s="128">
        <f t="shared" si="192"/>
        <v>39234</v>
      </c>
      <c r="AL107" s="43">
        <f t="shared" ref="AL107:AQ116" si="195">SUMIF($X:$X,CONCATENATE($AA107,AL$6),$W:$W)</f>
        <v>0</v>
      </c>
      <c r="AM107" s="43">
        <f t="shared" si="195"/>
        <v>0</v>
      </c>
      <c r="AN107" s="43">
        <f t="shared" si="195"/>
        <v>0</v>
      </c>
      <c r="AO107" s="43">
        <f t="shared" si="195"/>
        <v>0</v>
      </c>
      <c r="AP107" s="44">
        <f t="shared" si="195"/>
        <v>0</v>
      </c>
      <c r="AQ107" s="44">
        <f t="shared" si="195"/>
        <v>0</v>
      </c>
      <c r="AR107" s="128">
        <f t="shared" si="193"/>
        <v>39234</v>
      </c>
      <c r="AS107" s="44">
        <f t="shared" si="138"/>
        <v>0</v>
      </c>
      <c r="AT107" s="51"/>
      <c r="AU107" s="51"/>
      <c r="AV107" s="51"/>
      <c r="AW107" s="51"/>
      <c r="AX107" s="51"/>
      <c r="AY107" s="51"/>
      <c r="AZ107" s="51"/>
      <c r="BA107" s="51"/>
      <c r="BB107" s="142">
        <f t="shared" si="182"/>
        <v>36923</v>
      </c>
      <c r="BC107" s="238">
        <f>_xll.xSPRDOPT((VLOOKUP(G107,NGPrices,2,FALSE)+HLOOKUP(D107,Prices,VLOOKUP(G107,move_down,2,FALSE),FALSE)),VLOOKUP(G107,NGPrices,2,FALSE),I107,VLOOKUP(G107,NGPREVPRICES,4,FALSE),HLOOKUP(D107,PREVVOLS,VLOOKUP(G107,MOVE_DOWN2,2,FALSE),FALSE),VLOOKUP(G107,NGPREVPRICES,3,FALSE),HLOOKUP(D107,Correllate,VLOOKUP(G107,CorMove,2,FALSE),FALSE),Q107-$BC$3,R107,$BC$5)*H107-BI107</f>
        <v>-20701.78071577943</v>
      </c>
      <c r="BD107" s="238">
        <f>_xll.xSPRDOPT((VLOOKUP(G107,NGPREVPRICES,2,FALSE)+HLOOKUP(D107,PREVCURVES,VLOOKUP(G107,MOVE_DOWN2,2,FALSE),FALSE)),VLOOKUP(G107,NGPREVPRICES,2,FALSE),BJ107,VLOOKUP(G107,NGPrices,4,FALSE),HLOOKUP(D107,PREVVOLS,VLOOKUP(G107,MOVE_DOWN2,2,FALSE),FALSE),VLOOKUP(G107,NGPREVPRICES,3,FALSE),HLOOKUP(D107,Correllate,VLOOKUP(G107,CorMove,2,FALSE),FALSE),Q107-$BC$3,R107,$BI$5)*H107-BI107</f>
        <v>-38.005808447662275</v>
      </c>
      <c r="BE107" s="10">
        <f t="shared" si="183"/>
        <v>42.6155872506788</v>
      </c>
      <c r="BF107" s="238">
        <f>_xll.xSPRDOPT((VLOOKUP(G107,NGPREVPRICES,2,FALSE)+HLOOKUP(D107,PREVCURVES,VLOOKUP(G107,MOVE_DOWN2,2,FALSE),FALSE)),VLOOKUP(G107,NGPREVPRICES,2,FALSE),BJ107,VLOOKUP(G107,NGPREVPRICES,4,FALSE),HLOOKUP(D107,VOLS,VLOOKUP(G107,move_down,2,FALSE),FALSE),VLOOKUP(G107,NGPrices,3,FALSE),HLOOKUP(D107,Correllate,VLOOKUP(G107,CorMove,2,FALSE),FALSE),Q107-$BC$3,R107,$BI$5)*H107-BI107</f>
        <v>-1933.1719857678981</v>
      </c>
      <c r="BG107" s="238">
        <f>_xll.xSPRDOPT((VLOOKUP(G107,NGPREVPRICES,2,FALSE)+HLOOKUP(D107,PREVCURVES,VLOOKUP(G107,MOVE_DOWN2,2,FALSE),FALSE)),VLOOKUP(G107,NGPREVPRICES,2,FALSE),BJ107,VLOOKUP(G107,NGPREVPRICES,4,FALSE),HLOOKUP(D107,PREVVOLS,VLOOKUP(G107,MOVE_DOWN2,2,FALSE),FALSE),VLOOKUP(G107,NGPREVPRICES,3,FALSE),HLOOKUP(D107,Correllate,VLOOKUP(G107,CorMove,2,FALSE),FALSE),Q107-$C$3,R107,$BI$5)*H107-BI107</f>
        <v>580.14268395275576</v>
      </c>
      <c r="BH107" s="238">
        <f t="shared" si="184"/>
        <v>-22050.200238791556</v>
      </c>
      <c r="BI107" s="238">
        <f>_xll.xSPRDOPT((VLOOKUP(G107,NGPREVPRICES,2,FALSE)+HLOOKUP(D107,PREVCURVES,VLOOKUP(G107,MOVE_DOWN2,2,FALSE),FALSE)),VLOOKUP(G107,NGPREVPRICES,2,FALSE),BJ107,VLOOKUP(G107,NGPREVPRICES,4,FALSE),HLOOKUP(D107,PREVVOLS,VLOOKUP(G107,MOVE_DOWN2,2,FALSE),FALSE),VLOOKUP(G107,NGPREVPRICES,3,FALSE),HLOOKUP(D107,Correllate,VLOOKUP(G107,CorMove,2,FALSE),FALSE),Q107-$BC$3,R107,$BI$5)*H107</f>
        <v>-222110.07618816438</v>
      </c>
      <c r="BJ107" s="239">
        <f t="shared" si="185"/>
        <v>1.1499999999999999</v>
      </c>
      <c r="BL107" t="str">
        <f t="shared" si="186"/>
        <v>36923Curve Shift/Gamma</v>
      </c>
      <c r="BM107" t="str">
        <f t="shared" si="127"/>
        <v>36923Rho</v>
      </c>
      <c r="BN107" t="str">
        <f t="shared" si="128"/>
        <v>36923Drift</v>
      </c>
      <c r="BO107" t="str">
        <f t="shared" si="129"/>
        <v>36923Vega</v>
      </c>
      <c r="BP107" t="str">
        <f t="shared" si="130"/>
        <v>36923Theta</v>
      </c>
    </row>
    <row r="108" spans="1:68" ht="12" customHeight="1" x14ac:dyDescent="0.25">
      <c r="A108" s="395" t="s">
        <v>282</v>
      </c>
      <c r="B108" t="s">
        <v>253</v>
      </c>
      <c r="C108" t="s">
        <v>307</v>
      </c>
      <c r="D108" s="4" t="s">
        <v>7</v>
      </c>
      <c r="E108" t="s">
        <v>20</v>
      </c>
      <c r="F108" t="s">
        <v>21</v>
      </c>
      <c r="G108" s="5">
        <v>36951</v>
      </c>
      <c r="H108" s="130">
        <v>-500000</v>
      </c>
      <c r="I108">
        <v>1.1499999999999999</v>
      </c>
      <c r="J108" s="53">
        <f t="shared" si="170"/>
        <v>3.0169999999999999</v>
      </c>
      <c r="K108" s="7">
        <f t="shared" si="171"/>
        <v>0.86</v>
      </c>
      <c r="L108" s="4">
        <f t="shared" si="172"/>
        <v>3.8769999999999998</v>
      </c>
      <c r="M108" s="159">
        <f t="shared" si="173"/>
        <v>6.7668917271508006E-2</v>
      </c>
      <c r="N108" s="4">
        <f t="shared" si="174"/>
        <v>0.375</v>
      </c>
      <c r="O108" s="4">
        <f t="shared" si="175"/>
        <v>0.41299999999999998</v>
      </c>
      <c r="P108" s="9">
        <f t="shared" si="176"/>
        <v>0.95</v>
      </c>
      <c r="Q108" s="5">
        <f t="shared" si="189"/>
        <v>36949</v>
      </c>
      <c r="R108" s="4">
        <f t="shared" si="177"/>
        <v>1</v>
      </c>
      <c r="S108" s="160">
        <f>_xll.xSPRDOPT($L108,$J108,$I108,$M108,$O108,$N108,$P108,$Q108-$C$3,$R108,0)</f>
        <v>0.13157179147692905</v>
      </c>
      <c r="T108" s="161">
        <f>_xll.xSPRDOPT($L108,$J108,$I108,$M108,$O108,$N108,$P108,$Q108-$C$3,$R108,1)*H108</f>
        <v>-174106.80230964388</v>
      </c>
      <c r="U108" s="162">
        <f t="shared" si="178"/>
        <v>-65785.895738464518</v>
      </c>
      <c r="V108" s="161">
        <f>_xll.xSPRDOPT($L108,$J108,$I108,$M108,$O108,$N108,$P108,$Q108-$C$3,$R108,2)*H108</f>
        <v>156363.54982437074</v>
      </c>
      <c r="W108" s="161">
        <f t="shared" si="179"/>
        <v>-17743.252485273144</v>
      </c>
      <c r="X108" s="51" t="str">
        <f t="shared" si="180"/>
        <v>36951IF-TRANSCO/Z6</v>
      </c>
      <c r="Y108" s="431">
        <f t="shared" si="181"/>
        <v>-50</v>
      </c>
      <c r="AA108" s="128">
        <f t="shared" si="190"/>
        <v>39264</v>
      </c>
      <c r="AB108" s="43">
        <f t="shared" si="194"/>
        <v>0</v>
      </c>
      <c r="AC108" s="43">
        <f t="shared" si="194"/>
        <v>0</v>
      </c>
      <c r="AD108" s="43">
        <f t="shared" si="194"/>
        <v>0</v>
      </c>
      <c r="AE108" s="43">
        <f t="shared" si="194"/>
        <v>0</v>
      </c>
      <c r="AF108" s="44">
        <f t="shared" si="194"/>
        <v>0</v>
      </c>
      <c r="AG108" s="44">
        <f t="shared" si="194"/>
        <v>0</v>
      </c>
      <c r="AH108" s="128">
        <f t="shared" si="191"/>
        <v>39264</v>
      </c>
      <c r="AI108" s="44">
        <f t="shared" si="137"/>
        <v>0</v>
      </c>
      <c r="AJ108" s="51"/>
      <c r="AK108" s="128">
        <f t="shared" si="192"/>
        <v>39264</v>
      </c>
      <c r="AL108" s="43">
        <f t="shared" si="195"/>
        <v>0</v>
      </c>
      <c r="AM108" s="43">
        <f t="shared" si="195"/>
        <v>0</v>
      </c>
      <c r="AN108" s="43">
        <f t="shared" si="195"/>
        <v>0</v>
      </c>
      <c r="AO108" s="43">
        <f t="shared" si="195"/>
        <v>0</v>
      </c>
      <c r="AP108" s="44">
        <f t="shared" si="195"/>
        <v>0</v>
      </c>
      <c r="AQ108" s="44">
        <f t="shared" si="195"/>
        <v>0</v>
      </c>
      <c r="AR108" s="128">
        <f t="shared" si="193"/>
        <v>39264</v>
      </c>
      <c r="AS108" s="44">
        <f t="shared" si="138"/>
        <v>0</v>
      </c>
      <c r="AT108" s="51"/>
      <c r="AU108" s="51"/>
      <c r="AV108" s="51"/>
      <c r="AW108" s="51"/>
      <c r="AX108" s="51"/>
      <c r="AY108" s="51"/>
      <c r="AZ108" s="51"/>
      <c r="BA108" s="51"/>
      <c r="BB108" s="142">
        <f t="shared" si="182"/>
        <v>36951</v>
      </c>
      <c r="BC108" s="238">
        <f>_xll.xSPRDOPT((VLOOKUP(G108,NGPrices,2,FALSE)+HLOOKUP(D108,Prices,VLOOKUP(G108,move_down,2,FALSE),FALSE)),VLOOKUP(G108,NGPrices,2,FALSE),I108,VLOOKUP(G108,NGPREVPRICES,4,FALSE),HLOOKUP(D108,PREVVOLS,VLOOKUP(G108,MOVE_DOWN2,2,FALSE),FALSE),VLOOKUP(G108,NGPREVPRICES,3,FALSE),HLOOKUP(D108,Correllate,VLOOKUP(G108,CorMove,2,FALSE),FALSE),Q108-$BC$3,R108,$BC$5)*H108-BI108</f>
        <v>25244.168975130575</v>
      </c>
      <c r="BD108" s="238">
        <f>_xll.xSPRDOPT((VLOOKUP(G108,NGPREVPRICES,2,FALSE)+HLOOKUP(D108,PREVCURVES,VLOOKUP(G108,MOVE_DOWN2,2,FALSE),FALSE)),VLOOKUP(G108,NGPREVPRICES,2,FALSE),BJ108,VLOOKUP(G108,NGPrices,4,FALSE),HLOOKUP(D108,PREVVOLS,VLOOKUP(G108,MOVE_DOWN2,2,FALSE),FALSE),VLOOKUP(G108,NGPREVPRICES,3,FALSE),HLOOKUP(D108,Correllate,VLOOKUP(G108,CorMove,2,FALSE),FALSE),Q108-$BC$3,R108,$BI$5)*H108-BI108</f>
        <v>-21.113962398201693</v>
      </c>
      <c r="BE108" s="10">
        <f t="shared" si="183"/>
        <v>17.402646935574012</v>
      </c>
      <c r="BF108" s="238">
        <f>_xll.xSPRDOPT((VLOOKUP(G108,NGPREVPRICES,2,FALSE)+HLOOKUP(D108,PREVCURVES,VLOOKUP(G108,MOVE_DOWN2,2,FALSE),FALSE)),VLOOKUP(G108,NGPREVPRICES,2,FALSE),BJ108,VLOOKUP(G108,NGPREVPRICES,4,FALSE),HLOOKUP(D108,VOLS,VLOOKUP(G108,move_down,2,FALSE),FALSE),VLOOKUP(G108,NGPrices,3,FALSE),HLOOKUP(D108,Correllate,VLOOKUP(G108,CorMove,2,FALSE),FALSE),Q108-$BC$3,R108,$BI$5)*H108-BI108</f>
        <v>-1904.1822732137662</v>
      </c>
      <c r="BG108" s="238">
        <f>_xll.xSPRDOPT((VLOOKUP(G108,NGPREVPRICES,2,FALSE)+HLOOKUP(D108,PREVCURVES,VLOOKUP(G108,MOVE_DOWN2,2,FALSE),FALSE)),VLOOKUP(G108,NGPREVPRICES,2,FALSE),BJ108,VLOOKUP(G108,NGPREVPRICES,4,FALSE),HLOOKUP(D108,PREVVOLS,VLOOKUP(G108,MOVE_DOWN2,2,FALSE),FALSE),VLOOKUP(G108,NGPREVPRICES,3,FALSE),HLOOKUP(D108,Correllate,VLOOKUP(G108,CorMove,2,FALSE),FALSE),Q108-$C$3,R108,$BI$5)*H108-BI108</f>
        <v>509.92587375642324</v>
      </c>
      <c r="BH108" s="238">
        <f t="shared" si="184"/>
        <v>23846.201260210604</v>
      </c>
      <c r="BI108" s="238">
        <f>_xll.xSPRDOPT((VLOOKUP(G108,NGPREVPRICES,2,FALSE)+HLOOKUP(D108,PREVCURVES,VLOOKUP(G108,MOVE_DOWN2,2,FALSE),FALSE)),VLOOKUP(G108,NGPREVPRICES,2,FALSE),BJ108,VLOOKUP(G108,NGPREVPRICES,4,FALSE),HLOOKUP(D108,PREVVOLS,VLOOKUP(G108,MOVE_DOWN2,2,FALSE),FALSE),VLOOKUP(G108,NGPREVPRICES,3,FALSE),HLOOKUP(D108,Correllate,VLOOKUP(G108,CorMove,2,FALSE),FALSE),Q108-$BC$3,R108,$BI$5)*H108</f>
        <v>-89756.092416810628</v>
      </c>
      <c r="BJ108" s="239">
        <f t="shared" si="185"/>
        <v>1.1499999999999999</v>
      </c>
      <c r="BL108" t="str">
        <f t="shared" si="186"/>
        <v>36951Curve Shift/Gamma</v>
      </c>
      <c r="BM108" t="str">
        <f t="shared" si="127"/>
        <v>36951Rho</v>
      </c>
      <c r="BN108" t="str">
        <f t="shared" si="128"/>
        <v>36951Drift</v>
      </c>
      <c r="BO108" t="str">
        <f t="shared" si="129"/>
        <v>36951Vega</v>
      </c>
      <c r="BP108" t="str">
        <f t="shared" si="130"/>
        <v>36951Theta</v>
      </c>
    </row>
    <row r="109" spans="1:68" ht="12" customHeight="1" x14ac:dyDescent="0.25">
      <c r="A109" t="s">
        <v>299</v>
      </c>
      <c r="B109" t="s">
        <v>253</v>
      </c>
      <c r="C109" t="s">
        <v>308</v>
      </c>
      <c r="D109" s="4" t="s">
        <v>7</v>
      </c>
      <c r="E109" t="s">
        <v>20</v>
      </c>
      <c r="F109" t="s">
        <v>21</v>
      </c>
      <c r="G109" s="5">
        <v>36647</v>
      </c>
      <c r="H109" s="130">
        <v>-250000</v>
      </c>
      <c r="I109">
        <v>0.3</v>
      </c>
      <c r="J109" s="53">
        <f t="shared" si="170"/>
        <v>3.1579999999999999</v>
      </c>
      <c r="K109" s="7">
        <f t="shared" si="171"/>
        <v>0.29499999999999998</v>
      </c>
      <c r="L109" s="4">
        <f t="shared" si="172"/>
        <v>3.4529999999999998</v>
      </c>
      <c r="M109" s="159">
        <f t="shared" si="173"/>
        <v>6.2683518517613002E-2</v>
      </c>
      <c r="N109" s="4">
        <f t="shared" si="174"/>
        <v>0.41</v>
      </c>
      <c r="O109" s="4">
        <f t="shared" si="175"/>
        <v>0.40200000000000002</v>
      </c>
      <c r="P109" s="9">
        <f t="shared" si="176"/>
        <v>0.99</v>
      </c>
      <c r="Q109" s="5">
        <f t="shared" si="189"/>
        <v>36643</v>
      </c>
      <c r="R109" s="4">
        <f t="shared" si="177"/>
        <v>1</v>
      </c>
      <c r="S109" s="160">
        <f>_xll.xSPRDOPT($L109,$J109,$I109,$M109,$O109,$N109,$P109,$Q109-$C$3,$R109,0)</f>
        <v>1.1625788599782439E-2</v>
      </c>
      <c r="T109" s="161">
        <f>_xll.xSPRDOPT($L109,$J109,$I109,$M109,$O109,$N109,$P109,$Q109-$C$3,$R109,1)*H109</f>
        <v>-111410.70418128773</v>
      </c>
      <c r="U109" s="162">
        <f t="shared" si="178"/>
        <v>-2906.4471499456099</v>
      </c>
      <c r="V109" s="161">
        <f>_xll.xSPRDOPT($L109,$J109,$I109,$M109,$O109,$N109,$P109,$Q109-$C$3,$R109,2)*H109</f>
        <v>110630.25380335801</v>
      </c>
      <c r="W109" s="161">
        <f t="shared" si="179"/>
        <v>-780.45037792972289</v>
      </c>
      <c r="X109" s="51" t="str">
        <f t="shared" si="180"/>
        <v>36647IF-TRANSCO/Z6</v>
      </c>
      <c r="Y109" s="431">
        <f t="shared" si="181"/>
        <v>-25</v>
      </c>
      <c r="Z109" s="51"/>
      <c r="AA109" s="128">
        <f t="shared" si="190"/>
        <v>39295</v>
      </c>
      <c r="AB109" s="43">
        <f t="shared" si="194"/>
        <v>0</v>
      </c>
      <c r="AC109" s="43">
        <f t="shared" si="194"/>
        <v>0</v>
      </c>
      <c r="AD109" s="43">
        <f t="shared" si="194"/>
        <v>0</v>
      </c>
      <c r="AE109" s="43">
        <f t="shared" si="194"/>
        <v>0</v>
      </c>
      <c r="AF109" s="44">
        <f t="shared" si="194"/>
        <v>0</v>
      </c>
      <c r="AG109" s="44">
        <f t="shared" si="194"/>
        <v>0</v>
      </c>
      <c r="AH109" s="128">
        <f t="shared" si="191"/>
        <v>39295</v>
      </c>
      <c r="AI109" s="44">
        <f t="shared" si="137"/>
        <v>0</v>
      </c>
      <c r="AJ109" s="51"/>
      <c r="AK109" s="128">
        <f t="shared" si="192"/>
        <v>39295</v>
      </c>
      <c r="AL109" s="43">
        <f t="shared" si="195"/>
        <v>0</v>
      </c>
      <c r="AM109" s="43">
        <f t="shared" si="195"/>
        <v>0</v>
      </c>
      <c r="AN109" s="43">
        <f t="shared" si="195"/>
        <v>0</v>
      </c>
      <c r="AO109" s="43">
        <f t="shared" si="195"/>
        <v>0</v>
      </c>
      <c r="AP109" s="44">
        <f t="shared" si="195"/>
        <v>0</v>
      </c>
      <c r="AQ109" s="44">
        <f t="shared" si="195"/>
        <v>0</v>
      </c>
      <c r="AR109" s="128">
        <f t="shared" si="193"/>
        <v>39295</v>
      </c>
      <c r="AS109" s="44">
        <f t="shared" si="138"/>
        <v>0</v>
      </c>
      <c r="AT109" s="51"/>
      <c r="AU109" s="51"/>
      <c r="AV109" s="51"/>
      <c r="AW109" s="51"/>
      <c r="AX109" s="51"/>
      <c r="AY109" s="51"/>
      <c r="AZ109" s="51"/>
      <c r="BA109" s="51"/>
      <c r="BB109" s="142">
        <f t="shared" ref="BB109:BB144" si="196">G109</f>
        <v>36647</v>
      </c>
      <c r="BC109" s="238">
        <f>_xll.xSPRDOPT((VLOOKUP(G109,NGPrices,2,FALSE)+HLOOKUP(D109,Prices,VLOOKUP(G109,move_down,2,FALSE),FALSE)),VLOOKUP(G109,NGPrices,2,FALSE),I109,VLOOKUP(G109,NGPREVPRICES,4,FALSE),HLOOKUP(D109,PREVVOLS,VLOOKUP(G109,MOVE_DOWN2,2,FALSE),FALSE),VLOOKUP(G109,NGPREVPRICES,3,FALSE),HLOOKUP(D109,Correllate,VLOOKUP(G109,CorMove,2,FALSE),FALSE),Q109-$BC$3,R109,$BC$5)*H109-BI109</f>
        <v>-579.88247346293565</v>
      </c>
      <c r="BD109" s="238">
        <f>_xll.xSPRDOPT((VLOOKUP(G109,NGPREVPRICES,2,FALSE)+HLOOKUP(D109,PREVCURVES,VLOOKUP(G109,MOVE_DOWN2,2,FALSE),FALSE)),VLOOKUP(G109,NGPREVPRICES,2,FALSE),BJ109,VLOOKUP(G109,NGPrices,4,FALSE),HLOOKUP(D109,PREVVOLS,VLOOKUP(G109,MOVE_DOWN2,2,FALSE),FALSE),VLOOKUP(G109,NGPREVPRICES,3,FALSE),HLOOKUP(D109,Correllate,VLOOKUP(G109,CorMove,2,FALSE),FALSE),Q109-$BC$3,R109,$BI$5)*H109-BI109</f>
        <v>7.888080927386909E-3</v>
      </c>
      <c r="BE109" s="10">
        <f t="shared" ref="BE109:BE144" si="197">(BI109/VLOOKUP(BB109,discount,3,FALSE))-(BI109/VLOOKUP(BB109,discount,2,FALSE))</f>
        <v>0.38538392013470002</v>
      </c>
      <c r="BF109" s="238">
        <f>_xll.xSPRDOPT((VLOOKUP(G109,NGPREVPRICES,2,FALSE)+HLOOKUP(D109,PREVCURVES,VLOOKUP(G109,MOVE_DOWN2,2,FALSE),FALSE)),VLOOKUP(G109,NGPREVPRICES,2,FALSE),BJ109,VLOOKUP(G109,NGPREVPRICES,4,FALSE),HLOOKUP(D109,VOLS,VLOOKUP(G109,move_down,2,FALSE),FALSE),VLOOKUP(G109,NGPrices,3,FALSE),HLOOKUP(D109,Correllate,VLOOKUP(G109,CorMove,2,FALSE),FALSE),Q109-$BC$3,R109,$BI$5)*H109-BI109</f>
        <v>-507.34653543931836</v>
      </c>
      <c r="BG109" s="238">
        <f>_xll.xSPRDOPT((VLOOKUP(G109,NGPREVPRICES,2,FALSE)+HLOOKUP(D109,PREVCURVES,VLOOKUP(G109,MOVE_DOWN2,2,FALSE),FALSE)),VLOOKUP(G109,NGPREVPRICES,2,FALSE),BJ109,VLOOKUP(G109,NGPREVPRICES,4,FALSE),HLOOKUP(D109,PREVVOLS,VLOOKUP(G109,MOVE_DOWN2,2,FALSE),FALSE),VLOOKUP(G109,NGPREVPRICES,3,FALSE),HLOOKUP(D109,Correllate,VLOOKUP(G109,CorMove,2,FALSE),FALSE),Q109-$C$3,R109,$BI$5)*H109-BI109</f>
        <v>394.70661894080786</v>
      </c>
      <c r="BH109" s="238">
        <f t="shared" ref="BH109:BH144" si="198">SUM(BC109:BG109)</f>
        <v>-692.12911796038406</v>
      </c>
      <c r="BI109" s="238">
        <f>_xll.xSPRDOPT((VLOOKUP(G109,NGPREVPRICES,2,FALSE)+HLOOKUP(D109,PREVCURVES,VLOOKUP(G109,MOVE_DOWN2,2,FALSE),FALSE)),VLOOKUP(G109,NGPREVPRICES,2,FALSE),BJ109,VLOOKUP(G109,NGPREVPRICES,4,FALSE),HLOOKUP(D109,PREVVOLS,VLOOKUP(G109,MOVE_DOWN2,2,FALSE),FALSE),VLOOKUP(G109,NGPREVPRICES,3,FALSE),HLOOKUP(D109,Correllate,VLOOKUP(G109,CorMove,2,FALSE),FALSE),Q109-$BC$3,R109,$BI$5)*H109</f>
        <v>-2278.5082770811937</v>
      </c>
      <c r="BJ109" s="239">
        <f t="shared" ref="BJ109:BJ144" si="199">I109</f>
        <v>0.3</v>
      </c>
      <c r="BL109" t="str">
        <f t="shared" ref="BL109:BL144" si="200">CONCATENATE(BB109,$BC$6)</f>
        <v>36647Curve Shift/Gamma</v>
      </c>
      <c r="BM109" t="str">
        <f t="shared" si="127"/>
        <v>36647Rho</v>
      </c>
      <c r="BN109" t="str">
        <f t="shared" si="128"/>
        <v>36647Drift</v>
      </c>
      <c r="BO109" t="str">
        <f t="shared" si="129"/>
        <v>36647Vega</v>
      </c>
      <c r="BP109" t="str">
        <f t="shared" si="130"/>
        <v>36647Theta</v>
      </c>
    </row>
    <row r="110" spans="1:68" ht="12" customHeight="1" x14ac:dyDescent="0.25">
      <c r="A110" t="s">
        <v>299</v>
      </c>
      <c r="B110" t="s">
        <v>253</v>
      </c>
      <c r="C110" t="s">
        <v>308</v>
      </c>
      <c r="D110" s="4" t="s">
        <v>7</v>
      </c>
      <c r="E110" t="s">
        <v>20</v>
      </c>
      <c r="F110" t="s">
        <v>21</v>
      </c>
      <c r="G110" s="5">
        <v>36678</v>
      </c>
      <c r="H110" s="130">
        <v>-250000</v>
      </c>
      <c r="I110">
        <v>0.3</v>
      </c>
      <c r="J110" s="53">
        <f t="shared" si="170"/>
        <v>3.1720000000000002</v>
      </c>
      <c r="K110" s="7">
        <f t="shared" si="171"/>
        <v>0.3075</v>
      </c>
      <c r="L110" s="4">
        <f t="shared" si="172"/>
        <v>3.4795000000000003</v>
      </c>
      <c r="M110" s="159">
        <f t="shared" si="173"/>
        <v>6.3039999833066004E-2</v>
      </c>
      <c r="N110" s="4">
        <f t="shared" si="174"/>
        <v>0.38250000000000001</v>
      </c>
      <c r="O110" s="4">
        <f t="shared" si="175"/>
        <v>0.375</v>
      </c>
      <c r="P110" s="9">
        <f t="shared" si="176"/>
        <v>0.99</v>
      </c>
      <c r="Q110" s="5">
        <f t="shared" si="189"/>
        <v>36676</v>
      </c>
      <c r="R110" s="4">
        <f t="shared" si="177"/>
        <v>1</v>
      </c>
      <c r="S110" s="160">
        <f>_xll.xSPRDOPT($L110,$J110,$I110,$M110,$O110,$N110,$P110,$Q110-$C$3,$R110,0)</f>
        <v>3.0940961472274917E-2</v>
      </c>
      <c r="T110" s="161">
        <f>_xll.xSPRDOPT($L110,$J110,$I110,$M110,$O110,$N110,$P110,$Q110-$C$3,$R110,1)*H110</f>
        <v>-136393.10357873779</v>
      </c>
      <c r="U110" s="162">
        <f t="shared" si="178"/>
        <v>-7735.2403680687294</v>
      </c>
      <c r="V110" s="161">
        <f>_xll.xSPRDOPT($L110,$J110,$I110,$M110,$O110,$N110,$P110,$Q110-$C$3,$R110,2)*H110</f>
        <v>134889.34195625104</v>
      </c>
      <c r="W110" s="161">
        <f t="shared" si="179"/>
        <v>-1503.7616224867525</v>
      </c>
      <c r="X110" s="51" t="str">
        <f t="shared" si="180"/>
        <v>36678IF-TRANSCO/Z6</v>
      </c>
      <c r="Y110" s="431">
        <f t="shared" si="181"/>
        <v>-25</v>
      </c>
      <c r="Z110" s="51"/>
      <c r="AA110" s="128">
        <f t="shared" si="190"/>
        <v>39326</v>
      </c>
      <c r="AB110" s="43">
        <f t="shared" si="194"/>
        <v>0</v>
      </c>
      <c r="AC110" s="43">
        <f t="shared" si="194"/>
        <v>0</v>
      </c>
      <c r="AD110" s="43">
        <f t="shared" si="194"/>
        <v>0</v>
      </c>
      <c r="AE110" s="43">
        <f t="shared" si="194"/>
        <v>0</v>
      </c>
      <c r="AF110" s="44">
        <f t="shared" si="194"/>
        <v>0</v>
      </c>
      <c r="AG110" s="44">
        <f t="shared" si="194"/>
        <v>0</v>
      </c>
      <c r="AH110" s="128">
        <f t="shared" si="191"/>
        <v>39326</v>
      </c>
      <c r="AI110" s="44">
        <f t="shared" si="137"/>
        <v>0</v>
      </c>
      <c r="AJ110" s="51"/>
      <c r="AK110" s="128">
        <f t="shared" si="192"/>
        <v>39326</v>
      </c>
      <c r="AL110" s="43">
        <f t="shared" si="195"/>
        <v>0</v>
      </c>
      <c r="AM110" s="43">
        <f t="shared" si="195"/>
        <v>0</v>
      </c>
      <c r="AN110" s="43">
        <f t="shared" si="195"/>
        <v>0</v>
      </c>
      <c r="AO110" s="43">
        <f t="shared" si="195"/>
        <v>0</v>
      </c>
      <c r="AP110" s="44">
        <f t="shared" si="195"/>
        <v>0</v>
      </c>
      <c r="AQ110" s="44">
        <f t="shared" si="195"/>
        <v>0</v>
      </c>
      <c r="AR110" s="128">
        <f t="shared" si="193"/>
        <v>39326</v>
      </c>
      <c r="AS110" s="44">
        <f t="shared" si="138"/>
        <v>0</v>
      </c>
      <c r="AT110" s="51"/>
      <c r="AU110" s="51"/>
      <c r="AV110" s="51"/>
      <c r="AW110" s="51"/>
      <c r="AX110" s="51"/>
      <c r="AY110" s="51"/>
      <c r="AZ110" s="51"/>
      <c r="BA110" s="51"/>
      <c r="BB110" s="142">
        <f t="shared" si="196"/>
        <v>36678</v>
      </c>
      <c r="BC110" s="238">
        <f>_xll.xSPRDOPT((VLOOKUP(G110,NGPrices,2,FALSE)+HLOOKUP(D110,Prices,VLOOKUP(G110,move_down,2,FALSE),FALSE)),VLOOKUP(G110,NGPrices,2,FALSE),I110,VLOOKUP(G110,NGPREVPRICES,4,FALSE),HLOOKUP(D110,PREVVOLS,VLOOKUP(G110,MOVE_DOWN2,2,FALSE),FALSE),VLOOKUP(G110,NGPREVPRICES,3,FALSE),HLOOKUP(D110,Correllate,VLOOKUP(G110,CorMove,2,FALSE),FALSE),Q110-$BC$3,R110,$BC$5)*H110-BI110</f>
        <v>-2289.57107576203</v>
      </c>
      <c r="BD110" s="238">
        <f>_xll.xSPRDOPT((VLOOKUP(G110,NGPREVPRICES,2,FALSE)+HLOOKUP(D110,PREVCURVES,VLOOKUP(G110,MOVE_DOWN2,2,FALSE),FALSE)),VLOOKUP(G110,NGPREVPRICES,2,FALSE),BJ110,VLOOKUP(G110,NGPrices,4,FALSE),HLOOKUP(D110,PREVVOLS,VLOOKUP(G110,MOVE_DOWN2,2,FALSE),FALSE),VLOOKUP(G110,NGPREVPRICES,3,FALSE),HLOOKUP(D110,Correllate,VLOOKUP(G110,CorMove,2,FALSE),FALSE),Q110-$BC$3,R110,$BI$5)*H110-BI110</f>
        <v>1.7455680115745054E-2</v>
      </c>
      <c r="BE110" s="10">
        <f t="shared" si="197"/>
        <v>0.93780990699906397</v>
      </c>
      <c r="BF110" s="238">
        <f>_xll.xSPRDOPT((VLOOKUP(G110,NGPREVPRICES,2,FALSE)+HLOOKUP(D110,PREVCURVES,VLOOKUP(G110,MOVE_DOWN2,2,FALSE),FALSE)),VLOOKUP(G110,NGPREVPRICES,2,FALSE),BJ110,VLOOKUP(G110,NGPREVPRICES,4,FALSE),HLOOKUP(D110,VOLS,VLOOKUP(G110,move_down,2,FALSE),FALSE),VLOOKUP(G110,NGPrices,3,FALSE),HLOOKUP(D110,Correllate,VLOOKUP(G110,CorMove,2,FALSE),FALSE),Q110-$BC$3,R110,$BI$5)*H110-BI110</f>
        <v>-188.88009494960261</v>
      </c>
      <c r="BG110" s="238">
        <f>_xll.xSPRDOPT((VLOOKUP(G110,NGPREVPRICES,2,FALSE)+HLOOKUP(D110,PREVCURVES,VLOOKUP(G110,MOVE_DOWN2,2,FALSE),FALSE)),VLOOKUP(G110,NGPREVPRICES,2,FALSE),BJ110,VLOOKUP(G110,NGPREVPRICES,4,FALSE),HLOOKUP(D110,PREVVOLS,VLOOKUP(G110,MOVE_DOWN2,2,FALSE),FALSE),VLOOKUP(G110,NGPREVPRICES,3,FALSE),HLOOKUP(D110,Correllate,VLOOKUP(G110,CorMove,2,FALSE),FALSE),Q110-$C$3,R110,$BI$5)*H110-BI110</f>
        <v>215.41790472901175</v>
      </c>
      <c r="BH110" s="238">
        <f t="shared" si="198"/>
        <v>-2262.078000395506</v>
      </c>
      <c r="BI110" s="238">
        <f>_xll.xSPRDOPT((VLOOKUP(G110,NGPREVPRICES,2,FALSE)+HLOOKUP(D110,PREVCURVES,VLOOKUP(G110,MOVE_DOWN2,2,FALSE),FALSE)),VLOOKUP(G110,NGPREVPRICES,2,FALSE),BJ110,VLOOKUP(G110,NGPREVPRICES,4,FALSE),HLOOKUP(D110,PREVVOLS,VLOOKUP(G110,MOVE_DOWN2,2,FALSE),FALSE),VLOOKUP(G110,NGPREVPRICES,3,FALSE),HLOOKUP(D110,Correllate,VLOOKUP(G110,CorMove,2,FALSE),FALSE),Q110-$BC$3,R110,$BI$5)*H110</f>
        <v>-5478.4813311040007</v>
      </c>
      <c r="BJ110" s="239">
        <f t="shared" si="199"/>
        <v>0.3</v>
      </c>
      <c r="BL110" t="str">
        <f t="shared" si="200"/>
        <v>36678Curve Shift/Gamma</v>
      </c>
      <c r="BM110" t="str">
        <f t="shared" si="127"/>
        <v>36678Rho</v>
      </c>
      <c r="BN110" t="str">
        <f t="shared" si="128"/>
        <v>36678Drift</v>
      </c>
      <c r="BO110" t="str">
        <f t="shared" si="129"/>
        <v>36678Vega</v>
      </c>
      <c r="BP110" t="str">
        <f t="shared" si="130"/>
        <v>36678Theta</v>
      </c>
    </row>
    <row r="111" spans="1:68" ht="12" customHeight="1" x14ac:dyDescent="0.25">
      <c r="A111" t="s">
        <v>299</v>
      </c>
      <c r="B111" t="s">
        <v>253</v>
      </c>
      <c r="C111" t="s">
        <v>308</v>
      </c>
      <c r="D111" s="4" t="s">
        <v>7</v>
      </c>
      <c r="E111" t="s">
        <v>20</v>
      </c>
      <c r="F111" t="s">
        <v>21</v>
      </c>
      <c r="G111" s="5">
        <v>36708</v>
      </c>
      <c r="H111" s="130">
        <v>-250000</v>
      </c>
      <c r="I111">
        <v>0.3</v>
      </c>
      <c r="J111" s="53">
        <f t="shared" si="170"/>
        <v>3.181</v>
      </c>
      <c r="K111" s="7">
        <f t="shared" si="171"/>
        <v>0.34499999999999997</v>
      </c>
      <c r="L111" s="4">
        <f t="shared" si="172"/>
        <v>3.5259999999999998</v>
      </c>
      <c r="M111" s="159">
        <f t="shared" si="173"/>
        <v>6.3695649345076003E-2</v>
      </c>
      <c r="N111" s="4">
        <f t="shared" si="174"/>
        <v>0.39500000000000002</v>
      </c>
      <c r="O111" s="4">
        <f t="shared" si="175"/>
        <v>0.38700000000000001</v>
      </c>
      <c r="P111" s="9">
        <f t="shared" si="176"/>
        <v>0.99</v>
      </c>
      <c r="Q111" s="5">
        <f t="shared" si="189"/>
        <v>36706</v>
      </c>
      <c r="R111" s="4">
        <f t="shared" si="177"/>
        <v>1</v>
      </c>
      <c r="S111" s="160">
        <f>_xll.xSPRDOPT($L111,$J111,$I111,$M111,$O111,$N111,$P111,$Q111-$C$3,$R111,0)</f>
        <v>6.2960064075801014E-2</v>
      </c>
      <c r="T111" s="161">
        <f>_xll.xSPRDOPT($L111,$J111,$I111,$M111,$O111,$N111,$P111,$Q111-$C$3,$R111,1)*H111</f>
        <v>-171185.450844698</v>
      </c>
      <c r="U111" s="162">
        <f t="shared" si="178"/>
        <v>-15740.016018950253</v>
      </c>
      <c r="V111" s="161">
        <f>_xll.xSPRDOPT($L111,$J111,$I111,$M111,$O111,$N111,$P111,$Q111-$C$3,$R111,2)*H111</f>
        <v>169407.75760456859</v>
      </c>
      <c r="W111" s="161">
        <f t="shared" si="179"/>
        <v>-1777.693240129418</v>
      </c>
      <c r="X111" s="51" t="str">
        <f t="shared" si="180"/>
        <v>36708IF-TRANSCO/Z6</v>
      </c>
      <c r="Y111" s="431">
        <f t="shared" si="181"/>
        <v>-25</v>
      </c>
      <c r="Z111" s="51"/>
      <c r="AA111" s="128">
        <f t="shared" si="190"/>
        <v>39356</v>
      </c>
      <c r="AB111" s="43">
        <f t="shared" si="194"/>
        <v>0</v>
      </c>
      <c r="AC111" s="43">
        <f t="shared" si="194"/>
        <v>0</v>
      </c>
      <c r="AD111" s="43">
        <f t="shared" si="194"/>
        <v>0</v>
      </c>
      <c r="AE111" s="43">
        <f t="shared" si="194"/>
        <v>0</v>
      </c>
      <c r="AF111" s="44">
        <f t="shared" si="194"/>
        <v>0</v>
      </c>
      <c r="AG111" s="44">
        <f t="shared" si="194"/>
        <v>0</v>
      </c>
      <c r="AH111" s="128">
        <f t="shared" si="191"/>
        <v>39356</v>
      </c>
      <c r="AI111" s="44">
        <f t="shared" si="137"/>
        <v>0</v>
      </c>
      <c r="AJ111" s="51"/>
      <c r="AK111" s="128">
        <f t="shared" si="192"/>
        <v>39356</v>
      </c>
      <c r="AL111" s="43">
        <f t="shared" si="195"/>
        <v>0</v>
      </c>
      <c r="AM111" s="43">
        <f t="shared" si="195"/>
        <v>0</v>
      </c>
      <c r="AN111" s="43">
        <f t="shared" si="195"/>
        <v>0</v>
      </c>
      <c r="AO111" s="43">
        <f t="shared" si="195"/>
        <v>0</v>
      </c>
      <c r="AP111" s="44">
        <f t="shared" si="195"/>
        <v>0</v>
      </c>
      <c r="AQ111" s="44">
        <f t="shared" si="195"/>
        <v>0</v>
      </c>
      <c r="AR111" s="128">
        <f t="shared" si="193"/>
        <v>39356</v>
      </c>
      <c r="AS111" s="44">
        <f t="shared" si="138"/>
        <v>0</v>
      </c>
      <c r="AT111" s="51"/>
      <c r="AU111" s="51"/>
      <c r="AV111" s="51"/>
      <c r="AW111" s="51"/>
      <c r="AX111" s="51"/>
      <c r="AY111" s="51"/>
      <c r="AZ111" s="51"/>
      <c r="BA111" s="51"/>
      <c r="BB111" s="142">
        <f t="shared" si="196"/>
        <v>36708</v>
      </c>
      <c r="BC111" s="238">
        <f>_xll.xSPRDOPT((VLOOKUP(G111,NGPrices,2,FALSE)+HLOOKUP(D111,Prices,VLOOKUP(G111,move_down,2,FALSE),FALSE)),VLOOKUP(G111,NGPrices,2,FALSE),I111,VLOOKUP(G111,NGPREVPRICES,4,FALSE),HLOOKUP(D111,PREVVOLS,VLOOKUP(G111,MOVE_DOWN2,2,FALSE),FALSE),VLOOKUP(G111,NGPREVPRICES,3,FALSE),HLOOKUP(D111,Correllate,VLOOKUP(G111,CorMove,2,FALSE),FALSE),Q111-$BC$3,R111,$BC$5)*H111-BI111</f>
        <v>-2611.9356263083973</v>
      </c>
      <c r="BD111" s="238">
        <f>_xll.xSPRDOPT((VLOOKUP(G111,NGPREVPRICES,2,FALSE)+HLOOKUP(D111,PREVCURVES,VLOOKUP(G111,MOVE_DOWN2,2,FALSE),FALSE)),VLOOKUP(G111,NGPREVPRICES,2,FALSE),BJ111,VLOOKUP(G111,NGPrices,4,FALSE),HLOOKUP(D111,PREVVOLS,VLOOKUP(G111,MOVE_DOWN2,2,FALSE),FALSE),VLOOKUP(G111,NGPREVPRICES,3,FALSE),HLOOKUP(D111,Correllate,VLOOKUP(G111,CorMove,2,FALSE),FALSE),Q111-$BC$3,R111,$BI$5)*H111-BI111</f>
        <v>0.1244434686977911</v>
      </c>
      <c r="BE111" s="10">
        <f t="shared" si="197"/>
        <v>2.2697909841717774</v>
      </c>
      <c r="BF111" s="238">
        <f>_xll.xSPRDOPT((VLOOKUP(G111,NGPREVPRICES,2,FALSE)+HLOOKUP(D111,PREVCURVES,VLOOKUP(G111,MOVE_DOWN2,2,FALSE),FALSE)),VLOOKUP(G111,NGPREVPRICES,2,FALSE),BJ111,VLOOKUP(G111,NGPREVPRICES,4,FALSE),HLOOKUP(D111,VOLS,VLOOKUP(G111,move_down,2,FALSE),FALSE),VLOOKUP(G111,NGPrices,3,FALSE),HLOOKUP(D111,Correllate,VLOOKUP(G111,CorMove,2,FALSE),FALSE),Q111-$BC$3,R111,$BI$5)*H111-BI111</f>
        <v>-234.62082354515951</v>
      </c>
      <c r="BG111" s="238">
        <f>_xll.xSPRDOPT((VLOOKUP(G111,NGPREVPRICES,2,FALSE)+HLOOKUP(D111,PREVCURVES,VLOOKUP(G111,MOVE_DOWN2,2,FALSE),FALSE)),VLOOKUP(G111,NGPREVPRICES,2,FALSE),BJ111,VLOOKUP(G111,NGPREVPRICES,4,FALSE),HLOOKUP(D111,PREVVOLS,VLOOKUP(G111,MOVE_DOWN2,2,FALSE),FALSE),VLOOKUP(G111,NGPREVPRICES,3,FALSE),HLOOKUP(D111,Correllate,VLOOKUP(G111,CorMove,2,FALSE),FALSE),Q111-$C$3,R111,$BI$5)*H111-BI111</f>
        <v>160.88609912776337</v>
      </c>
      <c r="BH111" s="238">
        <f t="shared" si="198"/>
        <v>-2683.2761162729239</v>
      </c>
      <c r="BI111" s="238">
        <f>_xll.xSPRDOPT((VLOOKUP(G111,NGPREVPRICES,2,FALSE)+HLOOKUP(D111,PREVCURVES,VLOOKUP(G111,MOVE_DOWN2,2,FALSE),FALSE)),VLOOKUP(G111,NGPREVPRICES,2,FALSE),BJ111,VLOOKUP(G111,NGPREVPRICES,4,FALSE),HLOOKUP(D111,PREVVOLS,VLOOKUP(G111,MOVE_DOWN2,2,FALSE),FALSE),VLOOKUP(G111,NGPREVPRICES,3,FALSE),HLOOKUP(D111,Correllate,VLOOKUP(G111,CorMove,2,FALSE),FALSE),Q111-$BC$3,R111,$BI$5)*H111</f>
        <v>-13060.941308234056</v>
      </c>
      <c r="BJ111" s="239">
        <f t="shared" si="199"/>
        <v>0.3</v>
      </c>
      <c r="BL111" t="str">
        <f t="shared" si="200"/>
        <v>36708Curve Shift/Gamma</v>
      </c>
      <c r="BM111" t="str">
        <f t="shared" si="127"/>
        <v>36708Rho</v>
      </c>
      <c r="BN111" t="str">
        <f t="shared" si="128"/>
        <v>36708Drift</v>
      </c>
      <c r="BO111" t="str">
        <f t="shared" si="129"/>
        <v>36708Vega</v>
      </c>
      <c r="BP111" t="str">
        <f t="shared" si="130"/>
        <v>36708Theta</v>
      </c>
    </row>
    <row r="112" spans="1:68" ht="12" customHeight="1" x14ac:dyDescent="0.25">
      <c r="A112" t="s">
        <v>299</v>
      </c>
      <c r="B112" t="s">
        <v>253</v>
      </c>
      <c r="C112" t="s">
        <v>308</v>
      </c>
      <c r="D112" s="4" t="s">
        <v>7</v>
      </c>
      <c r="E112" t="s">
        <v>20</v>
      </c>
      <c r="F112" t="s">
        <v>21</v>
      </c>
      <c r="G112" s="5">
        <v>36739</v>
      </c>
      <c r="H112" s="130">
        <v>-250000</v>
      </c>
      <c r="I112">
        <v>0.3</v>
      </c>
      <c r="J112" s="53">
        <f t="shared" si="170"/>
        <v>3.1829999999999998</v>
      </c>
      <c r="K112" s="7">
        <f t="shared" si="171"/>
        <v>0.34499999999999997</v>
      </c>
      <c r="L112" s="4">
        <f t="shared" si="172"/>
        <v>3.5279999999999996</v>
      </c>
      <c r="M112" s="159">
        <f t="shared" si="173"/>
        <v>6.4500399973534003E-2</v>
      </c>
      <c r="N112" s="4">
        <f t="shared" si="174"/>
        <v>0.41249999999999998</v>
      </c>
      <c r="O112" s="4">
        <f t="shared" si="175"/>
        <v>0.40400000000000003</v>
      </c>
      <c r="P112" s="9">
        <f t="shared" si="176"/>
        <v>0.99</v>
      </c>
      <c r="Q112" s="5">
        <f t="shared" si="189"/>
        <v>36735</v>
      </c>
      <c r="R112" s="4">
        <f t="shared" si="177"/>
        <v>1</v>
      </c>
      <c r="S112" s="160">
        <f>_xll.xSPRDOPT($L112,$J112,$I112,$M112,$O112,$N112,$P112,$Q112-$C$3,$R112,0)</f>
        <v>7.0370105649823031E-2</v>
      </c>
      <c r="T112" s="161">
        <f>_xll.xSPRDOPT($L112,$J112,$I112,$M112,$O112,$N112,$P112,$Q112-$C$3,$R112,1)*H112</f>
        <v>-162594.61382687406</v>
      </c>
      <c r="U112" s="162">
        <f t="shared" si="178"/>
        <v>-17592.526412455758</v>
      </c>
      <c r="V112" s="161">
        <f>_xll.xSPRDOPT($L112,$J112,$I112,$M112,$O112,$N112,$P112,$Q112-$C$3,$R112,2)*H112</f>
        <v>160319.51057257233</v>
      </c>
      <c r="W112" s="161">
        <f t="shared" si="179"/>
        <v>-2275.1032543017354</v>
      </c>
      <c r="X112" s="51" t="str">
        <f t="shared" si="180"/>
        <v>36739IF-TRANSCO/Z6</v>
      </c>
      <c r="Y112" s="431">
        <f t="shared" si="181"/>
        <v>-25</v>
      </c>
      <c r="Z112" s="51"/>
      <c r="AA112" s="128">
        <f t="shared" si="190"/>
        <v>39387</v>
      </c>
      <c r="AB112" s="43">
        <f t="shared" si="194"/>
        <v>0</v>
      </c>
      <c r="AC112" s="43">
        <f t="shared" si="194"/>
        <v>0</v>
      </c>
      <c r="AD112" s="43">
        <f t="shared" si="194"/>
        <v>0</v>
      </c>
      <c r="AE112" s="43">
        <f t="shared" si="194"/>
        <v>0</v>
      </c>
      <c r="AF112" s="44">
        <f t="shared" si="194"/>
        <v>0</v>
      </c>
      <c r="AG112" s="44">
        <f t="shared" si="194"/>
        <v>0</v>
      </c>
      <c r="AH112" s="128">
        <f t="shared" si="191"/>
        <v>39387</v>
      </c>
      <c r="AI112" s="44">
        <f t="shared" si="137"/>
        <v>0</v>
      </c>
      <c r="AJ112" s="51"/>
      <c r="AK112" s="128">
        <f t="shared" si="192"/>
        <v>39387</v>
      </c>
      <c r="AL112" s="43">
        <f t="shared" si="195"/>
        <v>0</v>
      </c>
      <c r="AM112" s="43">
        <f t="shared" si="195"/>
        <v>0</v>
      </c>
      <c r="AN112" s="43">
        <f t="shared" si="195"/>
        <v>0</v>
      </c>
      <c r="AO112" s="43">
        <f t="shared" si="195"/>
        <v>0</v>
      </c>
      <c r="AP112" s="44">
        <f t="shared" si="195"/>
        <v>0</v>
      </c>
      <c r="AQ112" s="44">
        <f t="shared" si="195"/>
        <v>0</v>
      </c>
      <c r="AR112" s="128">
        <f t="shared" si="193"/>
        <v>39387</v>
      </c>
      <c r="AS112" s="44">
        <f t="shared" si="138"/>
        <v>0</v>
      </c>
      <c r="AT112" s="51"/>
      <c r="AU112" s="51"/>
      <c r="AV112" s="51"/>
      <c r="AW112" s="51"/>
      <c r="AX112" s="51"/>
      <c r="AY112" s="51"/>
      <c r="AZ112" s="51"/>
      <c r="BA112" s="51"/>
      <c r="BB112" s="142">
        <f t="shared" si="196"/>
        <v>36739</v>
      </c>
      <c r="BC112" s="238">
        <f>_xll.xSPRDOPT((VLOOKUP(G112,NGPrices,2,FALSE)+HLOOKUP(D112,Prices,VLOOKUP(G112,move_down,2,FALSE),FALSE)),VLOOKUP(G112,NGPrices,2,FALSE),I112,VLOOKUP(G112,NGPREVPRICES,4,FALSE),HLOOKUP(D112,PREVVOLS,VLOOKUP(G112,MOVE_DOWN2,2,FALSE),FALSE),VLOOKUP(G112,NGPREVPRICES,3,FALSE),HLOOKUP(D112,Correllate,VLOOKUP(G112,CorMove,2,FALSE),FALSE),Q112-$BC$3,R112,$BC$5)*H112-BI112</f>
        <v>-2536.4653063064452</v>
      </c>
      <c r="BD112" s="238">
        <f>_xll.xSPRDOPT((VLOOKUP(G112,NGPREVPRICES,2,FALSE)+HLOOKUP(D112,PREVCURVES,VLOOKUP(G112,MOVE_DOWN2,2,FALSE),FALSE)),VLOOKUP(G112,NGPREVPRICES,2,FALSE),BJ112,VLOOKUP(G112,NGPrices,4,FALSE),HLOOKUP(D112,PREVVOLS,VLOOKUP(G112,MOVE_DOWN2,2,FALSE),FALSE),VLOOKUP(G112,NGPREVPRICES,3,FALSE),HLOOKUP(D112,Correllate,VLOOKUP(G112,CorMove,2,FALSE),FALSE),Q112-$BC$3,R112,$BI$5)*H112-BI112</f>
        <v>0.11180748238439264</v>
      </c>
      <c r="BE112" s="10">
        <f t="shared" si="197"/>
        <v>2.6414463939327106</v>
      </c>
      <c r="BF112" s="238">
        <f>_xll.xSPRDOPT((VLOOKUP(G112,NGPREVPRICES,2,FALSE)+HLOOKUP(D112,PREVCURVES,VLOOKUP(G112,MOVE_DOWN2,2,FALSE),FALSE)),VLOOKUP(G112,NGPREVPRICES,2,FALSE),BJ112,VLOOKUP(G112,NGPREVPRICES,4,FALSE),HLOOKUP(D112,VOLS,VLOOKUP(G112,move_down,2,FALSE),FALSE),VLOOKUP(G112,NGPrices,3,FALSE),HLOOKUP(D112,Correllate,VLOOKUP(G112,CorMove,2,FALSE),FALSE),Q112-$BC$3,R112,$BI$5)*H112-BI112</f>
        <v>-279.92965643979005</v>
      </c>
      <c r="BG112" s="238">
        <f>_xll.xSPRDOPT((VLOOKUP(G112,NGPREVPRICES,2,FALSE)+HLOOKUP(D112,PREVCURVES,VLOOKUP(G112,MOVE_DOWN2,2,FALSE),FALSE)),VLOOKUP(G112,NGPREVPRICES,2,FALSE),BJ112,VLOOKUP(G112,NGPREVPRICES,4,FALSE),HLOOKUP(D112,PREVVOLS,VLOOKUP(G112,MOVE_DOWN2,2,FALSE),FALSE),VLOOKUP(G112,NGPREVPRICES,3,FALSE),HLOOKUP(D112,Correllate,VLOOKUP(G112,CorMove,2,FALSE),FALSE),Q112-$C$3,R112,$BI$5)*H112-BI112</f>
        <v>143.1887407761933</v>
      </c>
      <c r="BH112" s="238">
        <f t="shared" si="198"/>
        <v>-2670.4529680937248</v>
      </c>
      <c r="BI112" s="238">
        <f>_xll.xSPRDOPT((VLOOKUP(G112,NGPREVPRICES,2,FALSE)+HLOOKUP(D112,PREVCURVES,VLOOKUP(G112,MOVE_DOWN2,2,FALSE),FALSE)),VLOOKUP(G112,NGPREVPRICES,2,FALSE),BJ112,VLOOKUP(G112,NGPREVPRICES,4,FALSE),HLOOKUP(D112,PREVVOLS,VLOOKUP(G112,MOVE_DOWN2,2,FALSE),FALSE),VLOOKUP(G112,NGPREVPRICES,3,FALSE),HLOOKUP(D112,Correllate,VLOOKUP(G112,CorMove,2,FALSE),FALSE),Q112-$BC$3,R112,$BI$5)*H112</f>
        <v>-14925.105046132174</v>
      </c>
      <c r="BJ112" s="239">
        <f t="shared" si="199"/>
        <v>0.3</v>
      </c>
      <c r="BL112" t="str">
        <f t="shared" si="200"/>
        <v>36739Curve Shift/Gamma</v>
      </c>
      <c r="BM112" t="str">
        <f t="shared" si="127"/>
        <v>36739Rho</v>
      </c>
      <c r="BN112" t="str">
        <f t="shared" si="128"/>
        <v>36739Drift</v>
      </c>
      <c r="BO112" t="str">
        <f t="shared" si="129"/>
        <v>36739Vega</v>
      </c>
      <c r="BP112" t="str">
        <f t="shared" si="130"/>
        <v>36739Theta</v>
      </c>
    </row>
    <row r="113" spans="1:68" ht="12" customHeight="1" x14ac:dyDescent="0.25">
      <c r="A113" t="s">
        <v>299</v>
      </c>
      <c r="B113" t="s">
        <v>253</v>
      </c>
      <c r="C113" t="s">
        <v>308</v>
      </c>
      <c r="D113" s="4" t="s">
        <v>7</v>
      </c>
      <c r="E113" t="s">
        <v>20</v>
      </c>
      <c r="F113" t="s">
        <v>21</v>
      </c>
      <c r="G113" s="5">
        <v>36770</v>
      </c>
      <c r="H113" s="130">
        <v>-250000</v>
      </c>
      <c r="I113">
        <v>0.3</v>
      </c>
      <c r="J113" s="53">
        <f t="shared" si="170"/>
        <v>3.173</v>
      </c>
      <c r="K113" s="7">
        <f t="shared" si="171"/>
        <v>0.315</v>
      </c>
      <c r="L113" s="4">
        <f t="shared" si="172"/>
        <v>3.488</v>
      </c>
      <c r="M113" s="159">
        <f t="shared" si="173"/>
        <v>6.5221012015626995E-2</v>
      </c>
      <c r="N113" s="4">
        <f t="shared" si="174"/>
        <v>0.42</v>
      </c>
      <c r="O113" s="4">
        <f t="shared" si="175"/>
        <v>0.41199999999999998</v>
      </c>
      <c r="P113" s="9">
        <f t="shared" si="176"/>
        <v>0.99</v>
      </c>
      <c r="Q113" s="5">
        <f t="shared" si="189"/>
        <v>36768</v>
      </c>
      <c r="R113" s="4">
        <f t="shared" si="177"/>
        <v>1</v>
      </c>
      <c r="S113" s="160">
        <f>_xll.xSPRDOPT($L113,$J113,$I113,$M113,$O113,$N113,$P113,$Q113-$C$3,$R113,0)</f>
        <v>5.9717690015039612E-2</v>
      </c>
      <c r="T113" s="161">
        <f>_xll.xSPRDOPT($L113,$J113,$I113,$M113,$O113,$N113,$P113,$Q113-$C$3,$R113,1)*H113</f>
        <v>-135789.30794730608</v>
      </c>
      <c r="U113" s="162">
        <f t="shared" si="178"/>
        <v>-14929.422503759903</v>
      </c>
      <c r="V113" s="161">
        <f>_xll.xSPRDOPT($L113,$J113,$I113,$M113,$O113,$N113,$P113,$Q113-$C$3,$R113,2)*H113</f>
        <v>132913.50437728883</v>
      </c>
      <c r="W113" s="161">
        <f t="shared" si="179"/>
        <v>-2875.8035700172477</v>
      </c>
      <c r="X113" s="51" t="str">
        <f t="shared" si="180"/>
        <v>36770IF-TRANSCO/Z6</v>
      </c>
      <c r="Y113" s="431">
        <f t="shared" si="181"/>
        <v>-25</v>
      </c>
      <c r="Z113" s="51"/>
      <c r="AA113" s="128">
        <f t="shared" si="190"/>
        <v>39417</v>
      </c>
      <c r="AB113" s="43">
        <f t="shared" si="194"/>
        <v>0</v>
      </c>
      <c r="AC113" s="43">
        <f t="shared" si="194"/>
        <v>0</v>
      </c>
      <c r="AD113" s="43">
        <f t="shared" si="194"/>
        <v>0</v>
      </c>
      <c r="AE113" s="43">
        <f t="shared" si="194"/>
        <v>0</v>
      </c>
      <c r="AF113" s="44">
        <f t="shared" si="194"/>
        <v>0</v>
      </c>
      <c r="AG113" s="44">
        <f t="shared" si="194"/>
        <v>0</v>
      </c>
      <c r="AH113" s="128">
        <f t="shared" si="191"/>
        <v>39417</v>
      </c>
      <c r="AI113" s="44">
        <f t="shared" si="137"/>
        <v>0</v>
      </c>
      <c r="AJ113" s="51"/>
      <c r="AK113" s="128">
        <f t="shared" si="192"/>
        <v>39417</v>
      </c>
      <c r="AL113" s="43">
        <f t="shared" si="195"/>
        <v>0</v>
      </c>
      <c r="AM113" s="43">
        <f t="shared" si="195"/>
        <v>0</v>
      </c>
      <c r="AN113" s="43">
        <f t="shared" si="195"/>
        <v>0</v>
      </c>
      <c r="AO113" s="43">
        <f t="shared" si="195"/>
        <v>0</v>
      </c>
      <c r="AP113" s="44">
        <f t="shared" si="195"/>
        <v>0</v>
      </c>
      <c r="AQ113" s="44">
        <f t="shared" si="195"/>
        <v>0</v>
      </c>
      <c r="AR113" s="128">
        <f t="shared" si="193"/>
        <v>39417</v>
      </c>
      <c r="AS113" s="44">
        <f t="shared" si="138"/>
        <v>0</v>
      </c>
      <c r="AT113" s="51"/>
      <c r="AU113" s="51"/>
      <c r="AV113" s="51"/>
      <c r="AW113" s="51"/>
      <c r="AX113" s="51"/>
      <c r="AY113" s="51"/>
      <c r="AZ113" s="51"/>
      <c r="BA113" s="51"/>
      <c r="BB113" s="142">
        <f t="shared" si="196"/>
        <v>36770</v>
      </c>
      <c r="BC113" s="238">
        <f>_xll.xSPRDOPT((VLOOKUP(G113,NGPrices,2,FALSE)+HLOOKUP(D113,Prices,VLOOKUP(G113,move_down,2,FALSE),FALSE)),VLOOKUP(G113,NGPrices,2,FALSE),I113,VLOOKUP(G113,NGPREVPRICES,4,FALSE),HLOOKUP(D113,PREVVOLS,VLOOKUP(G113,MOVE_DOWN2,2,FALSE),FALSE),VLOOKUP(G113,NGPREVPRICES,3,FALSE),HLOOKUP(D113,Correllate,VLOOKUP(G113,CorMove,2,FALSE),FALSE),Q113-$BC$3,R113,$BC$5)*H113-BI113</f>
        <v>-2484.4194541004381</v>
      </c>
      <c r="BD113" s="238">
        <f>_xll.xSPRDOPT((VLOOKUP(G113,NGPREVPRICES,2,FALSE)+HLOOKUP(D113,PREVCURVES,VLOOKUP(G113,MOVE_DOWN2,2,FALSE),FALSE)),VLOOKUP(G113,NGPREVPRICES,2,FALSE),BJ113,VLOOKUP(G113,NGPrices,4,FALSE),HLOOKUP(D113,PREVVOLS,VLOOKUP(G113,MOVE_DOWN2,2,FALSE),FALSE),VLOOKUP(G113,NGPREVPRICES,3,FALSE),HLOOKUP(D113,Correllate,VLOOKUP(G113,CorMove,2,FALSE),FALSE),Q113-$BC$3,R113,$BI$5)*H113-BI113</f>
        <v>-2.0462664680962916E-2</v>
      </c>
      <c r="BE113" s="10">
        <f t="shared" si="197"/>
        <v>2.2049223656395043</v>
      </c>
      <c r="BF113" s="238">
        <f>_xll.xSPRDOPT((VLOOKUP(G113,NGPREVPRICES,2,FALSE)+HLOOKUP(D113,PREVCURVES,VLOOKUP(G113,MOVE_DOWN2,2,FALSE),FALSE)),VLOOKUP(G113,NGPREVPRICES,2,FALSE),BJ113,VLOOKUP(G113,NGPREVPRICES,4,FALSE),HLOOKUP(D113,VOLS,VLOOKUP(G113,move_down,2,FALSE),FALSE),VLOOKUP(G113,NGPrices,3,FALSE),HLOOKUP(D113,Correllate,VLOOKUP(G113,CorMove,2,FALSE),FALSE),Q113-$BC$3,R113,$BI$5)*H113-BI113</f>
        <v>-327.90138808610754</v>
      </c>
      <c r="BG113" s="238">
        <f>_xll.xSPRDOPT((VLOOKUP(G113,NGPREVPRICES,2,FALSE)+HLOOKUP(D113,PREVCURVES,VLOOKUP(G113,MOVE_DOWN2,2,FALSE),FALSE)),VLOOKUP(G113,NGPREVPRICES,2,FALSE),BJ113,VLOOKUP(G113,NGPREVPRICES,4,FALSE),HLOOKUP(D113,PREVVOLS,VLOOKUP(G113,MOVE_DOWN2,2,FALSE),FALSE),VLOOKUP(G113,NGPREVPRICES,3,FALSE),HLOOKUP(D113,Correllate,VLOOKUP(G113,CorMove,2,FALSE),FALSE),Q113-$C$3,R113,$BI$5)*H113-BI113</f>
        <v>131.35563855502551</v>
      </c>
      <c r="BH113" s="238">
        <f t="shared" si="198"/>
        <v>-2678.7807439305616</v>
      </c>
      <c r="BI113" s="238">
        <f>_xll.xSPRDOPT((VLOOKUP(G113,NGPREVPRICES,2,FALSE)+HLOOKUP(D113,PREVCURVES,VLOOKUP(G113,MOVE_DOWN2,2,FALSE),FALSE)),VLOOKUP(G113,NGPREVPRICES,2,FALSE),BJ113,VLOOKUP(G113,NGPREVPRICES,4,FALSE),HLOOKUP(D113,PREVVOLS,VLOOKUP(G113,MOVE_DOWN2,2,FALSE),FALSE),VLOOKUP(G113,NGPREVPRICES,3,FALSE),HLOOKUP(D113,Correllate,VLOOKUP(G113,CorMove,2,FALSE),FALSE),Q113-$BC$3,R113,$BI$5)*H113</f>
        <v>-12247.861744361771</v>
      </c>
      <c r="BJ113" s="239">
        <f t="shared" si="199"/>
        <v>0.3</v>
      </c>
      <c r="BL113" t="str">
        <f t="shared" si="200"/>
        <v>36770Curve Shift/Gamma</v>
      </c>
      <c r="BM113" t="str">
        <f t="shared" si="127"/>
        <v>36770Rho</v>
      </c>
      <c r="BN113" t="str">
        <f t="shared" si="128"/>
        <v>36770Drift</v>
      </c>
      <c r="BO113" t="str">
        <f t="shared" si="129"/>
        <v>36770Vega</v>
      </c>
      <c r="BP113" t="str">
        <f t="shared" si="130"/>
        <v>36770Theta</v>
      </c>
    </row>
    <row r="114" spans="1:68" ht="12" customHeight="1" x14ac:dyDescent="0.25">
      <c r="A114" t="s">
        <v>299</v>
      </c>
      <c r="B114" t="s">
        <v>253</v>
      </c>
      <c r="C114" t="s">
        <v>308</v>
      </c>
      <c r="D114" s="4" t="s">
        <v>7</v>
      </c>
      <c r="E114" t="s">
        <v>20</v>
      </c>
      <c r="F114" t="s">
        <v>21</v>
      </c>
      <c r="G114" s="5">
        <v>36800</v>
      </c>
      <c r="H114" s="130">
        <v>-250000</v>
      </c>
      <c r="I114">
        <v>0.3</v>
      </c>
      <c r="J114" s="53">
        <f t="shared" si="170"/>
        <v>3.18</v>
      </c>
      <c r="K114" s="7">
        <f t="shared" si="171"/>
        <v>0.34499999999999997</v>
      </c>
      <c r="L114" s="4">
        <f t="shared" si="172"/>
        <v>3.5250000000000004</v>
      </c>
      <c r="M114" s="159">
        <f t="shared" si="173"/>
        <v>6.5817989695161006E-2</v>
      </c>
      <c r="N114" s="4">
        <f t="shared" si="174"/>
        <v>0.42249999999999999</v>
      </c>
      <c r="O114" s="4">
        <f t="shared" si="175"/>
        <v>0.41399999999999998</v>
      </c>
      <c r="P114" s="9">
        <f t="shared" si="176"/>
        <v>0.99</v>
      </c>
      <c r="Q114" s="5">
        <f t="shared" si="189"/>
        <v>36797</v>
      </c>
      <c r="R114" s="4">
        <f t="shared" si="177"/>
        <v>1</v>
      </c>
      <c r="S114" s="160">
        <f>_xll.xSPRDOPT($L114,$J114,$I114,$M114,$O114,$N114,$P114,$Q114-$C$3,$R114,0)</f>
        <v>8.2175162078058181E-2</v>
      </c>
      <c r="T114" s="161">
        <f>_xll.xSPRDOPT($L114,$J114,$I114,$M114,$O114,$N114,$P114,$Q114-$C$3,$R114,1)*H114</f>
        <v>-153225.97842687802</v>
      </c>
      <c r="U114" s="162">
        <f t="shared" si="178"/>
        <v>-20543.790519514547</v>
      </c>
      <c r="V114" s="161">
        <f>_xll.xSPRDOPT($L114,$J114,$I114,$M114,$O114,$N114,$P114,$Q114-$C$3,$R114,2)*H114</f>
        <v>150207.13947455742</v>
      </c>
      <c r="W114" s="161">
        <f t="shared" si="179"/>
        <v>-3018.8389523205988</v>
      </c>
      <c r="X114" s="51" t="str">
        <f t="shared" si="180"/>
        <v>36800IF-TRANSCO/Z6</v>
      </c>
      <c r="Y114" s="431">
        <f t="shared" si="181"/>
        <v>-25</v>
      </c>
      <c r="Z114" s="51"/>
      <c r="AA114" s="128">
        <f t="shared" si="190"/>
        <v>39448</v>
      </c>
      <c r="AB114" s="43">
        <f t="shared" si="194"/>
        <v>0</v>
      </c>
      <c r="AC114" s="43">
        <f t="shared" si="194"/>
        <v>0</v>
      </c>
      <c r="AD114" s="43">
        <f t="shared" si="194"/>
        <v>0</v>
      </c>
      <c r="AE114" s="43">
        <f t="shared" si="194"/>
        <v>0</v>
      </c>
      <c r="AF114" s="44">
        <f t="shared" si="194"/>
        <v>0</v>
      </c>
      <c r="AG114" s="44">
        <f t="shared" si="194"/>
        <v>0</v>
      </c>
      <c r="AH114" s="128">
        <f t="shared" si="191"/>
        <v>39448</v>
      </c>
      <c r="AI114" s="44">
        <f t="shared" si="137"/>
        <v>0</v>
      </c>
      <c r="AJ114" s="51"/>
      <c r="AK114" s="128">
        <f t="shared" si="192"/>
        <v>39448</v>
      </c>
      <c r="AL114" s="43">
        <f t="shared" si="195"/>
        <v>0</v>
      </c>
      <c r="AM114" s="43">
        <f t="shared" si="195"/>
        <v>0</v>
      </c>
      <c r="AN114" s="43">
        <f t="shared" si="195"/>
        <v>0</v>
      </c>
      <c r="AO114" s="43">
        <f t="shared" si="195"/>
        <v>0</v>
      </c>
      <c r="AP114" s="44">
        <f t="shared" si="195"/>
        <v>0</v>
      </c>
      <c r="AQ114" s="44">
        <f t="shared" si="195"/>
        <v>0</v>
      </c>
      <c r="AR114" s="128">
        <f t="shared" si="193"/>
        <v>39448</v>
      </c>
      <c r="AS114" s="44">
        <f t="shared" si="138"/>
        <v>0</v>
      </c>
      <c r="AT114" s="51"/>
      <c r="AU114" s="51"/>
      <c r="AV114" s="51"/>
      <c r="AW114" s="51"/>
      <c r="AX114" s="51"/>
      <c r="AY114" s="51"/>
      <c r="AZ114" s="51"/>
      <c r="BA114" s="51"/>
      <c r="BB114" s="142">
        <f t="shared" si="196"/>
        <v>36800</v>
      </c>
      <c r="BC114" s="238">
        <f>_xll.xSPRDOPT((VLOOKUP(G114,NGPrices,2,FALSE)+HLOOKUP(D114,Prices,VLOOKUP(G114,move_down,2,FALSE),FALSE)),VLOOKUP(G114,NGPrices,2,FALSE),I114,VLOOKUP(G114,NGPREVPRICES,4,FALSE),HLOOKUP(D114,PREVVOLS,VLOOKUP(G114,MOVE_DOWN2,2,FALSE),FALSE),VLOOKUP(G114,NGPREVPRICES,3,FALSE),HLOOKUP(D114,Correllate,VLOOKUP(G114,CorMove,2,FALSE),FALSE),Q114-$BC$3,R114,$BC$5)*H114-BI114</f>
        <v>-3523.3193679801043</v>
      </c>
      <c r="BD114" s="238">
        <f>_xll.xSPRDOPT((VLOOKUP(G114,NGPREVPRICES,2,FALSE)+HLOOKUP(D114,PREVCURVES,VLOOKUP(G114,MOVE_DOWN2,2,FALSE),FALSE)),VLOOKUP(G114,NGPREVPRICES,2,FALSE),BJ114,VLOOKUP(G114,NGPrices,4,FALSE),HLOOKUP(D114,PREVVOLS,VLOOKUP(G114,MOVE_DOWN2,2,FALSE),FALSE),VLOOKUP(G114,NGPREVPRICES,3,FALSE),HLOOKUP(D114,Correllate,VLOOKUP(G114,CorMove,2,FALSE),FALSE),Q114-$BC$3,R114,$BI$5)*H114-BI114</f>
        <v>-0.27717744884284912</v>
      </c>
      <c r="BE114" s="10">
        <f t="shared" si="197"/>
        <v>3.0668084402823297</v>
      </c>
      <c r="BF114" s="238">
        <f>_xll.xSPRDOPT((VLOOKUP(G114,NGPREVPRICES,2,FALSE)+HLOOKUP(D114,PREVCURVES,VLOOKUP(G114,MOVE_DOWN2,2,FALSE),FALSE)),VLOOKUP(G114,NGPREVPRICES,2,FALSE),BJ114,VLOOKUP(G114,NGPREVPRICES,4,FALSE),HLOOKUP(D114,VOLS,VLOOKUP(G114,move_down,2,FALSE),FALSE),VLOOKUP(G114,NGPrices,3,FALSE),HLOOKUP(D114,Correllate,VLOOKUP(G114,CorMove,2,FALSE),FALSE),Q114-$BC$3,R114,$BI$5)*H114-BI114</f>
        <v>-357.9248420316726</v>
      </c>
      <c r="BG114" s="238">
        <f>_xll.xSPRDOPT((VLOOKUP(G114,NGPREVPRICES,2,FALSE)+HLOOKUP(D114,PREVCURVES,VLOOKUP(G114,MOVE_DOWN2,2,FALSE),FALSE)),VLOOKUP(G114,NGPREVPRICES,2,FALSE),BJ114,VLOOKUP(G114,NGPREVPRICES,4,FALSE),HLOOKUP(D114,PREVVOLS,VLOOKUP(G114,MOVE_DOWN2,2,FALSE),FALSE),VLOOKUP(G114,NGPREVPRICES,3,FALSE),HLOOKUP(D114,Correllate,VLOOKUP(G114,CorMove,2,FALSE),FALSE),Q114-$C$3,R114,$BI$5)*H114-BI114</f>
        <v>115.50338021983043</v>
      </c>
      <c r="BH114" s="238">
        <f t="shared" si="198"/>
        <v>-3762.951198800507</v>
      </c>
      <c r="BI114" s="238">
        <f>_xll.xSPRDOPT((VLOOKUP(G114,NGPREVPRICES,2,FALSE)+HLOOKUP(D114,PREVCURVES,VLOOKUP(G114,MOVE_DOWN2,2,FALSE),FALSE)),VLOOKUP(G114,NGPREVPRICES,2,FALSE),BJ114,VLOOKUP(G114,NGPREVPRICES,4,FALSE),HLOOKUP(D114,PREVVOLS,VLOOKUP(G114,MOVE_DOWN2,2,FALSE),FALSE),VLOOKUP(G114,NGPREVPRICES,3,FALSE),HLOOKUP(D114,Correllate,VLOOKUP(G114,CorMove,2,FALSE),FALSE),Q114-$BC$3,R114,$BI$5)*H114</f>
        <v>-16781.987160946035</v>
      </c>
      <c r="BJ114" s="239">
        <f t="shared" si="199"/>
        <v>0.3</v>
      </c>
      <c r="BL114" t="str">
        <f t="shared" si="200"/>
        <v>36800Curve Shift/Gamma</v>
      </c>
      <c r="BM114" t="str">
        <f t="shared" si="127"/>
        <v>36800Rho</v>
      </c>
      <c r="BN114" t="str">
        <f t="shared" si="128"/>
        <v>36800Drift</v>
      </c>
      <c r="BO114" t="str">
        <f t="shared" si="129"/>
        <v>36800Vega</v>
      </c>
      <c r="BP114" t="str">
        <f t="shared" si="130"/>
        <v>36800Theta</v>
      </c>
    </row>
    <row r="115" spans="1:68" ht="12" customHeight="1" x14ac:dyDescent="0.25">
      <c r="A115" t="s">
        <v>299</v>
      </c>
      <c r="B115" t="s">
        <v>253</v>
      </c>
      <c r="C115" t="s">
        <v>309</v>
      </c>
      <c r="D115" s="4" t="s">
        <v>7</v>
      </c>
      <c r="E115" t="s">
        <v>20</v>
      </c>
      <c r="F115" t="s">
        <v>1</v>
      </c>
      <c r="G115" s="5">
        <v>36647</v>
      </c>
      <c r="H115" s="130">
        <v>-250000</v>
      </c>
      <c r="I115">
        <v>0.3</v>
      </c>
      <c r="J115" s="53">
        <f t="shared" si="170"/>
        <v>3.1579999999999999</v>
      </c>
      <c r="K115" s="7">
        <f t="shared" si="171"/>
        <v>0.29499999999999998</v>
      </c>
      <c r="L115" s="4">
        <f t="shared" si="172"/>
        <v>3.4529999999999998</v>
      </c>
      <c r="M115" s="159">
        <f t="shared" si="173"/>
        <v>6.2683518517613002E-2</v>
      </c>
      <c r="N115" s="4">
        <f t="shared" si="174"/>
        <v>0.41</v>
      </c>
      <c r="O115" s="4">
        <f t="shared" si="175"/>
        <v>0.40200000000000002</v>
      </c>
      <c r="P115" s="9">
        <f t="shared" si="176"/>
        <v>0.99</v>
      </c>
      <c r="Q115" s="5">
        <f t="shared" si="189"/>
        <v>36643</v>
      </c>
      <c r="R115" s="4">
        <f t="shared" si="177"/>
        <v>0</v>
      </c>
      <c r="S115" s="160">
        <f>_xll.xSPRDOPT($L115,$J115,$I115,$M115,$O115,$N115,$P115,$Q115-$C$3,$R115,0)</f>
        <v>1.6617215052741219E-2</v>
      </c>
      <c r="T115" s="161">
        <f>_xll.xSPRDOPT($L115,$J115,$I115,$M115,$O115,$N115,$P115,$Q115-$C$3,$R115,1)*H115</f>
        <v>138160.61846664996</v>
      </c>
      <c r="U115" s="162">
        <f t="shared" si="178"/>
        <v>-4154.3037631853049</v>
      </c>
      <c r="V115" s="161">
        <f>_xll.xSPRDOPT($L115,$J115,$I115,$M115,$O115,$N115,$P115,$Q115-$C$3,$R115,2)*H115</f>
        <v>-138941.06884457968</v>
      </c>
      <c r="W115" s="161">
        <f t="shared" si="179"/>
        <v>-780.45037792972289</v>
      </c>
      <c r="X115" s="51" t="str">
        <f t="shared" si="180"/>
        <v>36647IF-TRANSCO/Z6</v>
      </c>
      <c r="Y115" s="431">
        <f t="shared" si="181"/>
        <v>-25</v>
      </c>
      <c r="AA115" s="128">
        <f t="shared" si="190"/>
        <v>39479</v>
      </c>
      <c r="AB115" s="43">
        <f t="shared" si="194"/>
        <v>0</v>
      </c>
      <c r="AC115" s="43">
        <f t="shared" si="194"/>
        <v>0</v>
      </c>
      <c r="AD115" s="43">
        <f t="shared" si="194"/>
        <v>0</v>
      </c>
      <c r="AE115" s="43">
        <f t="shared" si="194"/>
        <v>0</v>
      </c>
      <c r="AF115" s="44">
        <f t="shared" si="194"/>
        <v>0</v>
      </c>
      <c r="AG115" s="44">
        <f t="shared" si="194"/>
        <v>0</v>
      </c>
      <c r="AH115" s="128">
        <f t="shared" si="191"/>
        <v>39479</v>
      </c>
      <c r="AI115" s="44">
        <f t="shared" si="137"/>
        <v>0</v>
      </c>
      <c r="AJ115" s="51"/>
      <c r="AK115" s="128">
        <f t="shared" si="192"/>
        <v>39479</v>
      </c>
      <c r="AL115" s="43">
        <f t="shared" si="195"/>
        <v>0</v>
      </c>
      <c r="AM115" s="43">
        <f t="shared" si="195"/>
        <v>0</v>
      </c>
      <c r="AN115" s="43">
        <f t="shared" si="195"/>
        <v>0</v>
      </c>
      <c r="AO115" s="43">
        <f t="shared" si="195"/>
        <v>0</v>
      </c>
      <c r="AP115" s="44">
        <f t="shared" si="195"/>
        <v>0</v>
      </c>
      <c r="AQ115" s="44">
        <f t="shared" si="195"/>
        <v>0</v>
      </c>
      <c r="AR115" s="128">
        <f t="shared" si="193"/>
        <v>39479</v>
      </c>
      <c r="AS115" s="44">
        <f t="shared" si="138"/>
        <v>0</v>
      </c>
      <c r="AT115" s="51"/>
      <c r="AU115" s="51"/>
      <c r="AV115" s="51"/>
      <c r="AW115" s="51"/>
      <c r="AX115" s="51"/>
      <c r="AY115" s="51"/>
      <c r="AZ115" s="51"/>
      <c r="BA115" s="51"/>
      <c r="BB115" s="142">
        <f t="shared" si="196"/>
        <v>36647</v>
      </c>
      <c r="BC115" s="238">
        <f>_xll.xSPRDOPT((VLOOKUP(G115,NGPrices,2,FALSE)+HLOOKUP(D115,Prices,VLOOKUP(G115,move_down,2,FALSE),FALSE)),VLOOKUP(G115,NGPrices,2,FALSE),I115,VLOOKUP(G115,NGPREVPRICES,4,FALSE),HLOOKUP(D115,PREVVOLS,VLOOKUP(G115,MOVE_DOWN2,2,FALSE),FALSE),VLOOKUP(G115,NGPREVPRICES,3,FALSE),HLOOKUP(D115,Correllate,VLOOKUP(G115,CorMove,2,FALSE),FALSE),Q115-$BC$3,R115,$BC$5)*H115-BI115</f>
        <v>667.3361585242119</v>
      </c>
      <c r="BD115" s="238">
        <f>_xll.xSPRDOPT((VLOOKUP(G115,NGPREVPRICES,2,FALSE)+HLOOKUP(D115,PREVCURVES,VLOOKUP(G115,MOVE_DOWN2,2,FALSE),FALSE)),VLOOKUP(G115,NGPREVPRICES,2,FALSE),BJ115,VLOOKUP(G115,NGPrices,4,FALSE),HLOOKUP(D115,PREVVOLS,VLOOKUP(G115,MOVE_DOWN2,2,FALSE),FALSE),VLOOKUP(G115,NGPREVPRICES,3,FALSE),HLOOKUP(D115,Correllate,VLOOKUP(G115,CorMove,2,FALSE),FALSE),Q115-$BC$3,R115,$BI$5)*H115-BI115</f>
        <v>1.652369710518542E-2</v>
      </c>
      <c r="BE115" s="10">
        <f t="shared" si="197"/>
        <v>0.80728978766728687</v>
      </c>
      <c r="BF115" s="238">
        <f>_xll.xSPRDOPT((VLOOKUP(G115,NGPREVPRICES,2,FALSE)+HLOOKUP(D115,PREVCURVES,VLOOKUP(G115,MOVE_DOWN2,2,FALSE),FALSE)),VLOOKUP(G115,NGPREVPRICES,2,FALSE),BJ115,VLOOKUP(G115,NGPREVPRICES,4,FALSE),HLOOKUP(D115,VOLS,VLOOKUP(G115,move_down,2,FALSE),FALSE),VLOOKUP(G115,NGPrices,3,FALSE),HLOOKUP(D115,Correllate,VLOOKUP(G115,CorMove,2,FALSE),FALSE),Q115-$BC$3,R115,$BI$5)*H115-BI115</f>
        <v>-507.34653543926834</v>
      </c>
      <c r="BG115" s="238">
        <f>_xll.xSPRDOPT((VLOOKUP(G115,NGPREVPRICES,2,FALSE)+HLOOKUP(D115,PREVCURVES,VLOOKUP(G115,MOVE_DOWN2,2,FALSE),FALSE)),VLOOKUP(G115,NGPREVPRICES,2,FALSE),BJ115,VLOOKUP(G115,NGPREVPRICES,4,FALSE),HLOOKUP(D115,PREVVOLS,VLOOKUP(G115,MOVE_DOWN2,2,FALSE),FALSE),VLOOKUP(G115,NGPREVPRICES,3,FALSE),HLOOKUP(D115,Correllate,VLOOKUP(G115,CorMove,2,FALSE),FALSE),Q115-$C$3,R115,$BI$5)*H115-BI115</f>
        <v>393.42401023613456</v>
      </c>
      <c r="BH115" s="238">
        <f t="shared" si="198"/>
        <v>554.2374468058506</v>
      </c>
      <c r="BI115" s="238">
        <f>_xll.xSPRDOPT((VLOOKUP(G115,NGPREVPRICES,2,FALSE)+HLOOKUP(D115,PREVCURVES,VLOOKUP(G115,MOVE_DOWN2,2,FALSE),FALSE)),VLOOKUP(G115,NGPREVPRICES,2,FALSE),BJ115,VLOOKUP(G115,NGPREVPRICES,4,FALSE),HLOOKUP(D115,PREVVOLS,VLOOKUP(G115,MOVE_DOWN2,2,FALSE),FALSE),VLOOKUP(G115,NGPREVPRICES,3,FALSE),HLOOKUP(D115,Correllate,VLOOKUP(G115,CorMove,2,FALSE),FALSE),Q115-$BC$3,R115,$BI$5)*H115</f>
        <v>-4772.9455410558121</v>
      </c>
      <c r="BJ115" s="239">
        <f t="shared" si="199"/>
        <v>0.3</v>
      </c>
      <c r="BL115" t="str">
        <f t="shared" si="200"/>
        <v>36647Curve Shift/Gamma</v>
      </c>
      <c r="BM115" t="str">
        <f t="shared" si="127"/>
        <v>36647Rho</v>
      </c>
      <c r="BN115" t="str">
        <f t="shared" si="128"/>
        <v>36647Drift</v>
      </c>
      <c r="BO115" t="str">
        <f t="shared" si="129"/>
        <v>36647Vega</v>
      </c>
      <c r="BP115" t="str">
        <f t="shared" si="130"/>
        <v>36647Theta</v>
      </c>
    </row>
    <row r="116" spans="1:68" ht="12" customHeight="1" x14ac:dyDescent="0.25">
      <c r="A116" t="s">
        <v>299</v>
      </c>
      <c r="B116" t="s">
        <v>253</v>
      </c>
      <c r="C116" t="s">
        <v>309</v>
      </c>
      <c r="D116" s="4" t="s">
        <v>7</v>
      </c>
      <c r="E116" t="s">
        <v>20</v>
      </c>
      <c r="F116" t="s">
        <v>1</v>
      </c>
      <c r="G116" s="5">
        <v>36678</v>
      </c>
      <c r="H116" s="130">
        <v>-250000</v>
      </c>
      <c r="I116">
        <v>0.3</v>
      </c>
      <c r="J116" s="53">
        <f t="shared" si="170"/>
        <v>3.1720000000000002</v>
      </c>
      <c r="K116" s="7">
        <f t="shared" si="171"/>
        <v>0.3075</v>
      </c>
      <c r="L116" s="4">
        <f t="shared" si="172"/>
        <v>3.4795000000000003</v>
      </c>
      <c r="M116" s="159">
        <f t="shared" si="173"/>
        <v>6.3039999833066004E-2</v>
      </c>
      <c r="N116" s="4">
        <f t="shared" si="174"/>
        <v>0.38250000000000001</v>
      </c>
      <c r="O116" s="4">
        <f t="shared" si="175"/>
        <v>0.375</v>
      </c>
      <c r="P116" s="9">
        <f t="shared" si="176"/>
        <v>0.99</v>
      </c>
      <c r="Q116" s="5">
        <f t="shared" si="189"/>
        <v>36676</v>
      </c>
      <c r="R116" s="4">
        <f t="shared" si="177"/>
        <v>0</v>
      </c>
      <c r="S116" s="160">
        <f>_xll.xSPRDOPT($L116,$J116,$I116,$M116,$O116,$N116,$P116,$Q116-$C$3,$R116,0)</f>
        <v>2.3496417036198869E-2</v>
      </c>
      <c r="T116" s="161">
        <f>_xll.xSPRDOPT($L116,$J116,$I116,$M116,$O116,$N116,$P116,$Q116-$C$3,$R116,1)*H116</f>
        <v>111758.37762379037</v>
      </c>
      <c r="U116" s="162">
        <f t="shared" si="178"/>
        <v>-5874.1042590497173</v>
      </c>
      <c r="V116" s="161">
        <f>_xll.xSPRDOPT($L116,$J116,$I116,$M116,$O116,$N116,$P116,$Q116-$C$3,$R116,2)*H116</f>
        <v>-113262.13924627712</v>
      </c>
      <c r="W116" s="161">
        <f t="shared" si="179"/>
        <v>-1503.7616224867525</v>
      </c>
      <c r="X116" s="51" t="str">
        <f t="shared" si="180"/>
        <v>36678IF-TRANSCO/Z6</v>
      </c>
      <c r="Y116" s="431">
        <f t="shared" si="181"/>
        <v>-25</v>
      </c>
      <c r="AA116" s="128">
        <f t="shared" si="190"/>
        <v>39508</v>
      </c>
      <c r="AB116" s="43">
        <f t="shared" si="194"/>
        <v>0</v>
      </c>
      <c r="AC116" s="43">
        <f t="shared" si="194"/>
        <v>0</v>
      </c>
      <c r="AD116" s="43">
        <f t="shared" si="194"/>
        <v>0</v>
      </c>
      <c r="AE116" s="43">
        <f t="shared" si="194"/>
        <v>0</v>
      </c>
      <c r="AF116" s="44">
        <f t="shared" si="194"/>
        <v>0</v>
      </c>
      <c r="AG116" s="44">
        <f t="shared" si="194"/>
        <v>0</v>
      </c>
      <c r="AH116" s="128">
        <f t="shared" si="191"/>
        <v>39508</v>
      </c>
      <c r="AI116" s="44">
        <f t="shared" si="137"/>
        <v>0</v>
      </c>
      <c r="AJ116" s="51"/>
      <c r="AK116" s="128">
        <f t="shared" si="192"/>
        <v>39508</v>
      </c>
      <c r="AL116" s="43">
        <f t="shared" si="195"/>
        <v>0</v>
      </c>
      <c r="AM116" s="43">
        <f t="shared" si="195"/>
        <v>0</v>
      </c>
      <c r="AN116" s="43">
        <f t="shared" si="195"/>
        <v>0</v>
      </c>
      <c r="AO116" s="43">
        <f t="shared" si="195"/>
        <v>0</v>
      </c>
      <c r="AP116" s="44">
        <f t="shared" si="195"/>
        <v>0</v>
      </c>
      <c r="AQ116" s="44">
        <f t="shared" si="195"/>
        <v>0</v>
      </c>
      <c r="AR116" s="128">
        <f t="shared" si="193"/>
        <v>39508</v>
      </c>
      <c r="AS116" s="44">
        <f t="shared" si="138"/>
        <v>0</v>
      </c>
      <c r="AT116" s="51"/>
      <c r="AU116" s="51"/>
      <c r="AV116" s="51"/>
      <c r="AW116" s="51"/>
      <c r="AX116" s="51"/>
      <c r="AY116" s="51"/>
      <c r="AZ116" s="51"/>
      <c r="BA116" s="51"/>
      <c r="BB116" s="142">
        <f t="shared" si="196"/>
        <v>36678</v>
      </c>
      <c r="BC116" s="238">
        <f>_xll.xSPRDOPT((VLOOKUP(G116,NGPrices,2,FALSE)+HLOOKUP(D116,Prices,VLOOKUP(G116,move_down,2,FALSE),FALSE)),VLOOKUP(G116,NGPrices,2,FALSE),I116,VLOOKUP(G116,NGPREVPRICES,4,FALSE),HLOOKUP(D116,PREVVOLS,VLOOKUP(G116,MOVE_DOWN2,2,FALSE),FALSE),VLOOKUP(G116,NGPREVPRICES,3,FALSE),HLOOKUP(D116,Correllate,VLOOKUP(G116,CorMove,2,FALSE),FALSE),Q116-$BC$3,R116,$BC$5)*H116-BI116</f>
        <v>2050.8457089065678</v>
      </c>
      <c r="BD116" s="238">
        <f>_xll.xSPRDOPT((VLOOKUP(G116,NGPREVPRICES,2,FALSE)+HLOOKUP(D116,PREVCURVES,VLOOKUP(G116,MOVE_DOWN2,2,FALSE),FALSE)),VLOOKUP(G116,NGPREVPRICES,2,FALSE),BJ116,VLOOKUP(G116,NGPrices,4,FALSE),HLOOKUP(D116,PREVVOLS,VLOOKUP(G116,MOVE_DOWN2,2,FALSE),FALSE),VLOOKUP(G116,NGPREVPRICES,3,FALSE),HLOOKUP(D116,Correllate,VLOOKUP(G116,CorMove,2,FALSE),FALSE),Q116-$BC$3,R116,$BI$5)*H116-BI116</f>
        <v>2.5358279725878674E-2</v>
      </c>
      <c r="BE116" s="10">
        <f t="shared" si="197"/>
        <v>1.3623786478765396</v>
      </c>
      <c r="BF116" s="238">
        <f>_xll.xSPRDOPT((VLOOKUP(G116,NGPREVPRICES,2,FALSE)+HLOOKUP(D116,PREVCURVES,VLOOKUP(G116,MOVE_DOWN2,2,FALSE),FALSE)),VLOOKUP(G116,NGPREVPRICES,2,FALSE),BJ116,VLOOKUP(G116,NGPREVPRICES,4,FALSE),HLOOKUP(D116,VOLS,VLOOKUP(G116,move_down,2,FALSE),FALSE),VLOOKUP(G116,NGPrices,3,FALSE),HLOOKUP(D116,Correllate,VLOOKUP(G116,CorMove,2,FALSE),FALSE),Q116-$BC$3,R116,$BI$5)*H116-BI116</f>
        <v>-188.88009494966172</v>
      </c>
      <c r="BG116" s="238">
        <f>_xll.xSPRDOPT((VLOOKUP(G116,NGPREVPRICES,2,FALSE)+HLOOKUP(D116,PREVCURVES,VLOOKUP(G116,MOVE_DOWN2,2,FALSE),FALSE)),VLOOKUP(G116,NGPREVPRICES,2,FALSE),BJ116,VLOOKUP(G116,NGPREVPRICES,4,FALSE),HLOOKUP(D116,PREVVOLS,VLOOKUP(G116,MOVE_DOWN2,2,FALSE),FALSE),VLOOKUP(G116,NGPREVPRICES,3,FALSE),HLOOKUP(D116,Correllate,VLOOKUP(G116,CorMove,2,FALSE),FALSE),Q116-$C$3,R116,$BI$5)*H116-BI116</f>
        <v>214.13386433373489</v>
      </c>
      <c r="BH116" s="238">
        <f t="shared" si="198"/>
        <v>2077.4872152182434</v>
      </c>
      <c r="BI116" s="238">
        <f>_xll.xSPRDOPT((VLOOKUP(G116,NGPREVPRICES,2,FALSE)+HLOOKUP(D116,PREVCURVES,VLOOKUP(G116,MOVE_DOWN2,2,FALSE),FALSE)),VLOOKUP(G116,NGPREVPRICES,2,FALSE),BJ116,VLOOKUP(G116,NGPREVPRICES,4,FALSE),HLOOKUP(D116,PREVVOLS,VLOOKUP(G116,MOVE_DOWN2,2,FALSE),FALSE),VLOOKUP(G116,NGPREVPRICES,3,FALSE),HLOOKUP(D116,Correllate,VLOOKUP(G116,CorMove,2,FALSE),FALSE),Q116-$BC$3,R116,$BI$5)*H116</f>
        <v>-7958.7194937718041</v>
      </c>
      <c r="BJ116" s="239">
        <f t="shared" si="199"/>
        <v>0.3</v>
      </c>
      <c r="BL116" t="str">
        <f t="shared" si="200"/>
        <v>36678Curve Shift/Gamma</v>
      </c>
      <c r="BM116" t="str">
        <f t="shared" si="127"/>
        <v>36678Rho</v>
      </c>
      <c r="BN116" t="str">
        <f t="shared" si="128"/>
        <v>36678Drift</v>
      </c>
      <c r="BO116" t="str">
        <f t="shared" si="129"/>
        <v>36678Vega</v>
      </c>
      <c r="BP116" t="str">
        <f t="shared" si="130"/>
        <v>36678Theta</v>
      </c>
    </row>
    <row r="117" spans="1:68" ht="12" customHeight="1" x14ac:dyDescent="0.25">
      <c r="A117" t="s">
        <v>299</v>
      </c>
      <c r="B117" t="s">
        <v>253</v>
      </c>
      <c r="C117" t="s">
        <v>309</v>
      </c>
      <c r="D117" s="4" t="s">
        <v>7</v>
      </c>
      <c r="E117" t="s">
        <v>20</v>
      </c>
      <c r="F117" t="s">
        <v>1</v>
      </c>
      <c r="G117" s="5">
        <v>36708</v>
      </c>
      <c r="H117" s="130">
        <v>-250000</v>
      </c>
      <c r="I117">
        <v>0.3</v>
      </c>
      <c r="J117" s="53">
        <f t="shared" si="170"/>
        <v>3.181</v>
      </c>
      <c r="K117" s="7">
        <f t="shared" si="171"/>
        <v>0.34499999999999997</v>
      </c>
      <c r="L117" s="4">
        <f t="shared" si="172"/>
        <v>3.5259999999999998</v>
      </c>
      <c r="M117" s="159">
        <f t="shared" si="173"/>
        <v>6.3695649345076003E-2</v>
      </c>
      <c r="N117" s="4">
        <f t="shared" si="174"/>
        <v>0.39500000000000002</v>
      </c>
      <c r="O117" s="4">
        <f t="shared" si="175"/>
        <v>0.38700000000000001</v>
      </c>
      <c r="P117" s="9">
        <f t="shared" si="176"/>
        <v>0.99</v>
      </c>
      <c r="Q117" s="5">
        <f t="shared" si="189"/>
        <v>36706</v>
      </c>
      <c r="R117" s="4">
        <f t="shared" si="177"/>
        <v>0</v>
      </c>
      <c r="S117" s="160">
        <f>_xll.xSPRDOPT($L117,$J117,$I117,$M117,$O117,$N117,$P117,$Q117-$C$3,$R117,0)</f>
        <v>1.8529301543263099E-2</v>
      </c>
      <c r="T117" s="161">
        <f>_xll.xSPRDOPT($L117,$J117,$I117,$M117,$O117,$N117,$P117,$Q117-$C$3,$R117,1)*H117</f>
        <v>75652.118780515666</v>
      </c>
      <c r="U117" s="162">
        <f t="shared" si="178"/>
        <v>-4632.325385815775</v>
      </c>
      <c r="V117" s="161">
        <f>_xll.xSPRDOPT($L117,$J117,$I117,$M117,$O117,$N117,$P117,$Q117-$C$3,$R117,2)*H117</f>
        <v>-77429.812020645084</v>
      </c>
      <c r="W117" s="161">
        <f t="shared" si="179"/>
        <v>-1777.693240129418</v>
      </c>
      <c r="X117" s="51" t="str">
        <f t="shared" si="180"/>
        <v>36708IF-TRANSCO/Z6</v>
      </c>
      <c r="Y117" s="431">
        <f t="shared" si="181"/>
        <v>-25</v>
      </c>
      <c r="AA117" s="128">
        <f t="shared" si="190"/>
        <v>39539</v>
      </c>
      <c r="AB117" s="43">
        <f t="shared" ref="AB117:AG126" si="201">SUMIF($X:$X,CONCATENATE($AA117,AB$6),$T:$T)/10000</f>
        <v>0</v>
      </c>
      <c r="AC117" s="43">
        <f t="shared" si="201"/>
        <v>0</v>
      </c>
      <c r="AD117" s="43">
        <f t="shared" si="201"/>
        <v>0</v>
      </c>
      <c r="AE117" s="43">
        <f t="shared" si="201"/>
        <v>0</v>
      </c>
      <c r="AF117" s="44">
        <f t="shared" si="201"/>
        <v>0</v>
      </c>
      <c r="AG117" s="44">
        <f t="shared" si="201"/>
        <v>0</v>
      </c>
      <c r="AH117" s="128">
        <f t="shared" si="191"/>
        <v>39539</v>
      </c>
      <c r="AI117" s="44">
        <f t="shared" si="137"/>
        <v>0</v>
      </c>
      <c r="AJ117" s="51"/>
      <c r="AK117" s="128">
        <f t="shared" si="192"/>
        <v>39539</v>
      </c>
      <c r="AL117" s="43">
        <f t="shared" ref="AL117:AQ126" si="202">SUMIF($X:$X,CONCATENATE($AA117,AL$6),$W:$W)</f>
        <v>0</v>
      </c>
      <c r="AM117" s="43">
        <f t="shared" si="202"/>
        <v>0</v>
      </c>
      <c r="AN117" s="43">
        <f t="shared" si="202"/>
        <v>0</v>
      </c>
      <c r="AO117" s="43">
        <f t="shared" si="202"/>
        <v>0</v>
      </c>
      <c r="AP117" s="44">
        <f t="shared" si="202"/>
        <v>0</v>
      </c>
      <c r="AQ117" s="44">
        <f t="shared" si="202"/>
        <v>0</v>
      </c>
      <c r="AR117" s="128">
        <f t="shared" si="193"/>
        <v>39539</v>
      </c>
      <c r="AS117" s="44">
        <f t="shared" si="138"/>
        <v>0</v>
      </c>
      <c r="AT117" s="51"/>
      <c r="AU117" s="51"/>
      <c r="AV117" s="51"/>
      <c r="AW117" s="51"/>
      <c r="AX117" s="51"/>
      <c r="AY117" s="51"/>
      <c r="AZ117" s="51"/>
      <c r="BA117" s="51"/>
      <c r="BB117" s="142">
        <f t="shared" si="196"/>
        <v>36708</v>
      </c>
      <c r="BC117" s="238">
        <f>_xll.xSPRDOPT((VLOOKUP(G117,NGPrices,2,FALSE)+HLOOKUP(D117,Prices,VLOOKUP(G117,move_down,2,FALSE),FALSE)),VLOOKUP(G117,NGPrices,2,FALSE),I117,VLOOKUP(G117,NGPREVPRICES,4,FALSE),HLOOKUP(D117,PREVVOLS,VLOOKUP(G117,MOVE_DOWN2,2,FALSE),FALSE),VLOOKUP(G117,NGPREVPRICES,3,FALSE),HLOOKUP(D117,Correllate,VLOOKUP(G117,CorMove,2,FALSE),FALSE),Q117-$BC$3,R117,$BC$5)*H117-BI117</f>
        <v>1088.7266231583981</v>
      </c>
      <c r="BD117" s="238">
        <f>_xll.xSPRDOPT((VLOOKUP(G117,NGPREVPRICES,2,FALSE)+HLOOKUP(D117,PREVCURVES,VLOOKUP(G117,MOVE_DOWN2,2,FALSE),FALSE)),VLOOKUP(G117,NGPREVPRICES,2,FALSE),BJ117,VLOOKUP(G117,NGPrices,4,FALSE),HLOOKUP(D117,PREVVOLS,VLOOKUP(G117,MOVE_DOWN2,2,FALSE),FALSE),VLOOKUP(G117,NGPREVPRICES,3,FALSE),HLOOKUP(D117,Correllate,VLOOKUP(G117,CorMove,2,FALSE),FALSE),Q117-$BC$3,R117,$BI$5)*H117-BI117</f>
        <v>5.3924317691780743E-2</v>
      </c>
      <c r="BE117" s="10">
        <f t="shared" si="197"/>
        <v>0.98355447011454089</v>
      </c>
      <c r="BF117" s="238">
        <f>_xll.xSPRDOPT((VLOOKUP(G117,NGPREVPRICES,2,FALSE)+HLOOKUP(D117,PREVCURVES,VLOOKUP(G117,MOVE_DOWN2,2,FALSE),FALSE)),VLOOKUP(G117,NGPREVPRICES,2,FALSE),BJ117,VLOOKUP(G117,NGPREVPRICES,4,FALSE),HLOOKUP(D117,VOLS,VLOOKUP(G117,move_down,2,FALSE),FALSE),VLOOKUP(G117,NGPrices,3,FALSE),HLOOKUP(D117,Correllate,VLOOKUP(G117,CorMove,2,FALSE),FALSE),Q117-$BC$3,R117,$BI$5)*H117-BI117</f>
        <v>-234.62082354508402</v>
      </c>
      <c r="BG117" s="238">
        <f>_xll.xSPRDOPT((VLOOKUP(G117,NGPREVPRICES,2,FALSE)+HLOOKUP(D117,PREVCURVES,VLOOKUP(G117,MOVE_DOWN2,2,FALSE),FALSE)),VLOOKUP(G117,NGPREVPRICES,2,FALSE),BJ117,VLOOKUP(G117,NGPREVPRICES,4,FALSE),HLOOKUP(D117,PREVVOLS,VLOOKUP(G117,MOVE_DOWN2,2,FALSE),FALSE),VLOOKUP(G117,NGPREVPRICES,3,FALSE),HLOOKUP(D117,Correllate,VLOOKUP(G117,CorMove,2,FALSE),FALSE),Q117-$C$3,R117,$BI$5)*H117-BI117</f>
        <v>164.75645988438282</v>
      </c>
      <c r="BH117" s="238">
        <f t="shared" si="198"/>
        <v>1019.8997382855032</v>
      </c>
      <c r="BI117" s="238">
        <f>_xll.xSPRDOPT((VLOOKUP(G117,NGPREVPRICES,2,FALSE)+HLOOKUP(D117,PREVCURVES,VLOOKUP(G117,MOVE_DOWN2,2,FALSE),FALSE)),VLOOKUP(G117,NGPREVPRICES,2,FALSE),BJ117,VLOOKUP(G117,NGPREVPRICES,4,FALSE),HLOOKUP(D117,PREVVOLS,VLOOKUP(G117,MOVE_DOWN2,2,FALSE),FALSE),VLOOKUP(G117,NGPREVPRICES,3,FALSE),HLOOKUP(D117,Correllate,VLOOKUP(G117,CorMove,2,FALSE),FALSE),Q117-$BC$3,R117,$BI$5)*H117</f>
        <v>-5659.6168093002443</v>
      </c>
      <c r="BJ117" s="239">
        <f t="shared" si="199"/>
        <v>0.3</v>
      </c>
      <c r="BL117" t="str">
        <f t="shared" si="200"/>
        <v>36708Curve Shift/Gamma</v>
      </c>
      <c r="BM117" t="str">
        <f t="shared" si="127"/>
        <v>36708Rho</v>
      </c>
      <c r="BN117" t="str">
        <f t="shared" si="128"/>
        <v>36708Drift</v>
      </c>
      <c r="BO117" t="str">
        <f t="shared" si="129"/>
        <v>36708Vega</v>
      </c>
      <c r="BP117" t="str">
        <f t="shared" si="130"/>
        <v>36708Theta</v>
      </c>
    </row>
    <row r="118" spans="1:68" ht="12" customHeight="1" x14ac:dyDescent="0.25">
      <c r="A118" t="s">
        <v>299</v>
      </c>
      <c r="B118" t="s">
        <v>253</v>
      </c>
      <c r="C118" t="s">
        <v>309</v>
      </c>
      <c r="D118" s="4" t="s">
        <v>7</v>
      </c>
      <c r="E118" t="s">
        <v>20</v>
      </c>
      <c r="F118" t="s">
        <v>1</v>
      </c>
      <c r="G118" s="5">
        <v>36739</v>
      </c>
      <c r="H118" s="130">
        <v>-250000</v>
      </c>
      <c r="I118">
        <v>0.3</v>
      </c>
      <c r="J118" s="53">
        <f t="shared" si="170"/>
        <v>3.1829999999999998</v>
      </c>
      <c r="K118" s="7">
        <f t="shared" si="171"/>
        <v>0.34499999999999997</v>
      </c>
      <c r="L118" s="4">
        <f t="shared" si="172"/>
        <v>3.5279999999999996</v>
      </c>
      <c r="M118" s="159">
        <f t="shared" si="173"/>
        <v>6.4500399973534003E-2</v>
      </c>
      <c r="N118" s="4">
        <f t="shared" si="174"/>
        <v>0.41249999999999998</v>
      </c>
      <c r="O118" s="4">
        <f t="shared" si="175"/>
        <v>0.40400000000000003</v>
      </c>
      <c r="P118" s="9">
        <f t="shared" si="176"/>
        <v>0.99</v>
      </c>
      <c r="Q118" s="5">
        <f t="shared" si="189"/>
        <v>36735</v>
      </c>
      <c r="R118" s="4">
        <f t="shared" si="177"/>
        <v>0</v>
      </c>
      <c r="S118" s="160">
        <f>_xll.xSPRDOPT($L118,$J118,$I118,$M118,$O118,$N118,$P118,$Q118-$C$3,$R118,0)</f>
        <v>2.6173408651577523E-2</v>
      </c>
      <c r="T118" s="161">
        <f>_xll.xSPRDOPT($L118,$J118,$I118,$M118,$O118,$N118,$P118,$Q118-$C$3,$R118,1)*H118</f>
        <v>82942.591718934971</v>
      </c>
      <c r="U118" s="162">
        <f t="shared" si="178"/>
        <v>-6543.3521628943809</v>
      </c>
      <c r="V118" s="161">
        <f>_xll.xSPRDOPT($L118,$J118,$I118,$M118,$O118,$N118,$P118,$Q118-$C$3,$R118,2)*H118</f>
        <v>-85217.694973236721</v>
      </c>
      <c r="W118" s="161">
        <f t="shared" si="179"/>
        <v>-2275.10325430175</v>
      </c>
      <c r="X118" s="51" t="str">
        <f t="shared" si="180"/>
        <v>36739IF-TRANSCO/Z6</v>
      </c>
      <c r="Y118" s="431">
        <f t="shared" si="181"/>
        <v>-25</v>
      </c>
      <c r="AA118" s="128">
        <f t="shared" si="190"/>
        <v>39569</v>
      </c>
      <c r="AB118" s="43">
        <f t="shared" si="201"/>
        <v>0</v>
      </c>
      <c r="AC118" s="43">
        <f t="shared" si="201"/>
        <v>0</v>
      </c>
      <c r="AD118" s="43">
        <f t="shared" si="201"/>
        <v>0</v>
      </c>
      <c r="AE118" s="43">
        <f t="shared" si="201"/>
        <v>0</v>
      </c>
      <c r="AF118" s="44">
        <f t="shared" si="201"/>
        <v>0</v>
      </c>
      <c r="AG118" s="44">
        <f t="shared" si="201"/>
        <v>0</v>
      </c>
      <c r="AH118" s="128">
        <f t="shared" si="191"/>
        <v>39569</v>
      </c>
      <c r="AI118" s="44">
        <f t="shared" si="137"/>
        <v>0</v>
      </c>
      <c r="AJ118" s="51"/>
      <c r="AK118" s="128">
        <f t="shared" si="192"/>
        <v>39569</v>
      </c>
      <c r="AL118" s="43">
        <f t="shared" si="202"/>
        <v>0</v>
      </c>
      <c r="AM118" s="43">
        <f t="shared" si="202"/>
        <v>0</v>
      </c>
      <c r="AN118" s="43">
        <f t="shared" si="202"/>
        <v>0</v>
      </c>
      <c r="AO118" s="43">
        <f t="shared" si="202"/>
        <v>0</v>
      </c>
      <c r="AP118" s="44">
        <f t="shared" si="202"/>
        <v>0</v>
      </c>
      <c r="AQ118" s="44">
        <f t="shared" si="202"/>
        <v>0</v>
      </c>
      <c r="AR118" s="128">
        <f t="shared" si="193"/>
        <v>39569</v>
      </c>
      <c r="AS118" s="44">
        <f t="shared" si="138"/>
        <v>0</v>
      </c>
      <c r="AT118" s="51"/>
      <c r="AU118" s="51"/>
      <c r="AV118" s="51"/>
      <c r="AW118" s="51"/>
      <c r="AX118" s="51"/>
      <c r="AY118" s="51"/>
      <c r="AZ118" s="51"/>
      <c r="BA118" s="51"/>
      <c r="BB118" s="142">
        <f t="shared" si="196"/>
        <v>36739</v>
      </c>
      <c r="BC118" s="238">
        <f>_xll.xSPRDOPT((VLOOKUP(G118,NGPrices,2,FALSE)+HLOOKUP(D118,Prices,VLOOKUP(G118,move_down,2,FALSE),FALSE)),VLOOKUP(G118,NGPrices,2,FALSE),I118,VLOOKUP(G118,NGPREVPRICES,4,FALSE),HLOOKUP(D118,PREVVOLS,VLOOKUP(G118,MOVE_DOWN2,2,FALSE),FALSE),VLOOKUP(G118,NGPREVPRICES,3,FALSE),HLOOKUP(D118,Correllate,VLOOKUP(G118,CorMove,2,FALSE),FALSE),Q118-$BC$3,R118,$BC$5)*H118-BI118</f>
        <v>1144.6696689093596</v>
      </c>
      <c r="BD118" s="238">
        <f>_xll.xSPRDOPT((VLOOKUP(G118,NGPREVPRICES,2,FALSE)+HLOOKUP(D118,PREVCURVES,VLOOKUP(G118,MOVE_DOWN2,2,FALSE),FALSE)),VLOOKUP(G118,NGPREVPRICES,2,FALSE),BJ118,VLOOKUP(G118,NGPrices,4,FALSE),HLOOKUP(D118,PREVVOLS,VLOOKUP(G118,MOVE_DOWN2,2,FALSE),FALSE),VLOOKUP(G118,NGPREVPRICES,3,FALSE),HLOOKUP(D118,Correllate,VLOOKUP(G118,CorMove,2,FALSE),FALSE),Q118-$BC$3,R118,$BI$5)*H118-BI118</f>
        <v>5.6654981567589857E-2</v>
      </c>
      <c r="BE118" s="10">
        <f t="shared" si="197"/>
        <v>1.3384712154256704</v>
      </c>
      <c r="BF118" s="238">
        <f>_xll.xSPRDOPT((VLOOKUP(G118,NGPREVPRICES,2,FALSE)+HLOOKUP(D118,PREVCURVES,VLOOKUP(G118,MOVE_DOWN2,2,FALSE),FALSE)),VLOOKUP(G118,NGPREVPRICES,2,FALSE),BJ118,VLOOKUP(G118,NGPREVPRICES,4,FALSE),HLOOKUP(D118,VOLS,VLOOKUP(G118,move_down,2,FALSE),FALSE),VLOOKUP(G118,NGPrices,3,FALSE),HLOOKUP(D118,Correllate,VLOOKUP(G118,CorMove,2,FALSE),FALSE),Q118-$BC$3,R118,$BI$5)*H118-BI118</f>
        <v>-279.9296564397473</v>
      </c>
      <c r="BG118" s="238">
        <f>_xll.xSPRDOPT((VLOOKUP(G118,NGPREVPRICES,2,FALSE)+HLOOKUP(D118,PREVCURVES,VLOOKUP(G118,MOVE_DOWN2,2,FALSE),FALSE)),VLOOKUP(G118,NGPREVPRICES,2,FALSE),BJ118,VLOOKUP(G118,NGPREVPRICES,4,FALSE),HLOOKUP(D118,PREVVOLS,VLOOKUP(G118,MOVE_DOWN2,2,FALSE),FALSE),VLOOKUP(G118,NGPREVPRICES,3,FALSE),HLOOKUP(D118,Correllate,VLOOKUP(G118,CorMove,2,FALSE),FALSE),Q118-$C$3,R118,$BI$5)*H118-BI118</f>
        <v>147.08856181928968</v>
      </c>
      <c r="BH118" s="238">
        <f t="shared" si="198"/>
        <v>1013.2237004858953</v>
      </c>
      <c r="BI118" s="238">
        <f>_xll.xSPRDOPT((VLOOKUP(G118,NGPREVPRICES,2,FALSE)+HLOOKUP(D118,PREVCURVES,VLOOKUP(G118,MOVE_DOWN2,2,FALSE),FALSE)),VLOOKUP(G118,NGPREVPRICES,2,FALSE),BJ118,VLOOKUP(G118,NGPREVPRICES,4,FALSE),HLOOKUP(D118,PREVVOLS,VLOOKUP(G118,MOVE_DOWN2,2,FALSE),FALSE),VLOOKUP(G118,NGPREVPRICES,3,FALSE),HLOOKUP(D118,Correllate,VLOOKUP(G118,CorMove,2,FALSE),FALSE),Q118-$BC$3,R118,$BI$5)*H118</f>
        <v>-7562.8350957003686</v>
      </c>
      <c r="BJ118" s="239">
        <f t="shared" si="199"/>
        <v>0.3</v>
      </c>
      <c r="BL118" t="str">
        <f t="shared" si="200"/>
        <v>36739Curve Shift/Gamma</v>
      </c>
      <c r="BM118" t="str">
        <f t="shared" si="127"/>
        <v>36739Rho</v>
      </c>
      <c r="BN118" t="str">
        <f t="shared" si="128"/>
        <v>36739Drift</v>
      </c>
      <c r="BO118" t="str">
        <f t="shared" si="129"/>
        <v>36739Vega</v>
      </c>
      <c r="BP118" t="str">
        <f t="shared" si="130"/>
        <v>36739Theta</v>
      </c>
    </row>
    <row r="119" spans="1:68" ht="12" customHeight="1" x14ac:dyDescent="0.25">
      <c r="A119" t="s">
        <v>299</v>
      </c>
      <c r="B119" t="s">
        <v>253</v>
      </c>
      <c r="C119" t="s">
        <v>309</v>
      </c>
      <c r="D119" s="4" t="s">
        <v>7</v>
      </c>
      <c r="E119" t="s">
        <v>20</v>
      </c>
      <c r="F119" t="s">
        <v>1</v>
      </c>
      <c r="G119" s="5">
        <v>36770</v>
      </c>
      <c r="H119" s="130">
        <v>-250000</v>
      </c>
      <c r="I119">
        <v>0.3</v>
      </c>
      <c r="J119" s="53">
        <f t="shared" si="170"/>
        <v>3.173</v>
      </c>
      <c r="K119" s="7">
        <f t="shared" si="171"/>
        <v>0.315</v>
      </c>
      <c r="L119" s="4">
        <f t="shared" si="172"/>
        <v>3.488</v>
      </c>
      <c r="M119" s="159">
        <f t="shared" si="173"/>
        <v>6.5221012015626995E-2</v>
      </c>
      <c r="N119" s="4">
        <f t="shared" si="174"/>
        <v>0.42</v>
      </c>
      <c r="O119" s="4">
        <f t="shared" si="175"/>
        <v>0.41199999999999998</v>
      </c>
      <c r="P119" s="9">
        <f t="shared" si="176"/>
        <v>0.99</v>
      </c>
      <c r="Q119" s="5">
        <f t="shared" si="189"/>
        <v>36768</v>
      </c>
      <c r="R119" s="4">
        <f t="shared" si="177"/>
        <v>0</v>
      </c>
      <c r="S119" s="160">
        <f>_xll.xSPRDOPT($L119,$J119,$I119,$M119,$O119,$N119,$P119,$Q119-$C$3,$R119,0)</f>
        <v>4.507496139633016E-2</v>
      </c>
      <c r="T119" s="161">
        <f>_xll.xSPRDOPT($L119,$J119,$I119,$M119,$O119,$N119,$P119,$Q119-$C$3,$R119,1)*H119</f>
        <v>108256.16903119333</v>
      </c>
      <c r="U119" s="162">
        <f t="shared" si="178"/>
        <v>-11268.74034908254</v>
      </c>
      <c r="V119" s="161">
        <f>_xll.xSPRDOPT($L119,$J119,$I119,$M119,$O119,$N119,$P119,$Q119-$C$3,$R119,2)*H119</f>
        <v>-111131.97260121061</v>
      </c>
      <c r="W119" s="161">
        <f t="shared" si="179"/>
        <v>-2875.8035700172768</v>
      </c>
      <c r="X119" s="51" t="str">
        <f t="shared" si="180"/>
        <v>36770IF-TRANSCO/Z6</v>
      </c>
      <c r="Y119" s="431">
        <f t="shared" si="181"/>
        <v>-25</v>
      </c>
      <c r="Z119" s="51"/>
      <c r="AA119" s="128">
        <f t="shared" si="190"/>
        <v>39600</v>
      </c>
      <c r="AB119" s="43">
        <f t="shared" si="201"/>
        <v>0</v>
      </c>
      <c r="AC119" s="43">
        <f t="shared" si="201"/>
        <v>0</v>
      </c>
      <c r="AD119" s="43">
        <f t="shared" si="201"/>
        <v>0</v>
      </c>
      <c r="AE119" s="43">
        <f t="shared" si="201"/>
        <v>0</v>
      </c>
      <c r="AF119" s="44">
        <f t="shared" si="201"/>
        <v>0</v>
      </c>
      <c r="AG119" s="44">
        <f t="shared" si="201"/>
        <v>0</v>
      </c>
      <c r="AH119" s="128">
        <f t="shared" si="191"/>
        <v>39600</v>
      </c>
      <c r="AI119" s="44">
        <f t="shared" si="137"/>
        <v>0</v>
      </c>
      <c r="AJ119" s="51"/>
      <c r="AK119" s="128">
        <f t="shared" si="192"/>
        <v>39600</v>
      </c>
      <c r="AL119" s="43">
        <f t="shared" si="202"/>
        <v>0</v>
      </c>
      <c r="AM119" s="43">
        <f t="shared" si="202"/>
        <v>0</v>
      </c>
      <c r="AN119" s="43">
        <f t="shared" si="202"/>
        <v>0</v>
      </c>
      <c r="AO119" s="43">
        <f t="shared" si="202"/>
        <v>0</v>
      </c>
      <c r="AP119" s="44">
        <f t="shared" si="202"/>
        <v>0</v>
      </c>
      <c r="AQ119" s="44">
        <f t="shared" si="202"/>
        <v>0</v>
      </c>
      <c r="AR119" s="128">
        <f t="shared" si="193"/>
        <v>39600</v>
      </c>
      <c r="AS119" s="44">
        <f t="shared" si="138"/>
        <v>0</v>
      </c>
      <c r="AT119" s="51"/>
      <c r="AU119" s="51"/>
      <c r="AV119" s="51"/>
      <c r="AW119" s="51"/>
      <c r="AX119" s="51"/>
      <c r="AY119" s="51"/>
      <c r="AZ119" s="51"/>
      <c r="BA119" s="51"/>
      <c r="BB119" s="142">
        <f t="shared" si="196"/>
        <v>36770</v>
      </c>
      <c r="BC119" s="238">
        <f>_xll.xSPRDOPT((VLOOKUP(G119,NGPrices,2,FALSE)+HLOOKUP(D119,Prices,VLOOKUP(G119,move_down,2,FALSE),FALSE)),VLOOKUP(G119,NGPrices,2,FALSE),I119,VLOOKUP(G119,NGPREVPRICES,4,FALSE),HLOOKUP(D119,PREVVOLS,VLOOKUP(G119,MOVE_DOWN2,2,FALSE),FALSE),VLOOKUP(G119,NGPREVPRICES,3,FALSE),HLOOKUP(D119,Correllate,VLOOKUP(G119,CorMove,2,FALSE),FALSE),Q119-$BC$3,R119,$BC$5)*H119-BI119</f>
        <v>1784.0820251735495</v>
      </c>
      <c r="BD119" s="238">
        <f>_xll.xSPRDOPT((VLOOKUP(G119,NGPREVPRICES,2,FALSE)+HLOOKUP(D119,PREVCURVES,VLOOKUP(G119,MOVE_DOWN2,2,FALSE),FALSE)),VLOOKUP(G119,NGPREVPRICES,2,FALSE),BJ119,VLOOKUP(G119,NGPrices,4,FALSE),HLOOKUP(D119,PREVVOLS,VLOOKUP(G119,MOVE_DOWN2,2,FALSE),FALSE),VLOOKUP(G119,NGPREVPRICES,3,FALSE),HLOOKUP(D119,Correllate,VLOOKUP(G119,CorMove,2,FALSE),FALSE),Q119-$BC$3,R119,$BI$5)*H119-BI119</f>
        <v>-2.1481442026924924E-2</v>
      </c>
      <c r="BE119" s="10">
        <f t="shared" si="197"/>
        <v>2.3146991294288455</v>
      </c>
      <c r="BF119" s="238">
        <f>_xll.xSPRDOPT((VLOOKUP(G119,NGPREVPRICES,2,FALSE)+HLOOKUP(D119,PREVCURVES,VLOOKUP(G119,MOVE_DOWN2,2,FALSE),FALSE)),VLOOKUP(G119,NGPREVPRICES,2,FALSE),BJ119,VLOOKUP(G119,NGPREVPRICES,4,FALSE),HLOOKUP(D119,VOLS,VLOOKUP(G119,move_down,2,FALSE),FALSE),VLOOKUP(G119,NGPrices,3,FALSE),HLOOKUP(D119,Correllate,VLOOKUP(G119,CorMove,2,FALSE),FALSE),Q119-$BC$3,R119,$BI$5)*H119-BI119</f>
        <v>-327.90138808613847</v>
      </c>
      <c r="BG119" s="238">
        <f>_xll.xSPRDOPT((VLOOKUP(G119,NGPREVPRICES,2,FALSE)+HLOOKUP(D119,PREVCURVES,VLOOKUP(G119,MOVE_DOWN2,2,FALSE),FALSE)),VLOOKUP(G119,NGPREVPRICES,2,FALSE),BJ119,VLOOKUP(G119,NGPREVPRICES,4,FALSE),HLOOKUP(D119,PREVVOLS,VLOOKUP(G119,MOVE_DOWN2,2,FALSE),FALSE),VLOOKUP(G119,NGPREVPRICES,3,FALSE),HLOOKUP(D119,Correllate,VLOOKUP(G119,CorMove,2,FALSE),FALSE),Q119-$C$3,R119,$BI$5)*H119-BI119</f>
        <v>131.02886888356807</v>
      </c>
      <c r="BH119" s="238">
        <f t="shared" si="198"/>
        <v>1589.502723658381</v>
      </c>
      <c r="BI119" s="238">
        <f>_xll.xSPRDOPT((VLOOKUP(G119,NGPREVPRICES,2,FALSE)+HLOOKUP(D119,PREVCURVES,VLOOKUP(G119,MOVE_DOWN2,2,FALSE),FALSE)),VLOOKUP(G119,NGPREVPRICES,2,FALSE),BJ119,VLOOKUP(G119,NGPREVPRICES,4,FALSE),HLOOKUP(D119,PREVVOLS,VLOOKUP(G119,MOVE_DOWN2,2,FALSE),FALSE),VLOOKUP(G119,NGPREVPRICES,3,FALSE),HLOOKUP(D119,Correllate,VLOOKUP(G119,CorMove,2,FALSE),FALSE),Q119-$BC$3,R119,$BI$5)*H119</f>
        <v>-12857.647669972397</v>
      </c>
      <c r="BJ119" s="239">
        <f t="shared" si="199"/>
        <v>0.3</v>
      </c>
      <c r="BL119" t="str">
        <f t="shared" si="200"/>
        <v>36770Curve Shift/Gamma</v>
      </c>
      <c r="BM119" t="str">
        <f t="shared" si="127"/>
        <v>36770Rho</v>
      </c>
      <c r="BN119" t="str">
        <f t="shared" si="128"/>
        <v>36770Drift</v>
      </c>
      <c r="BO119" t="str">
        <f t="shared" si="129"/>
        <v>36770Vega</v>
      </c>
      <c r="BP119" t="str">
        <f t="shared" si="130"/>
        <v>36770Theta</v>
      </c>
    </row>
    <row r="120" spans="1:68" ht="12" customHeight="1" x14ac:dyDescent="0.25">
      <c r="A120" t="s">
        <v>299</v>
      </c>
      <c r="B120" t="s">
        <v>253</v>
      </c>
      <c r="C120" t="s">
        <v>309</v>
      </c>
      <c r="D120" s="4" t="s">
        <v>7</v>
      </c>
      <c r="E120" t="s">
        <v>20</v>
      </c>
      <c r="F120" t="s">
        <v>1</v>
      </c>
      <c r="G120" s="5">
        <v>36800</v>
      </c>
      <c r="H120" s="130">
        <v>-250000</v>
      </c>
      <c r="I120">
        <v>0.3</v>
      </c>
      <c r="J120" s="53">
        <f t="shared" si="170"/>
        <v>3.18</v>
      </c>
      <c r="K120" s="7">
        <f t="shared" si="171"/>
        <v>0.34499999999999997</v>
      </c>
      <c r="L120" s="4">
        <f t="shared" si="172"/>
        <v>3.5250000000000004</v>
      </c>
      <c r="M120" s="159">
        <f t="shared" si="173"/>
        <v>6.5817989695161006E-2</v>
      </c>
      <c r="N120" s="4">
        <f t="shared" si="174"/>
        <v>0.42249999999999999</v>
      </c>
      <c r="O120" s="4">
        <f t="shared" si="175"/>
        <v>0.41399999999999998</v>
      </c>
      <c r="P120" s="9">
        <f t="shared" si="176"/>
        <v>0.99</v>
      </c>
      <c r="Q120" s="5">
        <f t="shared" si="189"/>
        <v>36797</v>
      </c>
      <c r="R120" s="4">
        <f t="shared" si="177"/>
        <v>0</v>
      </c>
      <c r="S120" s="160">
        <f>_xll.xSPRDOPT($L120,$J120,$I120,$M120,$O120,$N120,$P120,$Q120-$C$3,$R120,0)</f>
        <v>3.848557827207022E-2</v>
      </c>
      <c r="T120" s="161">
        <f>_xll.xSPRDOPT($L120,$J120,$I120,$M120,$O120,$N120,$P120,$Q120-$C$3,$R120,1)*H120</f>
        <v>89493.931606385944</v>
      </c>
      <c r="U120" s="162">
        <f t="shared" si="178"/>
        <v>-9621.3945680175548</v>
      </c>
      <c r="V120" s="161">
        <f>_xll.xSPRDOPT($L120,$J120,$I120,$M120,$O120,$N120,$P120,$Q120-$C$3,$R120,2)*H120</f>
        <v>-92512.770558706543</v>
      </c>
      <c r="W120" s="161">
        <f t="shared" si="179"/>
        <v>-3018.8389523205988</v>
      </c>
      <c r="X120" s="51" t="str">
        <f t="shared" si="180"/>
        <v>36800IF-TRANSCO/Z6</v>
      </c>
      <c r="Y120" s="431">
        <f t="shared" si="181"/>
        <v>-25</v>
      </c>
      <c r="Z120" s="51"/>
      <c r="AA120" s="128">
        <f t="shared" si="190"/>
        <v>39630</v>
      </c>
      <c r="AB120" s="43">
        <f t="shared" si="201"/>
        <v>0</v>
      </c>
      <c r="AC120" s="43">
        <f t="shared" si="201"/>
        <v>0</v>
      </c>
      <c r="AD120" s="43">
        <f t="shared" si="201"/>
        <v>0</v>
      </c>
      <c r="AE120" s="43">
        <f t="shared" si="201"/>
        <v>0</v>
      </c>
      <c r="AF120" s="44">
        <f t="shared" si="201"/>
        <v>0</v>
      </c>
      <c r="AG120" s="44">
        <f t="shared" si="201"/>
        <v>0</v>
      </c>
      <c r="AH120" s="128">
        <f t="shared" si="191"/>
        <v>39630</v>
      </c>
      <c r="AI120" s="44">
        <f t="shared" si="137"/>
        <v>0</v>
      </c>
      <c r="AJ120" s="51"/>
      <c r="AK120" s="128">
        <f t="shared" si="192"/>
        <v>39630</v>
      </c>
      <c r="AL120" s="43">
        <f t="shared" si="202"/>
        <v>0</v>
      </c>
      <c r="AM120" s="43">
        <f t="shared" si="202"/>
        <v>0</v>
      </c>
      <c r="AN120" s="43">
        <f t="shared" si="202"/>
        <v>0</v>
      </c>
      <c r="AO120" s="43">
        <f t="shared" si="202"/>
        <v>0</v>
      </c>
      <c r="AP120" s="44">
        <f t="shared" si="202"/>
        <v>0</v>
      </c>
      <c r="AQ120" s="44">
        <f t="shared" si="202"/>
        <v>0</v>
      </c>
      <c r="AR120" s="128">
        <f t="shared" si="193"/>
        <v>39630</v>
      </c>
      <c r="AS120" s="44">
        <f t="shared" si="138"/>
        <v>0</v>
      </c>
      <c r="AT120" s="51"/>
      <c r="AU120" s="51"/>
      <c r="AV120" s="51"/>
      <c r="AW120" s="51"/>
      <c r="AX120" s="51"/>
      <c r="AY120" s="51"/>
      <c r="AZ120" s="51"/>
      <c r="BA120" s="51"/>
      <c r="BB120" s="142">
        <f t="shared" si="196"/>
        <v>36800</v>
      </c>
      <c r="BC120" s="238">
        <f>_xll.xSPRDOPT((VLOOKUP(G120,NGPrices,2,FALSE)+HLOOKUP(D120,Prices,VLOOKUP(G120,move_down,2,FALSE),FALSE)),VLOOKUP(G120,NGPrices,2,FALSE),I120,VLOOKUP(G120,NGPREVPRICES,4,FALSE),HLOOKUP(D120,PREVVOLS,VLOOKUP(G120,MOVE_DOWN2,2,FALSE),FALSE),VLOOKUP(G120,NGPREVPRICES,3,FALSE),HLOOKUP(D120,Correllate,VLOOKUP(G120,CorMove,2,FALSE),FALSE),Q120-$BC$3,R120,$BC$5)*H120-BI120</f>
        <v>1934.8369358062046</v>
      </c>
      <c r="BD120" s="238">
        <f>_xll.xSPRDOPT((VLOOKUP(G120,NGPREVPRICES,2,FALSE)+HLOOKUP(D120,PREVCURVES,VLOOKUP(G120,MOVE_DOWN2,2,FALSE),FALSE)),VLOOKUP(G120,NGPREVPRICES,2,FALSE),BJ120,VLOOKUP(G120,NGPrices,4,FALSE),HLOOKUP(D120,PREVVOLS,VLOOKUP(G120,MOVE_DOWN2,2,FALSE),FALSE),VLOOKUP(G120,NGPREVPRICES,3,FALSE),HLOOKUP(D120,Correllate,VLOOKUP(G120,CorMove,2,FALSE),FALSE),Q120-$BC$3,R120,$BI$5)*H120-BI120</f>
        <v>-0.18702853955983301</v>
      </c>
      <c r="BE120" s="10">
        <f t="shared" si="197"/>
        <v>2.069362806443678</v>
      </c>
      <c r="BF120" s="238">
        <f>_xll.xSPRDOPT((VLOOKUP(G120,NGPREVPRICES,2,FALSE)+HLOOKUP(D120,PREVCURVES,VLOOKUP(G120,MOVE_DOWN2,2,FALSE),FALSE)),VLOOKUP(G120,NGPREVPRICES,2,FALSE),BJ120,VLOOKUP(G120,NGPREVPRICES,4,FALSE),HLOOKUP(D120,VOLS,VLOOKUP(G120,move_down,2,FALSE),FALSE),VLOOKUP(G120,NGPrices,3,FALSE),HLOOKUP(D120,Correllate,VLOOKUP(G120,CorMove,2,FALSE),FALSE),Q120-$BC$3,R120,$BI$5)*H120-BI120</f>
        <v>-357.92484203167623</v>
      </c>
      <c r="BG120" s="238">
        <f>_xll.xSPRDOPT((VLOOKUP(G120,NGPREVPRICES,2,FALSE)+HLOOKUP(D120,PREVCURVES,VLOOKUP(G120,MOVE_DOWN2,2,FALSE),FALSE)),VLOOKUP(G120,NGPREVPRICES,2,FALSE),BJ120,VLOOKUP(G120,NGPREVPRICES,4,FALSE),HLOOKUP(D120,PREVVOLS,VLOOKUP(G120,MOVE_DOWN2,2,FALSE),FALSE),VLOOKUP(G120,NGPREVPRICES,3,FALSE),HLOOKUP(D120,Correllate,VLOOKUP(G120,CorMove,2,FALSE),FALSE),Q120-$C$3,R120,$BI$5)*H120-BI120</f>
        <v>118.45647482902496</v>
      </c>
      <c r="BH120" s="238">
        <f t="shared" si="198"/>
        <v>1697.2509028704371</v>
      </c>
      <c r="BI120" s="238">
        <f>_xll.xSPRDOPT((VLOOKUP(G120,NGPREVPRICES,2,FALSE)+HLOOKUP(D120,PREVCURVES,VLOOKUP(G120,MOVE_DOWN2,2,FALSE),FALSE)),VLOOKUP(G120,NGPREVPRICES,2,FALSE),BJ120,VLOOKUP(G120,NGPREVPRICES,4,FALSE),HLOOKUP(D120,PREVVOLS,VLOOKUP(G120,MOVE_DOWN2,2,FALSE),FALSE),VLOOKUP(G120,NGPREVPRICES,3,FALSE),HLOOKUP(D120,Correllate,VLOOKUP(G120,CorMove,2,FALSE),FALSE),Q120-$BC$3,R120,$BI$5)*H120</f>
        <v>-11323.830857159835</v>
      </c>
      <c r="BJ120" s="239">
        <f t="shared" si="199"/>
        <v>0.3</v>
      </c>
      <c r="BL120" t="str">
        <f t="shared" si="200"/>
        <v>36800Curve Shift/Gamma</v>
      </c>
      <c r="BM120" t="str">
        <f t="shared" si="127"/>
        <v>36800Rho</v>
      </c>
      <c r="BN120" t="str">
        <f t="shared" si="128"/>
        <v>36800Drift</v>
      </c>
      <c r="BO120" t="str">
        <f t="shared" si="129"/>
        <v>36800Vega</v>
      </c>
      <c r="BP120" t="str">
        <f t="shared" si="130"/>
        <v>36800Theta</v>
      </c>
    </row>
    <row r="121" spans="1:68" ht="12" customHeight="1" x14ac:dyDescent="0.25">
      <c r="A121" s="395" t="s">
        <v>282</v>
      </c>
      <c r="B121" t="s">
        <v>253</v>
      </c>
      <c r="C121" t="s">
        <v>310</v>
      </c>
      <c r="D121" s="4" t="s">
        <v>7</v>
      </c>
      <c r="E121" t="s">
        <v>20</v>
      </c>
      <c r="F121" t="s">
        <v>21</v>
      </c>
      <c r="G121" s="5">
        <v>36647</v>
      </c>
      <c r="H121" s="130">
        <v>-250000</v>
      </c>
      <c r="I121">
        <v>0.3</v>
      </c>
      <c r="J121" s="53">
        <f t="shared" ref="J121:J132" si="203">VLOOKUP(G121,NGPrices,2,FALSE)</f>
        <v>3.1579999999999999</v>
      </c>
      <c r="K121" s="7">
        <f t="shared" ref="K121:K132" si="204">HLOOKUP(D121,Prices,VLOOKUP(G121,move_down,2,FALSE),FALSE)</f>
        <v>0.29499999999999998</v>
      </c>
      <c r="L121" s="4">
        <f t="shared" ref="L121:L132" si="205">K121+J121</f>
        <v>3.4529999999999998</v>
      </c>
      <c r="M121" s="159">
        <f t="shared" ref="M121:M132" si="206">VLOOKUP(G121,NGPrices,4,FALSE)</f>
        <v>6.2683518517613002E-2</v>
      </c>
      <c r="N121" s="4">
        <f t="shared" ref="N121:N132" si="207">VLOOKUP(G121,NGPrices,3,FALSE)</f>
        <v>0.41</v>
      </c>
      <c r="O121" s="4">
        <f t="shared" ref="O121:O132" si="208">HLOOKUP(D121,VOLS,VLOOKUP(G121,move_down,2,FALSE),FALSE)</f>
        <v>0.40200000000000002</v>
      </c>
      <c r="P121" s="9">
        <f t="shared" ref="P121:P132" si="209">HLOOKUP(D121,Correllate,VLOOKUP(G121,CorMove,2,FALSE),FALSE)</f>
        <v>0.99</v>
      </c>
      <c r="Q121" s="5">
        <f t="shared" si="189"/>
        <v>36643</v>
      </c>
      <c r="R121" s="4">
        <f t="shared" ref="R121:R132" si="210">IF(F121="P",0,1)</f>
        <v>1</v>
      </c>
      <c r="S121" s="160">
        <f>_xll.xSPRDOPT($L121,$J121,$I121,$M121,$O121,$N121,$P121,$Q121-$C$3,$R121,0)</f>
        <v>1.1625788599782439E-2</v>
      </c>
      <c r="T121" s="161">
        <f>_xll.xSPRDOPT($L121,$J121,$I121,$M121,$O121,$N121,$P121,$Q121-$C$3,$R121,1)*H121</f>
        <v>-111410.70418128773</v>
      </c>
      <c r="U121" s="162">
        <f t="shared" ref="U121:U132" si="211">S121*H121</f>
        <v>-2906.4471499456099</v>
      </c>
      <c r="V121" s="161">
        <f>_xll.xSPRDOPT($L121,$J121,$I121,$M121,$O121,$N121,$P121,$Q121-$C$3,$R121,2)*H121</f>
        <v>110630.25380335801</v>
      </c>
      <c r="W121" s="161">
        <f t="shared" ref="W121:W132" si="212">+V121+T121</f>
        <v>-780.45037792972289</v>
      </c>
      <c r="X121" s="51" t="str">
        <f t="shared" ref="X121:X132" si="213">CONCATENATE(G121,D121)</f>
        <v>36647IF-TRANSCO/Z6</v>
      </c>
      <c r="Y121" s="431">
        <f t="shared" ref="Y121:Y132" si="214">H121/10000</f>
        <v>-25</v>
      </c>
      <c r="Z121" s="51"/>
      <c r="AA121" s="128">
        <f t="shared" si="190"/>
        <v>39661</v>
      </c>
      <c r="AB121" s="43">
        <f t="shared" si="201"/>
        <v>0</v>
      </c>
      <c r="AC121" s="43">
        <f t="shared" si="201"/>
        <v>0</v>
      </c>
      <c r="AD121" s="43">
        <f t="shared" si="201"/>
        <v>0</v>
      </c>
      <c r="AE121" s="43">
        <f t="shared" si="201"/>
        <v>0</v>
      </c>
      <c r="AF121" s="44">
        <f t="shared" si="201"/>
        <v>0</v>
      </c>
      <c r="AG121" s="44">
        <f t="shared" si="201"/>
        <v>0</v>
      </c>
      <c r="AH121" s="128">
        <f t="shared" si="191"/>
        <v>39661</v>
      </c>
      <c r="AI121" s="44">
        <f t="shared" si="137"/>
        <v>0</v>
      </c>
      <c r="AJ121" s="51"/>
      <c r="AK121" s="128">
        <f t="shared" si="192"/>
        <v>39661</v>
      </c>
      <c r="AL121" s="43">
        <f t="shared" si="202"/>
        <v>0</v>
      </c>
      <c r="AM121" s="43">
        <f t="shared" si="202"/>
        <v>0</v>
      </c>
      <c r="AN121" s="43">
        <f t="shared" si="202"/>
        <v>0</v>
      </c>
      <c r="AO121" s="43">
        <f t="shared" si="202"/>
        <v>0</v>
      </c>
      <c r="AP121" s="44">
        <f t="shared" si="202"/>
        <v>0</v>
      </c>
      <c r="AQ121" s="44">
        <f t="shared" si="202"/>
        <v>0</v>
      </c>
      <c r="AR121" s="128">
        <f t="shared" si="193"/>
        <v>39661</v>
      </c>
      <c r="AS121" s="44">
        <f t="shared" si="138"/>
        <v>0</v>
      </c>
      <c r="AT121" s="51"/>
      <c r="AU121" s="51"/>
      <c r="AV121" s="51"/>
      <c r="AW121" s="51"/>
      <c r="AX121" s="51"/>
      <c r="AY121" s="51"/>
      <c r="AZ121" s="51"/>
      <c r="BA121" s="51"/>
      <c r="BB121" s="142">
        <f t="shared" si="196"/>
        <v>36647</v>
      </c>
      <c r="BC121" s="238">
        <f>_xll.xSPRDOPT((VLOOKUP(G121,NGPrices,2,FALSE)+HLOOKUP(D121,Prices,VLOOKUP(G121,move_down,2,FALSE),FALSE)),VLOOKUP(G121,NGPrices,2,FALSE),I121,VLOOKUP(G121,NGPREVPRICES,4,FALSE),HLOOKUP(D121,PREVVOLS,VLOOKUP(G121,MOVE_DOWN2,2,FALSE),FALSE),VLOOKUP(G121,NGPREVPRICES,3,FALSE),HLOOKUP(D121,Correllate,VLOOKUP(G121,CorMove,2,FALSE),FALSE),Q121-$BC$3,R121,$BC$5)*H121-BI121</f>
        <v>-579.88247346293565</v>
      </c>
      <c r="BD121" s="238">
        <f>_xll.xSPRDOPT((VLOOKUP(G121,NGPREVPRICES,2,FALSE)+HLOOKUP(D121,PREVCURVES,VLOOKUP(G121,MOVE_DOWN2,2,FALSE),FALSE)),VLOOKUP(G121,NGPREVPRICES,2,FALSE),BJ121,VLOOKUP(G121,NGPrices,4,FALSE),HLOOKUP(D121,PREVVOLS,VLOOKUP(G121,MOVE_DOWN2,2,FALSE),FALSE),VLOOKUP(G121,NGPREVPRICES,3,FALSE),HLOOKUP(D121,Correllate,VLOOKUP(G121,CorMove,2,FALSE),FALSE),Q121-$BC$3,R121,$BI$5)*H121-BI121</f>
        <v>7.888080927386909E-3</v>
      </c>
      <c r="BE121" s="10">
        <f t="shared" si="197"/>
        <v>0.38538392013470002</v>
      </c>
      <c r="BF121" s="238">
        <f>_xll.xSPRDOPT((VLOOKUP(G121,NGPREVPRICES,2,FALSE)+HLOOKUP(D121,PREVCURVES,VLOOKUP(G121,MOVE_DOWN2,2,FALSE),FALSE)),VLOOKUP(G121,NGPREVPRICES,2,FALSE),BJ121,VLOOKUP(G121,NGPREVPRICES,4,FALSE),HLOOKUP(D121,VOLS,VLOOKUP(G121,move_down,2,FALSE),FALSE),VLOOKUP(G121,NGPrices,3,FALSE),HLOOKUP(D121,Correllate,VLOOKUP(G121,CorMove,2,FALSE),FALSE),Q121-$BC$3,R121,$BI$5)*H121-BI121</f>
        <v>-507.34653543931836</v>
      </c>
      <c r="BG121" s="238">
        <f>_xll.xSPRDOPT((VLOOKUP(G121,NGPREVPRICES,2,FALSE)+HLOOKUP(D121,PREVCURVES,VLOOKUP(G121,MOVE_DOWN2,2,FALSE),FALSE)),VLOOKUP(G121,NGPREVPRICES,2,FALSE),BJ121,VLOOKUP(G121,NGPREVPRICES,4,FALSE),HLOOKUP(D121,PREVVOLS,VLOOKUP(G121,MOVE_DOWN2,2,FALSE),FALSE),VLOOKUP(G121,NGPREVPRICES,3,FALSE),HLOOKUP(D121,Correllate,VLOOKUP(G121,CorMove,2,FALSE),FALSE),Q121-$C$3,R121,$BI$5)*H121-BI121</f>
        <v>394.70661894080786</v>
      </c>
      <c r="BH121" s="238">
        <f t="shared" si="198"/>
        <v>-692.12911796038406</v>
      </c>
      <c r="BI121" s="238">
        <f>_xll.xSPRDOPT((VLOOKUP(G121,NGPREVPRICES,2,FALSE)+HLOOKUP(D121,PREVCURVES,VLOOKUP(G121,MOVE_DOWN2,2,FALSE),FALSE)),VLOOKUP(G121,NGPREVPRICES,2,FALSE),BJ121,VLOOKUP(G121,NGPREVPRICES,4,FALSE),HLOOKUP(D121,PREVVOLS,VLOOKUP(G121,MOVE_DOWN2,2,FALSE),FALSE),VLOOKUP(G121,NGPREVPRICES,3,FALSE),HLOOKUP(D121,Correllate,VLOOKUP(G121,CorMove,2,FALSE),FALSE),Q121-$BC$3,R121,$BI$5)*H121</f>
        <v>-2278.5082770811937</v>
      </c>
      <c r="BJ121" s="239">
        <f t="shared" si="199"/>
        <v>0.3</v>
      </c>
      <c r="BL121" t="str">
        <f t="shared" si="200"/>
        <v>36647Curve Shift/Gamma</v>
      </c>
      <c r="BM121" t="str">
        <f t="shared" si="127"/>
        <v>36647Rho</v>
      </c>
      <c r="BN121" t="str">
        <f t="shared" si="128"/>
        <v>36647Drift</v>
      </c>
      <c r="BO121" t="str">
        <f t="shared" si="129"/>
        <v>36647Vega</v>
      </c>
      <c r="BP121" t="str">
        <f t="shared" si="130"/>
        <v>36647Theta</v>
      </c>
    </row>
    <row r="122" spans="1:68" ht="12" customHeight="1" x14ac:dyDescent="0.25">
      <c r="A122" s="395" t="s">
        <v>282</v>
      </c>
      <c r="B122" t="s">
        <v>253</v>
      </c>
      <c r="C122" t="s">
        <v>310</v>
      </c>
      <c r="D122" s="4" t="s">
        <v>7</v>
      </c>
      <c r="E122" t="s">
        <v>20</v>
      </c>
      <c r="F122" t="s">
        <v>21</v>
      </c>
      <c r="G122" s="5">
        <v>36678</v>
      </c>
      <c r="H122" s="130">
        <v>-250000</v>
      </c>
      <c r="I122">
        <v>0.3</v>
      </c>
      <c r="J122" s="53">
        <f t="shared" si="203"/>
        <v>3.1720000000000002</v>
      </c>
      <c r="K122" s="7">
        <f t="shared" si="204"/>
        <v>0.3075</v>
      </c>
      <c r="L122" s="4">
        <f t="shared" si="205"/>
        <v>3.4795000000000003</v>
      </c>
      <c r="M122" s="159">
        <f t="shared" si="206"/>
        <v>6.3039999833066004E-2</v>
      </c>
      <c r="N122" s="4">
        <f t="shared" si="207"/>
        <v>0.38250000000000001</v>
      </c>
      <c r="O122" s="4">
        <f t="shared" si="208"/>
        <v>0.375</v>
      </c>
      <c r="P122" s="9">
        <f t="shared" si="209"/>
        <v>0.99</v>
      </c>
      <c r="Q122" s="5">
        <f t="shared" si="189"/>
        <v>36676</v>
      </c>
      <c r="R122" s="4">
        <f t="shared" si="210"/>
        <v>1</v>
      </c>
      <c r="S122" s="160">
        <f>_xll.xSPRDOPT($L122,$J122,$I122,$M122,$O122,$N122,$P122,$Q122-$C$3,$R122,0)</f>
        <v>3.0940961472274917E-2</v>
      </c>
      <c r="T122" s="161">
        <f>_xll.xSPRDOPT($L122,$J122,$I122,$M122,$O122,$N122,$P122,$Q122-$C$3,$R122,1)*H122</f>
        <v>-136393.10357873779</v>
      </c>
      <c r="U122" s="162">
        <f t="shared" si="211"/>
        <v>-7735.2403680687294</v>
      </c>
      <c r="V122" s="161">
        <f>_xll.xSPRDOPT($L122,$J122,$I122,$M122,$O122,$N122,$P122,$Q122-$C$3,$R122,2)*H122</f>
        <v>134889.34195625104</v>
      </c>
      <c r="W122" s="161">
        <f t="shared" si="212"/>
        <v>-1503.7616224867525</v>
      </c>
      <c r="X122" s="51" t="str">
        <f t="shared" si="213"/>
        <v>36678IF-TRANSCO/Z6</v>
      </c>
      <c r="Y122" s="431">
        <f t="shared" si="214"/>
        <v>-25</v>
      </c>
      <c r="AA122" s="128">
        <f t="shared" si="190"/>
        <v>39692</v>
      </c>
      <c r="AB122" s="43">
        <f t="shared" si="201"/>
        <v>0</v>
      </c>
      <c r="AC122" s="43">
        <f t="shared" si="201"/>
        <v>0</v>
      </c>
      <c r="AD122" s="43">
        <f t="shared" si="201"/>
        <v>0</v>
      </c>
      <c r="AE122" s="43">
        <f t="shared" si="201"/>
        <v>0</v>
      </c>
      <c r="AF122" s="44">
        <f t="shared" si="201"/>
        <v>0</v>
      </c>
      <c r="AG122" s="44">
        <f t="shared" si="201"/>
        <v>0</v>
      </c>
      <c r="AH122" s="128">
        <f t="shared" si="191"/>
        <v>39692</v>
      </c>
      <c r="AI122" s="44">
        <f t="shared" si="137"/>
        <v>0</v>
      </c>
      <c r="AJ122" s="51"/>
      <c r="AK122" s="128">
        <f t="shared" si="192"/>
        <v>39692</v>
      </c>
      <c r="AL122" s="43">
        <f t="shared" si="202"/>
        <v>0</v>
      </c>
      <c r="AM122" s="43">
        <f t="shared" si="202"/>
        <v>0</v>
      </c>
      <c r="AN122" s="43">
        <f t="shared" si="202"/>
        <v>0</v>
      </c>
      <c r="AO122" s="43">
        <f t="shared" si="202"/>
        <v>0</v>
      </c>
      <c r="AP122" s="44">
        <f t="shared" si="202"/>
        <v>0</v>
      </c>
      <c r="AQ122" s="44">
        <f t="shared" si="202"/>
        <v>0</v>
      </c>
      <c r="AR122" s="128">
        <f t="shared" si="193"/>
        <v>39692</v>
      </c>
      <c r="AS122" s="44">
        <f t="shared" si="138"/>
        <v>0</v>
      </c>
      <c r="AT122" s="51"/>
      <c r="AU122" s="51"/>
      <c r="AV122" s="51"/>
      <c r="AW122" s="51"/>
      <c r="AX122" s="51"/>
      <c r="AY122" s="51"/>
      <c r="AZ122" s="51"/>
      <c r="BA122" s="51"/>
      <c r="BB122" s="142">
        <f t="shared" si="196"/>
        <v>36678</v>
      </c>
      <c r="BC122" s="238">
        <f>_xll.xSPRDOPT((VLOOKUP(G122,NGPrices,2,FALSE)+HLOOKUP(D122,Prices,VLOOKUP(G122,move_down,2,FALSE),FALSE)),VLOOKUP(G122,NGPrices,2,FALSE),I122,VLOOKUP(G122,NGPREVPRICES,4,FALSE),HLOOKUP(D122,PREVVOLS,VLOOKUP(G122,MOVE_DOWN2,2,FALSE),FALSE),VLOOKUP(G122,NGPREVPRICES,3,FALSE),HLOOKUP(D122,Correllate,VLOOKUP(G122,CorMove,2,FALSE),FALSE),Q122-$BC$3,R122,$BC$5)*H122-BI122</f>
        <v>-2289.57107576203</v>
      </c>
      <c r="BD122" s="238">
        <f>_xll.xSPRDOPT((VLOOKUP(G122,NGPREVPRICES,2,FALSE)+HLOOKUP(D122,PREVCURVES,VLOOKUP(G122,MOVE_DOWN2,2,FALSE),FALSE)),VLOOKUP(G122,NGPREVPRICES,2,FALSE),BJ122,VLOOKUP(G122,NGPrices,4,FALSE),HLOOKUP(D122,PREVVOLS,VLOOKUP(G122,MOVE_DOWN2,2,FALSE),FALSE),VLOOKUP(G122,NGPREVPRICES,3,FALSE),HLOOKUP(D122,Correllate,VLOOKUP(G122,CorMove,2,FALSE),FALSE),Q122-$BC$3,R122,$BI$5)*H122-BI122</f>
        <v>1.7455680115745054E-2</v>
      </c>
      <c r="BE122" s="10">
        <f t="shared" si="197"/>
        <v>0.93780990699906397</v>
      </c>
      <c r="BF122" s="238">
        <f>_xll.xSPRDOPT((VLOOKUP(G122,NGPREVPRICES,2,FALSE)+HLOOKUP(D122,PREVCURVES,VLOOKUP(G122,MOVE_DOWN2,2,FALSE),FALSE)),VLOOKUP(G122,NGPREVPRICES,2,FALSE),BJ122,VLOOKUP(G122,NGPREVPRICES,4,FALSE),HLOOKUP(D122,VOLS,VLOOKUP(G122,move_down,2,FALSE),FALSE),VLOOKUP(G122,NGPrices,3,FALSE),HLOOKUP(D122,Correllate,VLOOKUP(G122,CorMove,2,FALSE),FALSE),Q122-$BC$3,R122,$BI$5)*H122-BI122</f>
        <v>-188.88009494960261</v>
      </c>
      <c r="BG122" s="238">
        <f>_xll.xSPRDOPT((VLOOKUP(G122,NGPREVPRICES,2,FALSE)+HLOOKUP(D122,PREVCURVES,VLOOKUP(G122,MOVE_DOWN2,2,FALSE),FALSE)),VLOOKUP(G122,NGPREVPRICES,2,FALSE),BJ122,VLOOKUP(G122,NGPREVPRICES,4,FALSE),HLOOKUP(D122,PREVVOLS,VLOOKUP(G122,MOVE_DOWN2,2,FALSE),FALSE),VLOOKUP(G122,NGPREVPRICES,3,FALSE),HLOOKUP(D122,Correllate,VLOOKUP(G122,CorMove,2,FALSE),FALSE),Q122-$C$3,R122,$BI$5)*H122-BI122</f>
        <v>215.41790472901175</v>
      </c>
      <c r="BH122" s="238">
        <f t="shared" si="198"/>
        <v>-2262.078000395506</v>
      </c>
      <c r="BI122" s="238">
        <f>_xll.xSPRDOPT((VLOOKUP(G122,NGPREVPRICES,2,FALSE)+HLOOKUP(D122,PREVCURVES,VLOOKUP(G122,MOVE_DOWN2,2,FALSE),FALSE)),VLOOKUP(G122,NGPREVPRICES,2,FALSE),BJ122,VLOOKUP(G122,NGPREVPRICES,4,FALSE),HLOOKUP(D122,PREVVOLS,VLOOKUP(G122,MOVE_DOWN2,2,FALSE),FALSE),VLOOKUP(G122,NGPREVPRICES,3,FALSE),HLOOKUP(D122,Correllate,VLOOKUP(G122,CorMove,2,FALSE),FALSE),Q122-$BC$3,R122,$BI$5)*H122</f>
        <v>-5478.4813311040007</v>
      </c>
      <c r="BJ122" s="239">
        <f t="shared" si="199"/>
        <v>0.3</v>
      </c>
      <c r="BL122" t="str">
        <f t="shared" si="200"/>
        <v>36678Curve Shift/Gamma</v>
      </c>
      <c r="BM122" t="str">
        <f t="shared" si="127"/>
        <v>36678Rho</v>
      </c>
      <c r="BN122" t="str">
        <f t="shared" si="128"/>
        <v>36678Drift</v>
      </c>
      <c r="BO122" t="str">
        <f t="shared" si="129"/>
        <v>36678Vega</v>
      </c>
      <c r="BP122" t="str">
        <f t="shared" si="130"/>
        <v>36678Theta</v>
      </c>
    </row>
    <row r="123" spans="1:68" ht="12" customHeight="1" x14ac:dyDescent="0.25">
      <c r="A123" s="395" t="s">
        <v>282</v>
      </c>
      <c r="B123" t="s">
        <v>253</v>
      </c>
      <c r="C123" t="s">
        <v>310</v>
      </c>
      <c r="D123" s="4" t="s">
        <v>7</v>
      </c>
      <c r="E123" t="s">
        <v>20</v>
      </c>
      <c r="F123" t="s">
        <v>21</v>
      </c>
      <c r="G123" s="5">
        <v>36708</v>
      </c>
      <c r="H123" s="130">
        <v>-250000</v>
      </c>
      <c r="I123">
        <v>0.3</v>
      </c>
      <c r="J123" s="53">
        <f t="shared" si="203"/>
        <v>3.181</v>
      </c>
      <c r="K123" s="7">
        <f t="shared" si="204"/>
        <v>0.34499999999999997</v>
      </c>
      <c r="L123" s="4">
        <f t="shared" si="205"/>
        <v>3.5259999999999998</v>
      </c>
      <c r="M123" s="159">
        <f t="shared" si="206"/>
        <v>6.3695649345076003E-2</v>
      </c>
      <c r="N123" s="4">
        <f t="shared" si="207"/>
        <v>0.39500000000000002</v>
      </c>
      <c r="O123" s="4">
        <f t="shared" si="208"/>
        <v>0.38700000000000001</v>
      </c>
      <c r="P123" s="9">
        <f t="shared" si="209"/>
        <v>0.99</v>
      </c>
      <c r="Q123" s="5">
        <f t="shared" si="189"/>
        <v>36706</v>
      </c>
      <c r="R123" s="4">
        <f t="shared" si="210"/>
        <v>1</v>
      </c>
      <c r="S123" s="160">
        <f>_xll.xSPRDOPT($L123,$J123,$I123,$M123,$O123,$N123,$P123,$Q123-$C$3,$R123,0)</f>
        <v>6.2960064075801014E-2</v>
      </c>
      <c r="T123" s="161">
        <f>_xll.xSPRDOPT($L123,$J123,$I123,$M123,$O123,$N123,$P123,$Q123-$C$3,$R123,1)*H123</f>
        <v>-171185.450844698</v>
      </c>
      <c r="U123" s="162">
        <f t="shared" si="211"/>
        <v>-15740.016018950253</v>
      </c>
      <c r="V123" s="161">
        <f>_xll.xSPRDOPT($L123,$J123,$I123,$M123,$O123,$N123,$P123,$Q123-$C$3,$R123,2)*H123</f>
        <v>169407.75760456859</v>
      </c>
      <c r="W123" s="161">
        <f t="shared" si="212"/>
        <v>-1777.693240129418</v>
      </c>
      <c r="X123" s="51" t="str">
        <f t="shared" si="213"/>
        <v>36708IF-TRANSCO/Z6</v>
      </c>
      <c r="Y123" s="431">
        <f t="shared" si="214"/>
        <v>-25</v>
      </c>
      <c r="AA123" s="128">
        <f t="shared" si="190"/>
        <v>39722</v>
      </c>
      <c r="AB123" s="43">
        <f t="shared" si="201"/>
        <v>0</v>
      </c>
      <c r="AC123" s="43">
        <f t="shared" si="201"/>
        <v>0</v>
      </c>
      <c r="AD123" s="43">
        <f t="shared" si="201"/>
        <v>0</v>
      </c>
      <c r="AE123" s="43">
        <f t="shared" si="201"/>
        <v>0</v>
      </c>
      <c r="AF123" s="44">
        <f t="shared" si="201"/>
        <v>0</v>
      </c>
      <c r="AG123" s="44">
        <f t="shared" si="201"/>
        <v>0</v>
      </c>
      <c r="AH123" s="128">
        <f t="shared" si="191"/>
        <v>39722</v>
      </c>
      <c r="AI123" s="44">
        <f t="shared" si="137"/>
        <v>0</v>
      </c>
      <c r="AJ123" s="51"/>
      <c r="AK123" s="128">
        <f t="shared" si="192"/>
        <v>39722</v>
      </c>
      <c r="AL123" s="43">
        <f t="shared" si="202"/>
        <v>0</v>
      </c>
      <c r="AM123" s="43">
        <f t="shared" si="202"/>
        <v>0</v>
      </c>
      <c r="AN123" s="43">
        <f t="shared" si="202"/>
        <v>0</v>
      </c>
      <c r="AO123" s="43">
        <f t="shared" si="202"/>
        <v>0</v>
      </c>
      <c r="AP123" s="44">
        <f t="shared" si="202"/>
        <v>0</v>
      </c>
      <c r="AQ123" s="44">
        <f t="shared" si="202"/>
        <v>0</v>
      </c>
      <c r="AR123" s="128">
        <f t="shared" si="193"/>
        <v>39722</v>
      </c>
      <c r="AS123" s="44">
        <f t="shared" si="138"/>
        <v>0</v>
      </c>
      <c r="AT123" s="51"/>
      <c r="AU123" s="51"/>
      <c r="AV123" s="51"/>
      <c r="AW123" s="51"/>
      <c r="AX123" s="51"/>
      <c r="AY123" s="51"/>
      <c r="AZ123" s="51"/>
      <c r="BA123" s="51"/>
      <c r="BB123" s="142">
        <f t="shared" si="196"/>
        <v>36708</v>
      </c>
      <c r="BC123" s="238">
        <f>_xll.xSPRDOPT((VLOOKUP(G123,NGPrices,2,FALSE)+HLOOKUP(D123,Prices,VLOOKUP(G123,move_down,2,FALSE),FALSE)),VLOOKUP(G123,NGPrices,2,FALSE),I123,VLOOKUP(G123,NGPREVPRICES,4,FALSE),HLOOKUP(D123,PREVVOLS,VLOOKUP(G123,MOVE_DOWN2,2,FALSE),FALSE),VLOOKUP(G123,NGPREVPRICES,3,FALSE),HLOOKUP(D123,Correllate,VLOOKUP(G123,CorMove,2,FALSE),FALSE),Q123-$BC$3,R123,$BC$5)*H123-BI123</f>
        <v>-2611.9356263083973</v>
      </c>
      <c r="BD123" s="238">
        <f>_xll.xSPRDOPT((VLOOKUP(G123,NGPREVPRICES,2,FALSE)+HLOOKUP(D123,PREVCURVES,VLOOKUP(G123,MOVE_DOWN2,2,FALSE),FALSE)),VLOOKUP(G123,NGPREVPRICES,2,FALSE),BJ123,VLOOKUP(G123,NGPrices,4,FALSE),HLOOKUP(D123,PREVVOLS,VLOOKUP(G123,MOVE_DOWN2,2,FALSE),FALSE),VLOOKUP(G123,NGPREVPRICES,3,FALSE),HLOOKUP(D123,Correllate,VLOOKUP(G123,CorMove,2,FALSE),FALSE),Q123-$BC$3,R123,$BI$5)*H123-BI123</f>
        <v>0.1244434686977911</v>
      </c>
      <c r="BE123" s="10">
        <f t="shared" si="197"/>
        <v>2.2697909841717774</v>
      </c>
      <c r="BF123" s="238">
        <f>_xll.xSPRDOPT((VLOOKUP(G123,NGPREVPRICES,2,FALSE)+HLOOKUP(D123,PREVCURVES,VLOOKUP(G123,MOVE_DOWN2,2,FALSE),FALSE)),VLOOKUP(G123,NGPREVPRICES,2,FALSE),BJ123,VLOOKUP(G123,NGPREVPRICES,4,FALSE),HLOOKUP(D123,VOLS,VLOOKUP(G123,move_down,2,FALSE),FALSE),VLOOKUP(G123,NGPrices,3,FALSE),HLOOKUP(D123,Correllate,VLOOKUP(G123,CorMove,2,FALSE),FALSE),Q123-$BC$3,R123,$BI$5)*H123-BI123</f>
        <v>-234.62082354515951</v>
      </c>
      <c r="BG123" s="238">
        <f>_xll.xSPRDOPT((VLOOKUP(G123,NGPREVPRICES,2,FALSE)+HLOOKUP(D123,PREVCURVES,VLOOKUP(G123,MOVE_DOWN2,2,FALSE),FALSE)),VLOOKUP(G123,NGPREVPRICES,2,FALSE),BJ123,VLOOKUP(G123,NGPREVPRICES,4,FALSE),HLOOKUP(D123,PREVVOLS,VLOOKUP(G123,MOVE_DOWN2,2,FALSE),FALSE),VLOOKUP(G123,NGPREVPRICES,3,FALSE),HLOOKUP(D123,Correllate,VLOOKUP(G123,CorMove,2,FALSE),FALSE),Q123-$C$3,R123,$BI$5)*H123-BI123</f>
        <v>160.88609912776337</v>
      </c>
      <c r="BH123" s="238">
        <f t="shared" si="198"/>
        <v>-2683.2761162729239</v>
      </c>
      <c r="BI123" s="238">
        <f>_xll.xSPRDOPT((VLOOKUP(G123,NGPREVPRICES,2,FALSE)+HLOOKUP(D123,PREVCURVES,VLOOKUP(G123,MOVE_DOWN2,2,FALSE),FALSE)),VLOOKUP(G123,NGPREVPRICES,2,FALSE),BJ123,VLOOKUP(G123,NGPREVPRICES,4,FALSE),HLOOKUP(D123,PREVVOLS,VLOOKUP(G123,MOVE_DOWN2,2,FALSE),FALSE),VLOOKUP(G123,NGPREVPRICES,3,FALSE),HLOOKUP(D123,Correllate,VLOOKUP(G123,CorMove,2,FALSE),FALSE),Q123-$BC$3,R123,$BI$5)*H123</f>
        <v>-13060.941308234056</v>
      </c>
      <c r="BJ123" s="239">
        <f t="shared" si="199"/>
        <v>0.3</v>
      </c>
      <c r="BL123" t="str">
        <f t="shared" si="200"/>
        <v>36708Curve Shift/Gamma</v>
      </c>
      <c r="BM123" t="str">
        <f t="shared" si="127"/>
        <v>36708Rho</v>
      </c>
      <c r="BN123" t="str">
        <f t="shared" si="128"/>
        <v>36708Drift</v>
      </c>
      <c r="BO123" t="str">
        <f t="shared" si="129"/>
        <v>36708Vega</v>
      </c>
      <c r="BP123" t="str">
        <f t="shared" si="130"/>
        <v>36708Theta</v>
      </c>
    </row>
    <row r="124" spans="1:68" ht="12" customHeight="1" x14ac:dyDescent="0.25">
      <c r="A124" s="395" t="s">
        <v>282</v>
      </c>
      <c r="B124" t="s">
        <v>253</v>
      </c>
      <c r="C124" t="s">
        <v>310</v>
      </c>
      <c r="D124" s="4" t="s">
        <v>7</v>
      </c>
      <c r="E124" t="s">
        <v>20</v>
      </c>
      <c r="F124" t="s">
        <v>21</v>
      </c>
      <c r="G124" s="5">
        <v>36739</v>
      </c>
      <c r="H124" s="130">
        <v>-250000</v>
      </c>
      <c r="I124">
        <v>0.3</v>
      </c>
      <c r="J124" s="53">
        <f t="shared" si="203"/>
        <v>3.1829999999999998</v>
      </c>
      <c r="K124" s="7">
        <f t="shared" si="204"/>
        <v>0.34499999999999997</v>
      </c>
      <c r="L124" s="4">
        <f t="shared" si="205"/>
        <v>3.5279999999999996</v>
      </c>
      <c r="M124" s="159">
        <f t="shared" si="206"/>
        <v>6.4500399973534003E-2</v>
      </c>
      <c r="N124" s="4">
        <f t="shared" si="207"/>
        <v>0.41249999999999998</v>
      </c>
      <c r="O124" s="4">
        <f t="shared" si="208"/>
        <v>0.40400000000000003</v>
      </c>
      <c r="P124" s="9">
        <f t="shared" si="209"/>
        <v>0.99</v>
      </c>
      <c r="Q124" s="5">
        <f t="shared" si="189"/>
        <v>36735</v>
      </c>
      <c r="R124" s="4">
        <f t="shared" si="210"/>
        <v>1</v>
      </c>
      <c r="S124" s="160">
        <f>_xll.xSPRDOPT($L124,$J124,$I124,$M124,$O124,$N124,$P124,$Q124-$C$3,$R124,0)</f>
        <v>7.0370105649823031E-2</v>
      </c>
      <c r="T124" s="161">
        <f>_xll.xSPRDOPT($L124,$J124,$I124,$M124,$O124,$N124,$P124,$Q124-$C$3,$R124,1)*H124</f>
        <v>-162594.61382687406</v>
      </c>
      <c r="U124" s="162">
        <f t="shared" si="211"/>
        <v>-17592.526412455758</v>
      </c>
      <c r="V124" s="161">
        <f>_xll.xSPRDOPT($L124,$J124,$I124,$M124,$O124,$N124,$P124,$Q124-$C$3,$R124,2)*H124</f>
        <v>160319.51057257233</v>
      </c>
      <c r="W124" s="161">
        <f t="shared" si="212"/>
        <v>-2275.1032543017354</v>
      </c>
      <c r="X124" s="51" t="str">
        <f t="shared" si="213"/>
        <v>36739IF-TRANSCO/Z6</v>
      </c>
      <c r="Y124" s="431">
        <f t="shared" si="214"/>
        <v>-25</v>
      </c>
      <c r="AA124" s="128">
        <f t="shared" si="190"/>
        <v>39753</v>
      </c>
      <c r="AB124" s="43">
        <f t="shared" si="201"/>
        <v>0</v>
      </c>
      <c r="AC124" s="43">
        <f t="shared" si="201"/>
        <v>0</v>
      </c>
      <c r="AD124" s="43">
        <f t="shared" si="201"/>
        <v>0</v>
      </c>
      <c r="AE124" s="43">
        <f t="shared" si="201"/>
        <v>0</v>
      </c>
      <c r="AF124" s="44">
        <f t="shared" si="201"/>
        <v>0</v>
      </c>
      <c r="AG124" s="44">
        <f t="shared" si="201"/>
        <v>0</v>
      </c>
      <c r="AH124" s="128">
        <f t="shared" si="191"/>
        <v>39753</v>
      </c>
      <c r="AI124" s="44">
        <f t="shared" si="137"/>
        <v>0</v>
      </c>
      <c r="AJ124" s="51"/>
      <c r="AK124" s="128">
        <f t="shared" si="192"/>
        <v>39753</v>
      </c>
      <c r="AL124" s="43">
        <f t="shared" si="202"/>
        <v>0</v>
      </c>
      <c r="AM124" s="43">
        <f t="shared" si="202"/>
        <v>0</v>
      </c>
      <c r="AN124" s="43">
        <f t="shared" si="202"/>
        <v>0</v>
      </c>
      <c r="AO124" s="43">
        <f t="shared" si="202"/>
        <v>0</v>
      </c>
      <c r="AP124" s="44">
        <f t="shared" si="202"/>
        <v>0</v>
      </c>
      <c r="AQ124" s="44">
        <f t="shared" si="202"/>
        <v>0</v>
      </c>
      <c r="AR124" s="128">
        <f t="shared" si="193"/>
        <v>39753</v>
      </c>
      <c r="AS124" s="44">
        <f t="shared" si="138"/>
        <v>0</v>
      </c>
      <c r="AT124" s="51"/>
      <c r="AU124" s="51"/>
      <c r="AV124" s="51"/>
      <c r="AW124" s="51"/>
      <c r="AX124" s="51"/>
      <c r="AY124" s="51"/>
      <c r="AZ124" s="51"/>
      <c r="BA124" s="51"/>
      <c r="BB124" s="142">
        <f t="shared" si="196"/>
        <v>36739</v>
      </c>
      <c r="BC124" s="238">
        <f>_xll.xSPRDOPT((VLOOKUP(G124,NGPrices,2,FALSE)+HLOOKUP(D124,Prices,VLOOKUP(G124,move_down,2,FALSE),FALSE)),VLOOKUP(G124,NGPrices,2,FALSE),I124,VLOOKUP(G124,NGPREVPRICES,4,FALSE),HLOOKUP(D124,PREVVOLS,VLOOKUP(G124,MOVE_DOWN2,2,FALSE),FALSE),VLOOKUP(G124,NGPREVPRICES,3,FALSE),HLOOKUP(D124,Correllate,VLOOKUP(G124,CorMove,2,FALSE),FALSE),Q124-$BC$3,R124,$BC$5)*H124-BI124</f>
        <v>-2536.4653063064452</v>
      </c>
      <c r="BD124" s="238">
        <f>_xll.xSPRDOPT((VLOOKUP(G124,NGPREVPRICES,2,FALSE)+HLOOKUP(D124,PREVCURVES,VLOOKUP(G124,MOVE_DOWN2,2,FALSE),FALSE)),VLOOKUP(G124,NGPREVPRICES,2,FALSE),BJ124,VLOOKUP(G124,NGPrices,4,FALSE),HLOOKUP(D124,PREVVOLS,VLOOKUP(G124,MOVE_DOWN2,2,FALSE),FALSE),VLOOKUP(G124,NGPREVPRICES,3,FALSE),HLOOKUP(D124,Correllate,VLOOKUP(G124,CorMove,2,FALSE),FALSE),Q124-$BC$3,R124,$BI$5)*H124-BI124</f>
        <v>0.11180748238439264</v>
      </c>
      <c r="BE124" s="10">
        <f t="shared" si="197"/>
        <v>2.6414463939327106</v>
      </c>
      <c r="BF124" s="238">
        <f>_xll.xSPRDOPT((VLOOKUP(G124,NGPREVPRICES,2,FALSE)+HLOOKUP(D124,PREVCURVES,VLOOKUP(G124,MOVE_DOWN2,2,FALSE),FALSE)),VLOOKUP(G124,NGPREVPRICES,2,FALSE),BJ124,VLOOKUP(G124,NGPREVPRICES,4,FALSE),HLOOKUP(D124,VOLS,VLOOKUP(G124,move_down,2,FALSE),FALSE),VLOOKUP(G124,NGPrices,3,FALSE),HLOOKUP(D124,Correllate,VLOOKUP(G124,CorMove,2,FALSE),FALSE),Q124-$BC$3,R124,$BI$5)*H124-BI124</f>
        <v>-279.92965643979005</v>
      </c>
      <c r="BG124" s="238">
        <f>_xll.xSPRDOPT((VLOOKUP(G124,NGPREVPRICES,2,FALSE)+HLOOKUP(D124,PREVCURVES,VLOOKUP(G124,MOVE_DOWN2,2,FALSE),FALSE)),VLOOKUP(G124,NGPREVPRICES,2,FALSE),BJ124,VLOOKUP(G124,NGPREVPRICES,4,FALSE),HLOOKUP(D124,PREVVOLS,VLOOKUP(G124,MOVE_DOWN2,2,FALSE),FALSE),VLOOKUP(G124,NGPREVPRICES,3,FALSE),HLOOKUP(D124,Correllate,VLOOKUP(G124,CorMove,2,FALSE),FALSE),Q124-$C$3,R124,$BI$5)*H124-BI124</f>
        <v>143.1887407761933</v>
      </c>
      <c r="BH124" s="238">
        <f t="shared" si="198"/>
        <v>-2670.4529680937248</v>
      </c>
      <c r="BI124" s="238">
        <f>_xll.xSPRDOPT((VLOOKUP(G124,NGPREVPRICES,2,FALSE)+HLOOKUP(D124,PREVCURVES,VLOOKUP(G124,MOVE_DOWN2,2,FALSE),FALSE)),VLOOKUP(G124,NGPREVPRICES,2,FALSE),BJ124,VLOOKUP(G124,NGPREVPRICES,4,FALSE),HLOOKUP(D124,PREVVOLS,VLOOKUP(G124,MOVE_DOWN2,2,FALSE),FALSE),VLOOKUP(G124,NGPREVPRICES,3,FALSE),HLOOKUP(D124,Correllate,VLOOKUP(G124,CorMove,2,FALSE),FALSE),Q124-$BC$3,R124,$BI$5)*H124</f>
        <v>-14925.105046132174</v>
      </c>
      <c r="BJ124" s="239">
        <f t="shared" si="199"/>
        <v>0.3</v>
      </c>
      <c r="BL124" t="str">
        <f t="shared" si="200"/>
        <v>36739Curve Shift/Gamma</v>
      </c>
      <c r="BM124" t="str">
        <f t="shared" si="127"/>
        <v>36739Rho</v>
      </c>
      <c r="BN124" t="str">
        <f t="shared" si="128"/>
        <v>36739Drift</v>
      </c>
      <c r="BO124" t="str">
        <f t="shared" si="129"/>
        <v>36739Vega</v>
      </c>
      <c r="BP124" t="str">
        <f t="shared" si="130"/>
        <v>36739Theta</v>
      </c>
    </row>
    <row r="125" spans="1:68" ht="12" customHeight="1" x14ac:dyDescent="0.25">
      <c r="A125" s="395" t="s">
        <v>282</v>
      </c>
      <c r="B125" t="s">
        <v>253</v>
      </c>
      <c r="C125" t="s">
        <v>310</v>
      </c>
      <c r="D125" s="4" t="s">
        <v>7</v>
      </c>
      <c r="E125" t="s">
        <v>20</v>
      </c>
      <c r="F125" t="s">
        <v>21</v>
      </c>
      <c r="G125" s="5">
        <v>36770</v>
      </c>
      <c r="H125" s="130">
        <v>-250000</v>
      </c>
      <c r="I125">
        <v>0.3</v>
      </c>
      <c r="J125" s="53">
        <f t="shared" si="203"/>
        <v>3.173</v>
      </c>
      <c r="K125" s="7">
        <f t="shared" si="204"/>
        <v>0.315</v>
      </c>
      <c r="L125" s="4">
        <f t="shared" si="205"/>
        <v>3.488</v>
      </c>
      <c r="M125" s="159">
        <f t="shared" si="206"/>
        <v>6.5221012015626995E-2</v>
      </c>
      <c r="N125" s="4">
        <f t="shared" si="207"/>
        <v>0.42</v>
      </c>
      <c r="O125" s="4">
        <f t="shared" si="208"/>
        <v>0.41199999999999998</v>
      </c>
      <c r="P125" s="9">
        <f t="shared" si="209"/>
        <v>0.99</v>
      </c>
      <c r="Q125" s="5">
        <f t="shared" si="189"/>
        <v>36768</v>
      </c>
      <c r="R125" s="4">
        <f t="shared" si="210"/>
        <v>1</v>
      </c>
      <c r="S125" s="160">
        <f>_xll.xSPRDOPT($L125,$J125,$I125,$M125,$O125,$N125,$P125,$Q125-$C$3,$R125,0)</f>
        <v>5.9717690015039612E-2</v>
      </c>
      <c r="T125" s="161">
        <f>_xll.xSPRDOPT($L125,$J125,$I125,$M125,$O125,$N125,$P125,$Q125-$C$3,$R125,1)*H125</f>
        <v>-135789.30794730608</v>
      </c>
      <c r="U125" s="162">
        <f t="shared" si="211"/>
        <v>-14929.422503759903</v>
      </c>
      <c r="V125" s="161">
        <f>_xll.xSPRDOPT($L125,$J125,$I125,$M125,$O125,$N125,$P125,$Q125-$C$3,$R125,2)*H125</f>
        <v>132913.50437728883</v>
      </c>
      <c r="W125" s="161">
        <f t="shared" si="212"/>
        <v>-2875.8035700172477</v>
      </c>
      <c r="X125" s="51" t="str">
        <f t="shared" si="213"/>
        <v>36770IF-TRANSCO/Z6</v>
      </c>
      <c r="Y125" s="431">
        <f t="shared" si="214"/>
        <v>-25</v>
      </c>
      <c r="Z125" s="51"/>
      <c r="AA125" s="128">
        <f t="shared" si="190"/>
        <v>39783</v>
      </c>
      <c r="AB125" s="43">
        <f t="shared" si="201"/>
        <v>0</v>
      </c>
      <c r="AC125" s="43">
        <f t="shared" si="201"/>
        <v>0</v>
      </c>
      <c r="AD125" s="43">
        <f t="shared" si="201"/>
        <v>0</v>
      </c>
      <c r="AE125" s="43">
        <f t="shared" si="201"/>
        <v>0</v>
      </c>
      <c r="AF125" s="44">
        <f t="shared" si="201"/>
        <v>0</v>
      </c>
      <c r="AG125" s="44">
        <f t="shared" si="201"/>
        <v>0</v>
      </c>
      <c r="AH125" s="128">
        <f t="shared" si="191"/>
        <v>39783</v>
      </c>
      <c r="AI125" s="44">
        <f t="shared" si="137"/>
        <v>0</v>
      </c>
      <c r="AJ125" s="51"/>
      <c r="AK125" s="128">
        <f t="shared" si="192"/>
        <v>39783</v>
      </c>
      <c r="AL125" s="43">
        <f t="shared" si="202"/>
        <v>0</v>
      </c>
      <c r="AM125" s="43">
        <f t="shared" si="202"/>
        <v>0</v>
      </c>
      <c r="AN125" s="43">
        <f t="shared" si="202"/>
        <v>0</v>
      </c>
      <c r="AO125" s="43">
        <f t="shared" si="202"/>
        <v>0</v>
      </c>
      <c r="AP125" s="44">
        <f t="shared" si="202"/>
        <v>0</v>
      </c>
      <c r="AQ125" s="44">
        <f t="shared" si="202"/>
        <v>0</v>
      </c>
      <c r="AR125" s="128">
        <f t="shared" si="193"/>
        <v>39783</v>
      </c>
      <c r="AS125" s="44">
        <f t="shared" si="138"/>
        <v>0</v>
      </c>
      <c r="AT125" s="51"/>
      <c r="AU125" s="51"/>
      <c r="AV125" s="51"/>
      <c r="AW125" s="51"/>
      <c r="AX125" s="51"/>
      <c r="AY125" s="51"/>
      <c r="AZ125" s="51"/>
      <c r="BA125" s="51"/>
      <c r="BB125" s="142">
        <f t="shared" si="196"/>
        <v>36770</v>
      </c>
      <c r="BC125" s="238">
        <f>_xll.xSPRDOPT((VLOOKUP(G125,NGPrices,2,FALSE)+HLOOKUP(D125,Prices,VLOOKUP(G125,move_down,2,FALSE),FALSE)),VLOOKUP(G125,NGPrices,2,FALSE),I125,VLOOKUP(G125,NGPREVPRICES,4,FALSE),HLOOKUP(D125,PREVVOLS,VLOOKUP(G125,MOVE_DOWN2,2,FALSE),FALSE),VLOOKUP(G125,NGPREVPRICES,3,FALSE),HLOOKUP(D125,Correllate,VLOOKUP(G125,CorMove,2,FALSE),FALSE),Q125-$BC$3,R125,$BC$5)*H125-BI125</f>
        <v>-2484.4194541004381</v>
      </c>
      <c r="BD125" s="238">
        <f>_xll.xSPRDOPT((VLOOKUP(G125,NGPREVPRICES,2,FALSE)+HLOOKUP(D125,PREVCURVES,VLOOKUP(G125,MOVE_DOWN2,2,FALSE),FALSE)),VLOOKUP(G125,NGPREVPRICES,2,FALSE),BJ125,VLOOKUP(G125,NGPrices,4,FALSE),HLOOKUP(D125,PREVVOLS,VLOOKUP(G125,MOVE_DOWN2,2,FALSE),FALSE),VLOOKUP(G125,NGPREVPRICES,3,FALSE),HLOOKUP(D125,Correllate,VLOOKUP(G125,CorMove,2,FALSE),FALSE),Q125-$BC$3,R125,$BI$5)*H125-BI125</f>
        <v>-2.0462664680962916E-2</v>
      </c>
      <c r="BE125" s="10">
        <f t="shared" si="197"/>
        <v>2.2049223656395043</v>
      </c>
      <c r="BF125" s="238">
        <f>_xll.xSPRDOPT((VLOOKUP(G125,NGPREVPRICES,2,FALSE)+HLOOKUP(D125,PREVCURVES,VLOOKUP(G125,MOVE_DOWN2,2,FALSE),FALSE)),VLOOKUP(G125,NGPREVPRICES,2,FALSE),BJ125,VLOOKUP(G125,NGPREVPRICES,4,FALSE),HLOOKUP(D125,VOLS,VLOOKUP(G125,move_down,2,FALSE),FALSE),VLOOKUP(G125,NGPrices,3,FALSE),HLOOKUP(D125,Correllate,VLOOKUP(G125,CorMove,2,FALSE),FALSE),Q125-$BC$3,R125,$BI$5)*H125-BI125</f>
        <v>-327.90138808610754</v>
      </c>
      <c r="BG125" s="238">
        <f>_xll.xSPRDOPT((VLOOKUP(G125,NGPREVPRICES,2,FALSE)+HLOOKUP(D125,PREVCURVES,VLOOKUP(G125,MOVE_DOWN2,2,FALSE),FALSE)),VLOOKUP(G125,NGPREVPRICES,2,FALSE),BJ125,VLOOKUP(G125,NGPREVPRICES,4,FALSE),HLOOKUP(D125,PREVVOLS,VLOOKUP(G125,MOVE_DOWN2,2,FALSE),FALSE),VLOOKUP(G125,NGPREVPRICES,3,FALSE),HLOOKUP(D125,Correllate,VLOOKUP(G125,CorMove,2,FALSE),FALSE),Q125-$C$3,R125,$BI$5)*H125-BI125</f>
        <v>131.35563855502551</v>
      </c>
      <c r="BH125" s="238">
        <f t="shared" si="198"/>
        <v>-2678.7807439305616</v>
      </c>
      <c r="BI125" s="238">
        <f>_xll.xSPRDOPT((VLOOKUP(G125,NGPREVPRICES,2,FALSE)+HLOOKUP(D125,PREVCURVES,VLOOKUP(G125,MOVE_DOWN2,2,FALSE),FALSE)),VLOOKUP(G125,NGPREVPRICES,2,FALSE),BJ125,VLOOKUP(G125,NGPREVPRICES,4,FALSE),HLOOKUP(D125,PREVVOLS,VLOOKUP(G125,MOVE_DOWN2,2,FALSE),FALSE),VLOOKUP(G125,NGPREVPRICES,3,FALSE),HLOOKUP(D125,Correllate,VLOOKUP(G125,CorMove,2,FALSE),FALSE),Q125-$BC$3,R125,$BI$5)*H125</f>
        <v>-12247.861744361771</v>
      </c>
      <c r="BJ125" s="239">
        <f t="shared" si="199"/>
        <v>0.3</v>
      </c>
      <c r="BL125" t="str">
        <f t="shared" si="200"/>
        <v>36770Curve Shift/Gamma</v>
      </c>
      <c r="BM125" t="str">
        <f t="shared" si="127"/>
        <v>36770Rho</v>
      </c>
      <c r="BN125" t="str">
        <f t="shared" si="128"/>
        <v>36770Drift</v>
      </c>
      <c r="BO125" t="str">
        <f t="shared" si="129"/>
        <v>36770Vega</v>
      </c>
      <c r="BP125" t="str">
        <f t="shared" si="130"/>
        <v>36770Theta</v>
      </c>
    </row>
    <row r="126" spans="1:68" ht="12" customHeight="1" x14ac:dyDescent="0.25">
      <c r="A126" s="395" t="s">
        <v>282</v>
      </c>
      <c r="B126" t="s">
        <v>253</v>
      </c>
      <c r="C126" t="s">
        <v>310</v>
      </c>
      <c r="D126" s="4" t="s">
        <v>7</v>
      </c>
      <c r="E126" t="s">
        <v>20</v>
      </c>
      <c r="F126" t="s">
        <v>21</v>
      </c>
      <c r="G126" s="5">
        <v>36800</v>
      </c>
      <c r="H126" s="130">
        <v>-250000</v>
      </c>
      <c r="I126">
        <v>0.3</v>
      </c>
      <c r="J126" s="53">
        <f t="shared" si="203"/>
        <v>3.18</v>
      </c>
      <c r="K126" s="7">
        <f t="shared" si="204"/>
        <v>0.34499999999999997</v>
      </c>
      <c r="L126" s="4">
        <f t="shared" si="205"/>
        <v>3.5250000000000004</v>
      </c>
      <c r="M126" s="159">
        <f t="shared" si="206"/>
        <v>6.5817989695161006E-2</v>
      </c>
      <c r="N126" s="4">
        <f t="shared" si="207"/>
        <v>0.42249999999999999</v>
      </c>
      <c r="O126" s="4">
        <f t="shared" si="208"/>
        <v>0.41399999999999998</v>
      </c>
      <c r="P126" s="9">
        <f t="shared" si="209"/>
        <v>0.99</v>
      </c>
      <c r="Q126" s="5">
        <f t="shared" si="189"/>
        <v>36797</v>
      </c>
      <c r="R126" s="4">
        <f t="shared" si="210"/>
        <v>1</v>
      </c>
      <c r="S126" s="160">
        <f>_xll.xSPRDOPT($L126,$J126,$I126,$M126,$O126,$N126,$P126,$Q126-$C$3,$R126,0)</f>
        <v>8.2175162078058181E-2</v>
      </c>
      <c r="T126" s="161">
        <f>_xll.xSPRDOPT($L126,$J126,$I126,$M126,$O126,$N126,$P126,$Q126-$C$3,$R126,1)*H126</f>
        <v>-153225.97842687802</v>
      </c>
      <c r="U126" s="162">
        <f t="shared" si="211"/>
        <v>-20543.790519514547</v>
      </c>
      <c r="V126" s="161">
        <f>_xll.xSPRDOPT($L126,$J126,$I126,$M126,$O126,$N126,$P126,$Q126-$C$3,$R126,2)*H126</f>
        <v>150207.13947455742</v>
      </c>
      <c r="W126" s="161">
        <f t="shared" si="212"/>
        <v>-3018.8389523205988</v>
      </c>
      <c r="X126" s="51" t="str">
        <f t="shared" si="213"/>
        <v>36800IF-TRANSCO/Z6</v>
      </c>
      <c r="Y126" s="431">
        <f t="shared" si="214"/>
        <v>-25</v>
      </c>
      <c r="Z126" s="51"/>
      <c r="AA126" s="128">
        <f t="shared" si="190"/>
        <v>39814</v>
      </c>
      <c r="AB126" s="43">
        <f t="shared" si="201"/>
        <v>0</v>
      </c>
      <c r="AC126" s="43">
        <f t="shared" si="201"/>
        <v>0</v>
      </c>
      <c r="AD126" s="43">
        <f t="shared" si="201"/>
        <v>0</v>
      </c>
      <c r="AE126" s="43">
        <f t="shared" si="201"/>
        <v>0</v>
      </c>
      <c r="AF126" s="44">
        <f t="shared" si="201"/>
        <v>0</v>
      </c>
      <c r="AG126" s="44">
        <f t="shared" si="201"/>
        <v>0</v>
      </c>
      <c r="AH126" s="128">
        <f t="shared" si="191"/>
        <v>39814</v>
      </c>
      <c r="AI126" s="44">
        <f t="shared" si="137"/>
        <v>0</v>
      </c>
      <c r="AJ126" s="51"/>
      <c r="AK126" s="128">
        <f t="shared" si="192"/>
        <v>39814</v>
      </c>
      <c r="AL126" s="43">
        <f t="shared" si="202"/>
        <v>0</v>
      </c>
      <c r="AM126" s="43">
        <f t="shared" si="202"/>
        <v>0</v>
      </c>
      <c r="AN126" s="43">
        <f t="shared" si="202"/>
        <v>0</v>
      </c>
      <c r="AO126" s="43">
        <f t="shared" si="202"/>
        <v>0</v>
      </c>
      <c r="AP126" s="44">
        <f t="shared" si="202"/>
        <v>0</v>
      </c>
      <c r="AQ126" s="44">
        <f t="shared" si="202"/>
        <v>0</v>
      </c>
      <c r="AR126" s="128">
        <f t="shared" si="193"/>
        <v>39814</v>
      </c>
      <c r="AS126" s="44">
        <f t="shared" si="138"/>
        <v>0</v>
      </c>
      <c r="AT126" s="51"/>
      <c r="AU126" s="51"/>
      <c r="AV126" s="51"/>
      <c r="AW126" s="51"/>
      <c r="AX126" s="51"/>
      <c r="AY126" s="51"/>
      <c r="AZ126" s="51"/>
      <c r="BA126" s="51"/>
      <c r="BB126" s="142">
        <f t="shared" si="196"/>
        <v>36800</v>
      </c>
      <c r="BC126" s="238">
        <f>_xll.xSPRDOPT((VLOOKUP(G126,NGPrices,2,FALSE)+HLOOKUP(D126,Prices,VLOOKUP(G126,move_down,2,FALSE),FALSE)),VLOOKUP(G126,NGPrices,2,FALSE),I126,VLOOKUP(G126,NGPREVPRICES,4,FALSE),HLOOKUP(D126,PREVVOLS,VLOOKUP(G126,MOVE_DOWN2,2,FALSE),FALSE),VLOOKUP(G126,NGPREVPRICES,3,FALSE),HLOOKUP(D126,Correllate,VLOOKUP(G126,CorMove,2,FALSE),FALSE),Q126-$BC$3,R126,$BC$5)*H126-BI126</f>
        <v>-3523.3193679801043</v>
      </c>
      <c r="BD126" s="238">
        <f>_xll.xSPRDOPT((VLOOKUP(G126,NGPREVPRICES,2,FALSE)+HLOOKUP(D126,PREVCURVES,VLOOKUP(G126,MOVE_DOWN2,2,FALSE),FALSE)),VLOOKUP(G126,NGPREVPRICES,2,FALSE),BJ126,VLOOKUP(G126,NGPrices,4,FALSE),HLOOKUP(D126,PREVVOLS,VLOOKUP(G126,MOVE_DOWN2,2,FALSE),FALSE),VLOOKUP(G126,NGPREVPRICES,3,FALSE),HLOOKUP(D126,Correllate,VLOOKUP(G126,CorMove,2,FALSE),FALSE),Q126-$BC$3,R126,$BI$5)*H126-BI126</f>
        <v>-0.27717744884284912</v>
      </c>
      <c r="BE126" s="10">
        <f t="shared" si="197"/>
        <v>3.0668084402823297</v>
      </c>
      <c r="BF126" s="238">
        <f>_xll.xSPRDOPT((VLOOKUP(G126,NGPREVPRICES,2,FALSE)+HLOOKUP(D126,PREVCURVES,VLOOKUP(G126,MOVE_DOWN2,2,FALSE),FALSE)),VLOOKUP(G126,NGPREVPRICES,2,FALSE),BJ126,VLOOKUP(G126,NGPREVPRICES,4,FALSE),HLOOKUP(D126,VOLS,VLOOKUP(G126,move_down,2,FALSE),FALSE),VLOOKUP(G126,NGPrices,3,FALSE),HLOOKUP(D126,Correllate,VLOOKUP(G126,CorMove,2,FALSE),FALSE),Q126-$BC$3,R126,$BI$5)*H126-BI126</f>
        <v>-357.9248420316726</v>
      </c>
      <c r="BG126" s="238">
        <f>_xll.xSPRDOPT((VLOOKUP(G126,NGPREVPRICES,2,FALSE)+HLOOKUP(D126,PREVCURVES,VLOOKUP(G126,MOVE_DOWN2,2,FALSE),FALSE)),VLOOKUP(G126,NGPREVPRICES,2,FALSE),BJ126,VLOOKUP(G126,NGPREVPRICES,4,FALSE),HLOOKUP(D126,PREVVOLS,VLOOKUP(G126,MOVE_DOWN2,2,FALSE),FALSE),VLOOKUP(G126,NGPREVPRICES,3,FALSE),HLOOKUP(D126,Correllate,VLOOKUP(G126,CorMove,2,FALSE),FALSE),Q126-$C$3,R126,$BI$5)*H126-BI126</f>
        <v>115.50338021983043</v>
      </c>
      <c r="BH126" s="238">
        <f t="shared" si="198"/>
        <v>-3762.951198800507</v>
      </c>
      <c r="BI126" s="238">
        <f>_xll.xSPRDOPT((VLOOKUP(G126,NGPREVPRICES,2,FALSE)+HLOOKUP(D126,PREVCURVES,VLOOKUP(G126,MOVE_DOWN2,2,FALSE),FALSE)),VLOOKUP(G126,NGPREVPRICES,2,FALSE),BJ126,VLOOKUP(G126,NGPREVPRICES,4,FALSE),HLOOKUP(D126,PREVVOLS,VLOOKUP(G126,MOVE_DOWN2,2,FALSE),FALSE),VLOOKUP(G126,NGPREVPRICES,3,FALSE),HLOOKUP(D126,Correllate,VLOOKUP(G126,CorMove,2,FALSE),FALSE),Q126-$BC$3,R126,$BI$5)*H126</f>
        <v>-16781.987160946035</v>
      </c>
      <c r="BJ126" s="239">
        <f t="shared" si="199"/>
        <v>0.3</v>
      </c>
      <c r="BL126" t="str">
        <f t="shared" si="200"/>
        <v>36800Curve Shift/Gamma</v>
      </c>
      <c r="BM126" t="str">
        <f t="shared" si="127"/>
        <v>36800Rho</v>
      </c>
      <c r="BN126" t="str">
        <f t="shared" si="128"/>
        <v>36800Drift</v>
      </c>
      <c r="BO126" t="str">
        <f t="shared" si="129"/>
        <v>36800Vega</v>
      </c>
      <c r="BP126" t="str">
        <f t="shared" si="130"/>
        <v>36800Theta</v>
      </c>
    </row>
    <row r="127" spans="1:68" ht="12" customHeight="1" x14ac:dyDescent="0.25">
      <c r="A127" s="395" t="s">
        <v>282</v>
      </c>
      <c r="B127" t="s">
        <v>253</v>
      </c>
      <c r="C127" t="s">
        <v>311</v>
      </c>
      <c r="D127" s="4" t="s">
        <v>7</v>
      </c>
      <c r="E127" t="s">
        <v>20</v>
      </c>
      <c r="F127" t="s">
        <v>1</v>
      </c>
      <c r="G127" s="5">
        <v>36647</v>
      </c>
      <c r="H127" s="130">
        <v>-250000</v>
      </c>
      <c r="I127">
        <v>0.3</v>
      </c>
      <c r="J127" s="53">
        <f t="shared" si="203"/>
        <v>3.1579999999999999</v>
      </c>
      <c r="K127" s="7">
        <f t="shared" si="204"/>
        <v>0.29499999999999998</v>
      </c>
      <c r="L127" s="4">
        <f t="shared" si="205"/>
        <v>3.4529999999999998</v>
      </c>
      <c r="M127" s="159">
        <f t="shared" si="206"/>
        <v>6.2683518517613002E-2</v>
      </c>
      <c r="N127" s="4">
        <f t="shared" si="207"/>
        <v>0.41</v>
      </c>
      <c r="O127" s="4">
        <f t="shared" si="208"/>
        <v>0.40200000000000002</v>
      </c>
      <c r="P127" s="9">
        <f t="shared" si="209"/>
        <v>0.99</v>
      </c>
      <c r="Q127" s="5">
        <f t="shared" si="189"/>
        <v>36643</v>
      </c>
      <c r="R127" s="4">
        <f t="shared" si="210"/>
        <v>0</v>
      </c>
      <c r="S127" s="160">
        <f>_xll.xSPRDOPT($L127,$J127,$I127,$M127,$O127,$N127,$P127,$Q127-$C$3,$R127,0)</f>
        <v>1.6617215052741219E-2</v>
      </c>
      <c r="T127" s="161">
        <f>_xll.xSPRDOPT($L127,$J127,$I127,$M127,$O127,$N127,$P127,$Q127-$C$3,$R127,1)*H127</f>
        <v>138160.61846664996</v>
      </c>
      <c r="U127" s="162">
        <f t="shared" si="211"/>
        <v>-4154.3037631853049</v>
      </c>
      <c r="V127" s="161">
        <f>_xll.xSPRDOPT($L127,$J127,$I127,$M127,$O127,$N127,$P127,$Q127-$C$3,$R127,2)*H127</f>
        <v>-138941.06884457968</v>
      </c>
      <c r="W127" s="161">
        <f t="shared" si="212"/>
        <v>-780.45037792972289</v>
      </c>
      <c r="X127" s="51" t="str">
        <f t="shared" si="213"/>
        <v>36647IF-TRANSCO/Z6</v>
      </c>
      <c r="Y127" s="431">
        <f t="shared" si="214"/>
        <v>-25</v>
      </c>
      <c r="Z127" s="51"/>
      <c r="AA127" s="128">
        <f t="shared" si="190"/>
        <v>39845</v>
      </c>
      <c r="AB127" s="43">
        <f t="shared" ref="AB127:AG136" si="215">SUMIF($X:$X,CONCATENATE($AA127,AB$6),$T:$T)/10000</f>
        <v>0</v>
      </c>
      <c r="AC127" s="43">
        <f t="shared" si="215"/>
        <v>0</v>
      </c>
      <c r="AD127" s="43">
        <f t="shared" si="215"/>
        <v>0</v>
      </c>
      <c r="AE127" s="43">
        <f t="shared" si="215"/>
        <v>0</v>
      </c>
      <c r="AF127" s="44">
        <f t="shared" si="215"/>
        <v>0</v>
      </c>
      <c r="AG127" s="44">
        <f t="shared" si="215"/>
        <v>0</v>
      </c>
      <c r="AH127" s="128">
        <f t="shared" si="191"/>
        <v>39845</v>
      </c>
      <c r="AI127" s="44">
        <f t="shared" si="137"/>
        <v>0</v>
      </c>
      <c r="AJ127" s="51"/>
      <c r="AK127" s="128">
        <f t="shared" si="192"/>
        <v>39845</v>
      </c>
      <c r="AL127" s="43">
        <f t="shared" ref="AL127:AQ136" si="216">SUMIF($X:$X,CONCATENATE($AA127,AL$6),$W:$W)</f>
        <v>0</v>
      </c>
      <c r="AM127" s="43">
        <f t="shared" si="216"/>
        <v>0</v>
      </c>
      <c r="AN127" s="43">
        <f t="shared" si="216"/>
        <v>0</v>
      </c>
      <c r="AO127" s="43">
        <f t="shared" si="216"/>
        <v>0</v>
      </c>
      <c r="AP127" s="44">
        <f t="shared" si="216"/>
        <v>0</v>
      </c>
      <c r="AQ127" s="44">
        <f t="shared" si="216"/>
        <v>0</v>
      </c>
      <c r="AR127" s="128">
        <f t="shared" si="193"/>
        <v>39845</v>
      </c>
      <c r="AS127" s="44">
        <f t="shared" si="138"/>
        <v>0</v>
      </c>
      <c r="AT127" s="51"/>
      <c r="AU127" s="51"/>
      <c r="AV127" s="51"/>
      <c r="AW127" s="51"/>
      <c r="AX127" s="51"/>
      <c r="AY127" s="51"/>
      <c r="AZ127" s="51"/>
      <c r="BA127" s="51"/>
      <c r="BB127" s="142">
        <f t="shared" si="196"/>
        <v>36647</v>
      </c>
      <c r="BC127" s="238">
        <f>_xll.xSPRDOPT((VLOOKUP(G127,NGPrices,2,FALSE)+HLOOKUP(D127,Prices,VLOOKUP(G127,move_down,2,FALSE),FALSE)),VLOOKUP(G127,NGPrices,2,FALSE),I127,VLOOKUP(G127,NGPREVPRICES,4,FALSE),HLOOKUP(D127,PREVVOLS,VLOOKUP(G127,MOVE_DOWN2,2,FALSE),FALSE),VLOOKUP(G127,NGPREVPRICES,3,FALSE),HLOOKUP(D127,Correllate,VLOOKUP(G127,CorMove,2,FALSE),FALSE),Q127-$BC$3,R127,$BC$5)*H127-BI127</f>
        <v>667.3361585242119</v>
      </c>
      <c r="BD127" s="238">
        <f>_xll.xSPRDOPT((VLOOKUP(G127,NGPREVPRICES,2,FALSE)+HLOOKUP(D127,PREVCURVES,VLOOKUP(G127,MOVE_DOWN2,2,FALSE),FALSE)),VLOOKUP(G127,NGPREVPRICES,2,FALSE),BJ127,VLOOKUP(G127,NGPrices,4,FALSE),HLOOKUP(D127,PREVVOLS,VLOOKUP(G127,MOVE_DOWN2,2,FALSE),FALSE),VLOOKUP(G127,NGPREVPRICES,3,FALSE),HLOOKUP(D127,Correllate,VLOOKUP(G127,CorMove,2,FALSE),FALSE),Q127-$BC$3,R127,$BI$5)*H127-BI127</f>
        <v>1.652369710518542E-2</v>
      </c>
      <c r="BE127" s="10">
        <f t="shared" si="197"/>
        <v>0.80728978766728687</v>
      </c>
      <c r="BF127" s="238">
        <f>_xll.xSPRDOPT((VLOOKUP(G127,NGPREVPRICES,2,FALSE)+HLOOKUP(D127,PREVCURVES,VLOOKUP(G127,MOVE_DOWN2,2,FALSE),FALSE)),VLOOKUP(G127,NGPREVPRICES,2,FALSE),BJ127,VLOOKUP(G127,NGPREVPRICES,4,FALSE),HLOOKUP(D127,VOLS,VLOOKUP(G127,move_down,2,FALSE),FALSE),VLOOKUP(G127,NGPrices,3,FALSE),HLOOKUP(D127,Correllate,VLOOKUP(G127,CorMove,2,FALSE),FALSE),Q127-$BC$3,R127,$BI$5)*H127-BI127</f>
        <v>-507.34653543926834</v>
      </c>
      <c r="BG127" s="238">
        <f>_xll.xSPRDOPT((VLOOKUP(G127,NGPREVPRICES,2,FALSE)+HLOOKUP(D127,PREVCURVES,VLOOKUP(G127,MOVE_DOWN2,2,FALSE),FALSE)),VLOOKUP(G127,NGPREVPRICES,2,FALSE),BJ127,VLOOKUP(G127,NGPREVPRICES,4,FALSE),HLOOKUP(D127,PREVVOLS,VLOOKUP(G127,MOVE_DOWN2,2,FALSE),FALSE),VLOOKUP(G127,NGPREVPRICES,3,FALSE),HLOOKUP(D127,Correllate,VLOOKUP(G127,CorMove,2,FALSE),FALSE),Q127-$C$3,R127,$BI$5)*H127-BI127</f>
        <v>393.42401023613456</v>
      </c>
      <c r="BH127" s="238">
        <f t="shared" si="198"/>
        <v>554.2374468058506</v>
      </c>
      <c r="BI127" s="238">
        <f>_xll.xSPRDOPT((VLOOKUP(G127,NGPREVPRICES,2,FALSE)+HLOOKUP(D127,PREVCURVES,VLOOKUP(G127,MOVE_DOWN2,2,FALSE),FALSE)),VLOOKUP(G127,NGPREVPRICES,2,FALSE),BJ127,VLOOKUP(G127,NGPREVPRICES,4,FALSE),HLOOKUP(D127,PREVVOLS,VLOOKUP(G127,MOVE_DOWN2,2,FALSE),FALSE),VLOOKUP(G127,NGPREVPRICES,3,FALSE),HLOOKUP(D127,Correllate,VLOOKUP(G127,CorMove,2,FALSE),FALSE),Q127-$BC$3,R127,$BI$5)*H127</f>
        <v>-4772.9455410558121</v>
      </c>
      <c r="BJ127" s="239">
        <f t="shared" si="199"/>
        <v>0.3</v>
      </c>
      <c r="BL127" t="str">
        <f t="shared" si="200"/>
        <v>36647Curve Shift/Gamma</v>
      </c>
      <c r="BM127" t="str">
        <f t="shared" si="127"/>
        <v>36647Rho</v>
      </c>
      <c r="BN127" t="str">
        <f t="shared" si="128"/>
        <v>36647Drift</v>
      </c>
      <c r="BO127" t="str">
        <f t="shared" si="129"/>
        <v>36647Vega</v>
      </c>
      <c r="BP127" t="str">
        <f t="shared" si="130"/>
        <v>36647Theta</v>
      </c>
    </row>
    <row r="128" spans="1:68" ht="12" customHeight="1" x14ac:dyDescent="0.25">
      <c r="A128" s="395" t="s">
        <v>282</v>
      </c>
      <c r="B128" t="s">
        <v>253</v>
      </c>
      <c r="C128" t="s">
        <v>311</v>
      </c>
      <c r="D128" s="4" t="s">
        <v>7</v>
      </c>
      <c r="E128" t="s">
        <v>20</v>
      </c>
      <c r="F128" t="s">
        <v>1</v>
      </c>
      <c r="G128" s="5">
        <v>36678</v>
      </c>
      <c r="H128" s="130">
        <v>-250000</v>
      </c>
      <c r="I128">
        <v>0.3</v>
      </c>
      <c r="J128" s="53">
        <f t="shared" si="203"/>
        <v>3.1720000000000002</v>
      </c>
      <c r="K128" s="7">
        <f t="shared" si="204"/>
        <v>0.3075</v>
      </c>
      <c r="L128" s="4">
        <f t="shared" si="205"/>
        <v>3.4795000000000003</v>
      </c>
      <c r="M128" s="159">
        <f t="shared" si="206"/>
        <v>6.3039999833066004E-2</v>
      </c>
      <c r="N128" s="4">
        <f t="shared" si="207"/>
        <v>0.38250000000000001</v>
      </c>
      <c r="O128" s="4">
        <f t="shared" si="208"/>
        <v>0.375</v>
      </c>
      <c r="P128" s="9">
        <f t="shared" si="209"/>
        <v>0.99</v>
      </c>
      <c r="Q128" s="5">
        <f t="shared" si="189"/>
        <v>36676</v>
      </c>
      <c r="R128" s="4">
        <f t="shared" si="210"/>
        <v>0</v>
      </c>
      <c r="S128" s="160">
        <f>_xll.xSPRDOPT($L128,$J128,$I128,$M128,$O128,$N128,$P128,$Q128-$C$3,$R128,0)</f>
        <v>2.3496417036198869E-2</v>
      </c>
      <c r="T128" s="161">
        <f>_xll.xSPRDOPT($L128,$J128,$I128,$M128,$O128,$N128,$P128,$Q128-$C$3,$R128,1)*H128</f>
        <v>111758.37762379037</v>
      </c>
      <c r="U128" s="162">
        <f t="shared" si="211"/>
        <v>-5874.1042590497173</v>
      </c>
      <c r="V128" s="161">
        <f>_xll.xSPRDOPT($L128,$J128,$I128,$M128,$O128,$N128,$P128,$Q128-$C$3,$R128,2)*H128</f>
        <v>-113262.13924627712</v>
      </c>
      <c r="W128" s="161">
        <f t="shared" si="212"/>
        <v>-1503.7616224867525</v>
      </c>
      <c r="X128" s="51" t="str">
        <f t="shared" si="213"/>
        <v>36678IF-TRANSCO/Z6</v>
      </c>
      <c r="Y128" s="431">
        <f t="shared" si="214"/>
        <v>-25</v>
      </c>
      <c r="Z128" s="51"/>
      <c r="AA128" s="128">
        <f t="shared" si="190"/>
        <v>39873</v>
      </c>
      <c r="AB128" s="43">
        <f t="shared" si="215"/>
        <v>0</v>
      </c>
      <c r="AC128" s="43">
        <f t="shared" si="215"/>
        <v>0</v>
      </c>
      <c r="AD128" s="43">
        <f t="shared" si="215"/>
        <v>0</v>
      </c>
      <c r="AE128" s="43">
        <f t="shared" si="215"/>
        <v>0</v>
      </c>
      <c r="AF128" s="44">
        <f t="shared" si="215"/>
        <v>0</v>
      </c>
      <c r="AG128" s="44">
        <f t="shared" si="215"/>
        <v>0</v>
      </c>
      <c r="AH128" s="128">
        <f t="shared" si="191"/>
        <v>39873</v>
      </c>
      <c r="AI128" s="44">
        <f t="shared" si="137"/>
        <v>0</v>
      </c>
      <c r="AJ128" s="51"/>
      <c r="AK128" s="128">
        <f t="shared" si="192"/>
        <v>39873</v>
      </c>
      <c r="AL128" s="43">
        <f t="shared" si="216"/>
        <v>0</v>
      </c>
      <c r="AM128" s="43">
        <f t="shared" si="216"/>
        <v>0</v>
      </c>
      <c r="AN128" s="43">
        <f t="shared" si="216"/>
        <v>0</v>
      </c>
      <c r="AO128" s="43">
        <f t="shared" si="216"/>
        <v>0</v>
      </c>
      <c r="AP128" s="44">
        <f t="shared" si="216"/>
        <v>0</v>
      </c>
      <c r="AQ128" s="44">
        <f t="shared" si="216"/>
        <v>0</v>
      </c>
      <c r="AR128" s="128">
        <f t="shared" si="193"/>
        <v>39873</v>
      </c>
      <c r="AS128" s="44">
        <f t="shared" si="138"/>
        <v>0</v>
      </c>
      <c r="AT128" s="51"/>
      <c r="AU128" s="51"/>
      <c r="AV128" s="51"/>
      <c r="AW128" s="51"/>
      <c r="AX128" s="51"/>
      <c r="AY128" s="51"/>
      <c r="AZ128" s="51"/>
      <c r="BA128" s="51"/>
      <c r="BB128" s="142">
        <f t="shared" si="196"/>
        <v>36678</v>
      </c>
      <c r="BC128" s="238">
        <f>_xll.xSPRDOPT((VLOOKUP(G128,NGPrices,2,FALSE)+HLOOKUP(D128,Prices,VLOOKUP(G128,move_down,2,FALSE),FALSE)),VLOOKUP(G128,NGPrices,2,FALSE),I128,VLOOKUP(G128,NGPREVPRICES,4,FALSE),HLOOKUP(D128,PREVVOLS,VLOOKUP(G128,MOVE_DOWN2,2,FALSE),FALSE),VLOOKUP(G128,NGPREVPRICES,3,FALSE),HLOOKUP(D128,Correllate,VLOOKUP(G128,CorMove,2,FALSE),FALSE),Q128-$BC$3,R128,$BC$5)*H128-BI128</f>
        <v>2050.8457089065678</v>
      </c>
      <c r="BD128" s="238">
        <f>_xll.xSPRDOPT((VLOOKUP(G128,NGPREVPRICES,2,FALSE)+HLOOKUP(D128,PREVCURVES,VLOOKUP(G128,MOVE_DOWN2,2,FALSE),FALSE)),VLOOKUP(G128,NGPREVPRICES,2,FALSE),BJ128,VLOOKUP(G128,NGPrices,4,FALSE),HLOOKUP(D128,PREVVOLS,VLOOKUP(G128,MOVE_DOWN2,2,FALSE),FALSE),VLOOKUP(G128,NGPREVPRICES,3,FALSE),HLOOKUP(D128,Correllate,VLOOKUP(G128,CorMove,2,FALSE),FALSE),Q128-$BC$3,R128,$BI$5)*H128-BI128</f>
        <v>2.5358279725878674E-2</v>
      </c>
      <c r="BE128" s="10">
        <f t="shared" si="197"/>
        <v>1.3623786478765396</v>
      </c>
      <c r="BF128" s="238">
        <f>_xll.xSPRDOPT((VLOOKUP(G128,NGPREVPRICES,2,FALSE)+HLOOKUP(D128,PREVCURVES,VLOOKUP(G128,MOVE_DOWN2,2,FALSE),FALSE)),VLOOKUP(G128,NGPREVPRICES,2,FALSE),BJ128,VLOOKUP(G128,NGPREVPRICES,4,FALSE),HLOOKUP(D128,VOLS,VLOOKUP(G128,move_down,2,FALSE),FALSE),VLOOKUP(G128,NGPrices,3,FALSE),HLOOKUP(D128,Correllate,VLOOKUP(G128,CorMove,2,FALSE),FALSE),Q128-$BC$3,R128,$BI$5)*H128-BI128</f>
        <v>-188.88009494966172</v>
      </c>
      <c r="BG128" s="238">
        <f>_xll.xSPRDOPT((VLOOKUP(G128,NGPREVPRICES,2,FALSE)+HLOOKUP(D128,PREVCURVES,VLOOKUP(G128,MOVE_DOWN2,2,FALSE),FALSE)),VLOOKUP(G128,NGPREVPRICES,2,FALSE),BJ128,VLOOKUP(G128,NGPREVPRICES,4,FALSE),HLOOKUP(D128,PREVVOLS,VLOOKUP(G128,MOVE_DOWN2,2,FALSE),FALSE),VLOOKUP(G128,NGPREVPRICES,3,FALSE),HLOOKUP(D128,Correllate,VLOOKUP(G128,CorMove,2,FALSE),FALSE),Q128-$C$3,R128,$BI$5)*H128-BI128</f>
        <v>214.13386433373489</v>
      </c>
      <c r="BH128" s="238">
        <f t="shared" si="198"/>
        <v>2077.4872152182434</v>
      </c>
      <c r="BI128" s="238">
        <f>_xll.xSPRDOPT((VLOOKUP(G128,NGPREVPRICES,2,FALSE)+HLOOKUP(D128,PREVCURVES,VLOOKUP(G128,MOVE_DOWN2,2,FALSE),FALSE)),VLOOKUP(G128,NGPREVPRICES,2,FALSE),BJ128,VLOOKUP(G128,NGPREVPRICES,4,FALSE),HLOOKUP(D128,PREVVOLS,VLOOKUP(G128,MOVE_DOWN2,2,FALSE),FALSE),VLOOKUP(G128,NGPREVPRICES,3,FALSE),HLOOKUP(D128,Correllate,VLOOKUP(G128,CorMove,2,FALSE),FALSE),Q128-$BC$3,R128,$BI$5)*H128</f>
        <v>-7958.7194937718041</v>
      </c>
      <c r="BJ128" s="239">
        <f t="shared" si="199"/>
        <v>0.3</v>
      </c>
      <c r="BL128" t="str">
        <f t="shared" si="200"/>
        <v>36678Curve Shift/Gamma</v>
      </c>
      <c r="BM128" t="str">
        <f t="shared" si="127"/>
        <v>36678Rho</v>
      </c>
      <c r="BN128" t="str">
        <f t="shared" si="128"/>
        <v>36678Drift</v>
      </c>
      <c r="BO128" t="str">
        <f t="shared" si="129"/>
        <v>36678Vega</v>
      </c>
      <c r="BP128" t="str">
        <f t="shared" si="130"/>
        <v>36678Theta</v>
      </c>
    </row>
    <row r="129" spans="1:68" ht="12" customHeight="1" x14ac:dyDescent="0.25">
      <c r="A129" s="395" t="s">
        <v>282</v>
      </c>
      <c r="B129" t="s">
        <v>253</v>
      </c>
      <c r="C129" t="s">
        <v>311</v>
      </c>
      <c r="D129" s="4" t="s">
        <v>7</v>
      </c>
      <c r="E129" t="s">
        <v>20</v>
      </c>
      <c r="F129" t="s">
        <v>1</v>
      </c>
      <c r="G129" s="5">
        <v>36708</v>
      </c>
      <c r="H129" s="130">
        <v>-250000</v>
      </c>
      <c r="I129">
        <v>0.3</v>
      </c>
      <c r="J129" s="53">
        <f t="shared" si="203"/>
        <v>3.181</v>
      </c>
      <c r="K129" s="7">
        <f t="shared" si="204"/>
        <v>0.34499999999999997</v>
      </c>
      <c r="L129" s="4">
        <f t="shared" si="205"/>
        <v>3.5259999999999998</v>
      </c>
      <c r="M129" s="159">
        <f t="shared" si="206"/>
        <v>6.3695649345076003E-2</v>
      </c>
      <c r="N129" s="4">
        <f t="shared" si="207"/>
        <v>0.39500000000000002</v>
      </c>
      <c r="O129" s="4">
        <f t="shared" si="208"/>
        <v>0.38700000000000001</v>
      </c>
      <c r="P129" s="9">
        <f t="shared" si="209"/>
        <v>0.99</v>
      </c>
      <c r="Q129" s="5">
        <f t="shared" si="189"/>
        <v>36706</v>
      </c>
      <c r="R129" s="4">
        <f t="shared" si="210"/>
        <v>0</v>
      </c>
      <c r="S129" s="160">
        <f>_xll.xSPRDOPT($L129,$J129,$I129,$M129,$O129,$N129,$P129,$Q129-$C$3,$R129,0)</f>
        <v>1.8529301543263099E-2</v>
      </c>
      <c r="T129" s="161">
        <f>_xll.xSPRDOPT($L129,$J129,$I129,$M129,$O129,$N129,$P129,$Q129-$C$3,$R129,1)*H129</f>
        <v>75652.118780515666</v>
      </c>
      <c r="U129" s="162">
        <f t="shared" si="211"/>
        <v>-4632.325385815775</v>
      </c>
      <c r="V129" s="161">
        <f>_xll.xSPRDOPT($L129,$J129,$I129,$M129,$O129,$N129,$P129,$Q129-$C$3,$R129,2)*H129</f>
        <v>-77429.812020645084</v>
      </c>
      <c r="W129" s="161">
        <f t="shared" si="212"/>
        <v>-1777.693240129418</v>
      </c>
      <c r="X129" s="51" t="str">
        <f t="shared" si="213"/>
        <v>36708IF-TRANSCO/Z6</v>
      </c>
      <c r="Y129" s="431">
        <f t="shared" si="214"/>
        <v>-25</v>
      </c>
      <c r="Z129" s="51"/>
      <c r="AA129" s="128">
        <f t="shared" si="190"/>
        <v>39904</v>
      </c>
      <c r="AB129" s="43">
        <f t="shared" si="215"/>
        <v>0</v>
      </c>
      <c r="AC129" s="43">
        <f t="shared" si="215"/>
        <v>0</v>
      </c>
      <c r="AD129" s="43">
        <f t="shared" si="215"/>
        <v>0</v>
      </c>
      <c r="AE129" s="43">
        <f t="shared" si="215"/>
        <v>0</v>
      </c>
      <c r="AF129" s="44">
        <f t="shared" si="215"/>
        <v>0</v>
      </c>
      <c r="AG129" s="44">
        <f t="shared" si="215"/>
        <v>0</v>
      </c>
      <c r="AH129" s="128">
        <f t="shared" si="191"/>
        <v>39904</v>
      </c>
      <c r="AI129" s="44">
        <f t="shared" si="137"/>
        <v>0</v>
      </c>
      <c r="AJ129" s="51"/>
      <c r="AK129" s="128">
        <f t="shared" si="192"/>
        <v>39904</v>
      </c>
      <c r="AL129" s="43">
        <f t="shared" si="216"/>
        <v>0</v>
      </c>
      <c r="AM129" s="43">
        <f t="shared" si="216"/>
        <v>0</v>
      </c>
      <c r="AN129" s="43">
        <f t="shared" si="216"/>
        <v>0</v>
      </c>
      <c r="AO129" s="43">
        <f t="shared" si="216"/>
        <v>0</v>
      </c>
      <c r="AP129" s="44">
        <f t="shared" si="216"/>
        <v>0</v>
      </c>
      <c r="AQ129" s="44">
        <f t="shared" si="216"/>
        <v>0</v>
      </c>
      <c r="AR129" s="128">
        <f t="shared" si="193"/>
        <v>39904</v>
      </c>
      <c r="AS129" s="44">
        <f t="shared" si="138"/>
        <v>0</v>
      </c>
      <c r="AT129" s="51"/>
      <c r="AU129" s="51"/>
      <c r="AV129" s="51"/>
      <c r="AW129" s="51"/>
      <c r="AX129" s="51"/>
      <c r="AY129" s="51"/>
      <c r="AZ129" s="51"/>
      <c r="BA129" s="51"/>
      <c r="BB129" s="142">
        <f t="shared" si="196"/>
        <v>36708</v>
      </c>
      <c r="BC129" s="238">
        <f>_xll.xSPRDOPT((VLOOKUP(G129,NGPrices,2,FALSE)+HLOOKUP(D129,Prices,VLOOKUP(G129,move_down,2,FALSE),FALSE)),VLOOKUP(G129,NGPrices,2,FALSE),I129,VLOOKUP(G129,NGPREVPRICES,4,FALSE),HLOOKUP(D129,PREVVOLS,VLOOKUP(G129,MOVE_DOWN2,2,FALSE),FALSE),VLOOKUP(G129,NGPREVPRICES,3,FALSE),HLOOKUP(D129,Correllate,VLOOKUP(G129,CorMove,2,FALSE),FALSE),Q129-$BC$3,R129,$BC$5)*H129-BI129</f>
        <v>1088.7266231583981</v>
      </c>
      <c r="BD129" s="238">
        <f>_xll.xSPRDOPT((VLOOKUP(G129,NGPREVPRICES,2,FALSE)+HLOOKUP(D129,PREVCURVES,VLOOKUP(G129,MOVE_DOWN2,2,FALSE),FALSE)),VLOOKUP(G129,NGPREVPRICES,2,FALSE),BJ129,VLOOKUP(G129,NGPrices,4,FALSE),HLOOKUP(D129,PREVVOLS,VLOOKUP(G129,MOVE_DOWN2,2,FALSE),FALSE),VLOOKUP(G129,NGPREVPRICES,3,FALSE),HLOOKUP(D129,Correllate,VLOOKUP(G129,CorMove,2,FALSE),FALSE),Q129-$BC$3,R129,$BI$5)*H129-BI129</f>
        <v>5.3924317691780743E-2</v>
      </c>
      <c r="BE129" s="10">
        <f t="shared" si="197"/>
        <v>0.98355447011454089</v>
      </c>
      <c r="BF129" s="238">
        <f>_xll.xSPRDOPT((VLOOKUP(G129,NGPREVPRICES,2,FALSE)+HLOOKUP(D129,PREVCURVES,VLOOKUP(G129,MOVE_DOWN2,2,FALSE),FALSE)),VLOOKUP(G129,NGPREVPRICES,2,FALSE),BJ129,VLOOKUP(G129,NGPREVPRICES,4,FALSE),HLOOKUP(D129,VOLS,VLOOKUP(G129,move_down,2,FALSE),FALSE),VLOOKUP(G129,NGPrices,3,FALSE),HLOOKUP(D129,Correllate,VLOOKUP(G129,CorMove,2,FALSE),FALSE),Q129-$BC$3,R129,$BI$5)*H129-BI129</f>
        <v>-234.62082354508402</v>
      </c>
      <c r="BG129" s="238">
        <f>_xll.xSPRDOPT((VLOOKUP(G129,NGPREVPRICES,2,FALSE)+HLOOKUP(D129,PREVCURVES,VLOOKUP(G129,MOVE_DOWN2,2,FALSE),FALSE)),VLOOKUP(G129,NGPREVPRICES,2,FALSE),BJ129,VLOOKUP(G129,NGPREVPRICES,4,FALSE),HLOOKUP(D129,PREVVOLS,VLOOKUP(G129,MOVE_DOWN2,2,FALSE),FALSE),VLOOKUP(G129,NGPREVPRICES,3,FALSE),HLOOKUP(D129,Correllate,VLOOKUP(G129,CorMove,2,FALSE),FALSE),Q129-$C$3,R129,$BI$5)*H129-BI129</f>
        <v>164.75645988438282</v>
      </c>
      <c r="BH129" s="238">
        <f t="shared" si="198"/>
        <v>1019.8997382855032</v>
      </c>
      <c r="BI129" s="238">
        <f>_xll.xSPRDOPT((VLOOKUP(G129,NGPREVPRICES,2,FALSE)+HLOOKUP(D129,PREVCURVES,VLOOKUP(G129,MOVE_DOWN2,2,FALSE),FALSE)),VLOOKUP(G129,NGPREVPRICES,2,FALSE),BJ129,VLOOKUP(G129,NGPREVPRICES,4,FALSE),HLOOKUP(D129,PREVVOLS,VLOOKUP(G129,MOVE_DOWN2,2,FALSE),FALSE),VLOOKUP(G129,NGPREVPRICES,3,FALSE),HLOOKUP(D129,Correllate,VLOOKUP(G129,CorMove,2,FALSE),FALSE),Q129-$BC$3,R129,$BI$5)*H129</f>
        <v>-5659.6168093002443</v>
      </c>
      <c r="BJ129" s="239">
        <f t="shared" si="199"/>
        <v>0.3</v>
      </c>
      <c r="BL129" t="str">
        <f t="shared" si="200"/>
        <v>36708Curve Shift/Gamma</v>
      </c>
      <c r="BM129" t="str">
        <f t="shared" si="127"/>
        <v>36708Rho</v>
      </c>
      <c r="BN129" t="str">
        <f t="shared" si="128"/>
        <v>36708Drift</v>
      </c>
      <c r="BO129" t="str">
        <f t="shared" si="129"/>
        <v>36708Vega</v>
      </c>
      <c r="BP129" t="str">
        <f t="shared" si="130"/>
        <v>36708Theta</v>
      </c>
    </row>
    <row r="130" spans="1:68" ht="12" customHeight="1" x14ac:dyDescent="0.25">
      <c r="A130" s="395" t="s">
        <v>282</v>
      </c>
      <c r="B130" t="s">
        <v>253</v>
      </c>
      <c r="C130" t="s">
        <v>311</v>
      </c>
      <c r="D130" s="4" t="s">
        <v>7</v>
      </c>
      <c r="E130" t="s">
        <v>20</v>
      </c>
      <c r="F130" t="s">
        <v>1</v>
      </c>
      <c r="G130" s="5">
        <v>36739</v>
      </c>
      <c r="H130" s="130">
        <v>-250000</v>
      </c>
      <c r="I130">
        <v>0.3</v>
      </c>
      <c r="J130" s="53">
        <f t="shared" si="203"/>
        <v>3.1829999999999998</v>
      </c>
      <c r="K130" s="7">
        <f t="shared" si="204"/>
        <v>0.34499999999999997</v>
      </c>
      <c r="L130" s="4">
        <f t="shared" si="205"/>
        <v>3.5279999999999996</v>
      </c>
      <c r="M130" s="159">
        <f t="shared" si="206"/>
        <v>6.4500399973534003E-2</v>
      </c>
      <c r="N130" s="4">
        <f t="shared" si="207"/>
        <v>0.41249999999999998</v>
      </c>
      <c r="O130" s="4">
        <f t="shared" si="208"/>
        <v>0.40400000000000003</v>
      </c>
      <c r="P130" s="9">
        <f t="shared" si="209"/>
        <v>0.99</v>
      </c>
      <c r="Q130" s="5">
        <f t="shared" si="189"/>
        <v>36735</v>
      </c>
      <c r="R130" s="4">
        <f t="shared" si="210"/>
        <v>0</v>
      </c>
      <c r="S130" s="160">
        <f>_xll.xSPRDOPT($L130,$J130,$I130,$M130,$O130,$N130,$P130,$Q130-$C$3,$R130,0)</f>
        <v>2.6173408651577523E-2</v>
      </c>
      <c r="T130" s="161">
        <f>_xll.xSPRDOPT($L130,$J130,$I130,$M130,$O130,$N130,$P130,$Q130-$C$3,$R130,1)*H130</f>
        <v>82942.591718934971</v>
      </c>
      <c r="U130" s="162">
        <f t="shared" si="211"/>
        <v>-6543.3521628943809</v>
      </c>
      <c r="V130" s="161">
        <f>_xll.xSPRDOPT($L130,$J130,$I130,$M130,$O130,$N130,$P130,$Q130-$C$3,$R130,2)*H130</f>
        <v>-85217.694973236721</v>
      </c>
      <c r="W130" s="161">
        <f t="shared" si="212"/>
        <v>-2275.10325430175</v>
      </c>
      <c r="X130" s="51" t="str">
        <f t="shared" si="213"/>
        <v>36739IF-TRANSCO/Z6</v>
      </c>
      <c r="Y130" s="431">
        <f t="shared" si="214"/>
        <v>-25</v>
      </c>
      <c r="AA130" s="128">
        <f t="shared" si="190"/>
        <v>39934</v>
      </c>
      <c r="AB130" s="43">
        <f t="shared" si="215"/>
        <v>0</v>
      </c>
      <c r="AC130" s="43">
        <f t="shared" si="215"/>
        <v>0</v>
      </c>
      <c r="AD130" s="43">
        <f t="shared" si="215"/>
        <v>0</v>
      </c>
      <c r="AE130" s="43">
        <f t="shared" si="215"/>
        <v>0</v>
      </c>
      <c r="AF130" s="44">
        <f t="shared" si="215"/>
        <v>0</v>
      </c>
      <c r="AG130" s="44">
        <f t="shared" si="215"/>
        <v>0</v>
      </c>
      <c r="AH130" s="128">
        <f t="shared" si="191"/>
        <v>39934</v>
      </c>
      <c r="AI130" s="44">
        <f t="shared" si="137"/>
        <v>0</v>
      </c>
      <c r="AJ130" s="51"/>
      <c r="AK130" s="128">
        <f t="shared" si="192"/>
        <v>39934</v>
      </c>
      <c r="AL130" s="43">
        <f t="shared" si="216"/>
        <v>0</v>
      </c>
      <c r="AM130" s="43">
        <f t="shared" si="216"/>
        <v>0</v>
      </c>
      <c r="AN130" s="43">
        <f t="shared" si="216"/>
        <v>0</v>
      </c>
      <c r="AO130" s="43">
        <f t="shared" si="216"/>
        <v>0</v>
      </c>
      <c r="AP130" s="44">
        <f t="shared" si="216"/>
        <v>0</v>
      </c>
      <c r="AQ130" s="44">
        <f t="shared" si="216"/>
        <v>0</v>
      </c>
      <c r="AR130" s="128">
        <f t="shared" si="193"/>
        <v>39934</v>
      </c>
      <c r="AS130" s="44">
        <f t="shared" si="138"/>
        <v>0</v>
      </c>
      <c r="AT130" s="51"/>
      <c r="AU130" s="51"/>
      <c r="AV130" s="51"/>
      <c r="AW130" s="51"/>
      <c r="AX130" s="51"/>
      <c r="AY130" s="51"/>
      <c r="AZ130" s="51"/>
      <c r="BA130" s="51"/>
      <c r="BB130" s="142">
        <f t="shared" si="196"/>
        <v>36739</v>
      </c>
      <c r="BC130" s="238">
        <f>_xll.xSPRDOPT((VLOOKUP(G130,NGPrices,2,FALSE)+HLOOKUP(D130,Prices,VLOOKUP(G130,move_down,2,FALSE),FALSE)),VLOOKUP(G130,NGPrices,2,FALSE),I130,VLOOKUP(G130,NGPREVPRICES,4,FALSE),HLOOKUP(D130,PREVVOLS,VLOOKUP(G130,MOVE_DOWN2,2,FALSE),FALSE),VLOOKUP(G130,NGPREVPRICES,3,FALSE),HLOOKUP(D130,Correllate,VLOOKUP(G130,CorMove,2,FALSE),FALSE),Q130-$BC$3,R130,$BC$5)*H130-BI130</f>
        <v>1144.6696689093596</v>
      </c>
      <c r="BD130" s="238">
        <f>_xll.xSPRDOPT((VLOOKUP(G130,NGPREVPRICES,2,FALSE)+HLOOKUP(D130,PREVCURVES,VLOOKUP(G130,MOVE_DOWN2,2,FALSE),FALSE)),VLOOKUP(G130,NGPREVPRICES,2,FALSE),BJ130,VLOOKUP(G130,NGPrices,4,FALSE),HLOOKUP(D130,PREVVOLS,VLOOKUP(G130,MOVE_DOWN2,2,FALSE),FALSE),VLOOKUP(G130,NGPREVPRICES,3,FALSE),HLOOKUP(D130,Correllate,VLOOKUP(G130,CorMove,2,FALSE),FALSE),Q130-$BC$3,R130,$BI$5)*H130-BI130</f>
        <v>5.6654981567589857E-2</v>
      </c>
      <c r="BE130" s="10">
        <f t="shared" si="197"/>
        <v>1.3384712154256704</v>
      </c>
      <c r="BF130" s="238">
        <f>_xll.xSPRDOPT((VLOOKUP(G130,NGPREVPRICES,2,FALSE)+HLOOKUP(D130,PREVCURVES,VLOOKUP(G130,MOVE_DOWN2,2,FALSE),FALSE)),VLOOKUP(G130,NGPREVPRICES,2,FALSE),BJ130,VLOOKUP(G130,NGPREVPRICES,4,FALSE),HLOOKUP(D130,VOLS,VLOOKUP(G130,move_down,2,FALSE),FALSE),VLOOKUP(G130,NGPrices,3,FALSE),HLOOKUP(D130,Correllate,VLOOKUP(G130,CorMove,2,FALSE),FALSE),Q130-$BC$3,R130,$BI$5)*H130-BI130</f>
        <v>-279.9296564397473</v>
      </c>
      <c r="BG130" s="238">
        <f>_xll.xSPRDOPT((VLOOKUP(G130,NGPREVPRICES,2,FALSE)+HLOOKUP(D130,PREVCURVES,VLOOKUP(G130,MOVE_DOWN2,2,FALSE),FALSE)),VLOOKUP(G130,NGPREVPRICES,2,FALSE),BJ130,VLOOKUP(G130,NGPREVPRICES,4,FALSE),HLOOKUP(D130,PREVVOLS,VLOOKUP(G130,MOVE_DOWN2,2,FALSE),FALSE),VLOOKUP(G130,NGPREVPRICES,3,FALSE),HLOOKUP(D130,Correllate,VLOOKUP(G130,CorMove,2,FALSE),FALSE),Q130-$C$3,R130,$BI$5)*H130-BI130</f>
        <v>147.08856181928968</v>
      </c>
      <c r="BH130" s="238">
        <f t="shared" si="198"/>
        <v>1013.2237004858953</v>
      </c>
      <c r="BI130" s="238">
        <f>_xll.xSPRDOPT((VLOOKUP(G130,NGPREVPRICES,2,FALSE)+HLOOKUP(D130,PREVCURVES,VLOOKUP(G130,MOVE_DOWN2,2,FALSE),FALSE)),VLOOKUP(G130,NGPREVPRICES,2,FALSE),BJ130,VLOOKUP(G130,NGPREVPRICES,4,FALSE),HLOOKUP(D130,PREVVOLS,VLOOKUP(G130,MOVE_DOWN2,2,FALSE),FALSE),VLOOKUP(G130,NGPREVPRICES,3,FALSE),HLOOKUP(D130,Correllate,VLOOKUP(G130,CorMove,2,FALSE),FALSE),Q130-$BC$3,R130,$BI$5)*H130</f>
        <v>-7562.8350957003686</v>
      </c>
      <c r="BJ130" s="239">
        <f t="shared" si="199"/>
        <v>0.3</v>
      </c>
      <c r="BL130" t="str">
        <f t="shared" si="200"/>
        <v>36739Curve Shift/Gamma</v>
      </c>
      <c r="BM130" t="str">
        <f t="shared" si="127"/>
        <v>36739Rho</v>
      </c>
      <c r="BN130" t="str">
        <f t="shared" si="128"/>
        <v>36739Drift</v>
      </c>
      <c r="BO130" t="str">
        <f t="shared" si="129"/>
        <v>36739Vega</v>
      </c>
      <c r="BP130" t="str">
        <f t="shared" si="130"/>
        <v>36739Theta</v>
      </c>
    </row>
    <row r="131" spans="1:68" ht="12" customHeight="1" x14ac:dyDescent="0.25">
      <c r="A131" s="395" t="s">
        <v>282</v>
      </c>
      <c r="B131" t="s">
        <v>253</v>
      </c>
      <c r="C131" t="s">
        <v>311</v>
      </c>
      <c r="D131" s="4" t="s">
        <v>7</v>
      </c>
      <c r="E131" t="s">
        <v>20</v>
      </c>
      <c r="F131" t="s">
        <v>1</v>
      </c>
      <c r="G131" s="5">
        <v>36770</v>
      </c>
      <c r="H131" s="130">
        <v>-250000</v>
      </c>
      <c r="I131">
        <v>0.3</v>
      </c>
      <c r="J131" s="53">
        <f t="shared" si="203"/>
        <v>3.173</v>
      </c>
      <c r="K131" s="7">
        <f t="shared" si="204"/>
        <v>0.315</v>
      </c>
      <c r="L131" s="4">
        <f t="shared" si="205"/>
        <v>3.488</v>
      </c>
      <c r="M131" s="159">
        <f t="shared" si="206"/>
        <v>6.5221012015626995E-2</v>
      </c>
      <c r="N131" s="4">
        <f t="shared" si="207"/>
        <v>0.42</v>
      </c>
      <c r="O131" s="4">
        <f t="shared" si="208"/>
        <v>0.41199999999999998</v>
      </c>
      <c r="P131" s="9">
        <f t="shared" si="209"/>
        <v>0.99</v>
      </c>
      <c r="Q131" s="5">
        <f t="shared" si="189"/>
        <v>36768</v>
      </c>
      <c r="R131" s="4">
        <f t="shared" si="210"/>
        <v>0</v>
      </c>
      <c r="S131" s="160">
        <f>_xll.xSPRDOPT($L131,$J131,$I131,$M131,$O131,$N131,$P131,$Q131-$C$3,$R131,0)</f>
        <v>4.507496139633016E-2</v>
      </c>
      <c r="T131" s="161">
        <f>_xll.xSPRDOPT($L131,$J131,$I131,$M131,$O131,$N131,$P131,$Q131-$C$3,$R131,1)*H131</f>
        <v>108256.16903119333</v>
      </c>
      <c r="U131" s="162">
        <f t="shared" si="211"/>
        <v>-11268.74034908254</v>
      </c>
      <c r="V131" s="161">
        <f>_xll.xSPRDOPT($L131,$J131,$I131,$M131,$O131,$N131,$P131,$Q131-$C$3,$R131,2)*H131</f>
        <v>-111131.97260121061</v>
      </c>
      <c r="W131" s="161">
        <f t="shared" si="212"/>
        <v>-2875.8035700172768</v>
      </c>
      <c r="X131" s="51" t="str">
        <f t="shared" si="213"/>
        <v>36770IF-TRANSCO/Z6</v>
      </c>
      <c r="Y131" s="431">
        <f t="shared" si="214"/>
        <v>-25</v>
      </c>
      <c r="AA131" s="128">
        <f t="shared" si="190"/>
        <v>39965</v>
      </c>
      <c r="AB131" s="43">
        <f t="shared" si="215"/>
        <v>0</v>
      </c>
      <c r="AC131" s="43">
        <f t="shared" si="215"/>
        <v>0</v>
      </c>
      <c r="AD131" s="43">
        <f t="shared" si="215"/>
        <v>0</v>
      </c>
      <c r="AE131" s="43">
        <f t="shared" si="215"/>
        <v>0</v>
      </c>
      <c r="AF131" s="44">
        <f t="shared" si="215"/>
        <v>0</v>
      </c>
      <c r="AG131" s="44">
        <f t="shared" si="215"/>
        <v>0</v>
      </c>
      <c r="AH131" s="128">
        <f t="shared" si="191"/>
        <v>39965</v>
      </c>
      <c r="AI131" s="44">
        <f t="shared" si="137"/>
        <v>0</v>
      </c>
      <c r="AJ131" s="51"/>
      <c r="AK131" s="128">
        <f t="shared" si="192"/>
        <v>39965</v>
      </c>
      <c r="AL131" s="43">
        <f t="shared" si="216"/>
        <v>0</v>
      </c>
      <c r="AM131" s="43">
        <f t="shared" si="216"/>
        <v>0</v>
      </c>
      <c r="AN131" s="43">
        <f t="shared" si="216"/>
        <v>0</v>
      </c>
      <c r="AO131" s="43">
        <f t="shared" si="216"/>
        <v>0</v>
      </c>
      <c r="AP131" s="44">
        <f t="shared" si="216"/>
        <v>0</v>
      </c>
      <c r="AQ131" s="44">
        <f t="shared" si="216"/>
        <v>0</v>
      </c>
      <c r="AR131" s="128">
        <f t="shared" si="193"/>
        <v>39965</v>
      </c>
      <c r="AS131" s="44">
        <f t="shared" si="138"/>
        <v>0</v>
      </c>
      <c r="AT131" s="51"/>
      <c r="AU131" s="51"/>
      <c r="AV131" s="51"/>
      <c r="AW131" s="51"/>
      <c r="AX131" s="51"/>
      <c r="AY131" s="51"/>
      <c r="AZ131" s="51"/>
      <c r="BA131" s="51"/>
      <c r="BB131" s="142">
        <f t="shared" si="196"/>
        <v>36770</v>
      </c>
      <c r="BC131" s="238">
        <f>_xll.xSPRDOPT((VLOOKUP(G131,NGPrices,2,FALSE)+HLOOKUP(D131,Prices,VLOOKUP(G131,move_down,2,FALSE),FALSE)),VLOOKUP(G131,NGPrices,2,FALSE),I131,VLOOKUP(G131,NGPREVPRICES,4,FALSE),HLOOKUP(D131,PREVVOLS,VLOOKUP(G131,MOVE_DOWN2,2,FALSE),FALSE),VLOOKUP(G131,NGPREVPRICES,3,FALSE),HLOOKUP(D131,Correllate,VLOOKUP(G131,CorMove,2,FALSE),FALSE),Q131-$BC$3,R131,$BC$5)*H131-BI131</f>
        <v>1784.0820251735495</v>
      </c>
      <c r="BD131" s="238">
        <f>_xll.xSPRDOPT((VLOOKUP(G131,NGPREVPRICES,2,FALSE)+HLOOKUP(D131,PREVCURVES,VLOOKUP(G131,MOVE_DOWN2,2,FALSE),FALSE)),VLOOKUP(G131,NGPREVPRICES,2,FALSE),BJ131,VLOOKUP(G131,NGPrices,4,FALSE),HLOOKUP(D131,PREVVOLS,VLOOKUP(G131,MOVE_DOWN2,2,FALSE),FALSE),VLOOKUP(G131,NGPREVPRICES,3,FALSE),HLOOKUP(D131,Correllate,VLOOKUP(G131,CorMove,2,FALSE),FALSE),Q131-$BC$3,R131,$BI$5)*H131-BI131</f>
        <v>-2.1481442026924924E-2</v>
      </c>
      <c r="BE131" s="10">
        <f t="shared" si="197"/>
        <v>2.3146991294288455</v>
      </c>
      <c r="BF131" s="238">
        <f>_xll.xSPRDOPT((VLOOKUP(G131,NGPREVPRICES,2,FALSE)+HLOOKUP(D131,PREVCURVES,VLOOKUP(G131,MOVE_DOWN2,2,FALSE),FALSE)),VLOOKUP(G131,NGPREVPRICES,2,FALSE),BJ131,VLOOKUP(G131,NGPREVPRICES,4,FALSE),HLOOKUP(D131,VOLS,VLOOKUP(G131,move_down,2,FALSE),FALSE),VLOOKUP(G131,NGPrices,3,FALSE),HLOOKUP(D131,Correllate,VLOOKUP(G131,CorMove,2,FALSE),FALSE),Q131-$BC$3,R131,$BI$5)*H131-BI131</f>
        <v>-327.90138808613847</v>
      </c>
      <c r="BG131" s="238">
        <f>_xll.xSPRDOPT((VLOOKUP(G131,NGPREVPRICES,2,FALSE)+HLOOKUP(D131,PREVCURVES,VLOOKUP(G131,MOVE_DOWN2,2,FALSE),FALSE)),VLOOKUP(G131,NGPREVPRICES,2,FALSE),BJ131,VLOOKUP(G131,NGPREVPRICES,4,FALSE),HLOOKUP(D131,PREVVOLS,VLOOKUP(G131,MOVE_DOWN2,2,FALSE),FALSE),VLOOKUP(G131,NGPREVPRICES,3,FALSE),HLOOKUP(D131,Correllate,VLOOKUP(G131,CorMove,2,FALSE),FALSE),Q131-$C$3,R131,$BI$5)*H131-BI131</f>
        <v>131.02886888356807</v>
      </c>
      <c r="BH131" s="238">
        <f t="shared" si="198"/>
        <v>1589.502723658381</v>
      </c>
      <c r="BI131" s="238">
        <f>_xll.xSPRDOPT((VLOOKUP(G131,NGPREVPRICES,2,FALSE)+HLOOKUP(D131,PREVCURVES,VLOOKUP(G131,MOVE_DOWN2,2,FALSE),FALSE)),VLOOKUP(G131,NGPREVPRICES,2,FALSE),BJ131,VLOOKUP(G131,NGPREVPRICES,4,FALSE),HLOOKUP(D131,PREVVOLS,VLOOKUP(G131,MOVE_DOWN2,2,FALSE),FALSE),VLOOKUP(G131,NGPREVPRICES,3,FALSE),HLOOKUP(D131,Correllate,VLOOKUP(G131,CorMove,2,FALSE),FALSE),Q131-$BC$3,R131,$BI$5)*H131</f>
        <v>-12857.647669972397</v>
      </c>
      <c r="BJ131" s="239">
        <f t="shared" si="199"/>
        <v>0.3</v>
      </c>
      <c r="BL131" t="str">
        <f t="shared" si="200"/>
        <v>36770Curve Shift/Gamma</v>
      </c>
      <c r="BM131" t="str">
        <f t="shared" si="127"/>
        <v>36770Rho</v>
      </c>
      <c r="BN131" t="str">
        <f t="shared" si="128"/>
        <v>36770Drift</v>
      </c>
      <c r="BO131" t="str">
        <f t="shared" si="129"/>
        <v>36770Vega</v>
      </c>
      <c r="BP131" t="str">
        <f t="shared" si="130"/>
        <v>36770Theta</v>
      </c>
    </row>
    <row r="132" spans="1:68" ht="12" customHeight="1" x14ac:dyDescent="0.25">
      <c r="A132" s="395" t="s">
        <v>282</v>
      </c>
      <c r="B132" t="s">
        <v>253</v>
      </c>
      <c r="C132" t="s">
        <v>311</v>
      </c>
      <c r="D132" s="4" t="s">
        <v>7</v>
      </c>
      <c r="E132" t="s">
        <v>20</v>
      </c>
      <c r="F132" t="s">
        <v>1</v>
      </c>
      <c r="G132" s="5">
        <v>36800</v>
      </c>
      <c r="H132" s="130">
        <v>-250000</v>
      </c>
      <c r="I132">
        <v>0.3</v>
      </c>
      <c r="J132" s="53">
        <f t="shared" si="203"/>
        <v>3.18</v>
      </c>
      <c r="K132" s="7">
        <f t="shared" si="204"/>
        <v>0.34499999999999997</v>
      </c>
      <c r="L132" s="4">
        <f t="shared" si="205"/>
        <v>3.5250000000000004</v>
      </c>
      <c r="M132" s="159">
        <f t="shared" si="206"/>
        <v>6.5817989695161006E-2</v>
      </c>
      <c r="N132" s="4">
        <f t="shared" si="207"/>
        <v>0.42249999999999999</v>
      </c>
      <c r="O132" s="4">
        <f t="shared" si="208"/>
        <v>0.41399999999999998</v>
      </c>
      <c r="P132" s="9">
        <f t="shared" si="209"/>
        <v>0.99</v>
      </c>
      <c r="Q132" s="5">
        <f t="shared" si="189"/>
        <v>36797</v>
      </c>
      <c r="R132" s="4">
        <f t="shared" si="210"/>
        <v>0</v>
      </c>
      <c r="S132" s="160">
        <f>_xll.xSPRDOPT($L132,$J132,$I132,$M132,$O132,$N132,$P132,$Q132-$C$3,$R132,0)</f>
        <v>3.848557827207022E-2</v>
      </c>
      <c r="T132" s="161">
        <f>_xll.xSPRDOPT($L132,$J132,$I132,$M132,$O132,$N132,$P132,$Q132-$C$3,$R132,1)*H132</f>
        <v>89493.931606385944</v>
      </c>
      <c r="U132" s="162">
        <f t="shared" si="211"/>
        <v>-9621.3945680175548</v>
      </c>
      <c r="V132" s="161">
        <f>_xll.xSPRDOPT($L132,$J132,$I132,$M132,$O132,$N132,$P132,$Q132-$C$3,$R132,2)*H132</f>
        <v>-92512.770558706543</v>
      </c>
      <c r="W132" s="161">
        <f t="shared" si="212"/>
        <v>-3018.8389523205988</v>
      </c>
      <c r="X132" s="51" t="str">
        <f t="shared" si="213"/>
        <v>36800IF-TRANSCO/Z6</v>
      </c>
      <c r="Y132" s="431">
        <f t="shared" si="214"/>
        <v>-25</v>
      </c>
      <c r="AA132" s="128">
        <f t="shared" si="190"/>
        <v>39995</v>
      </c>
      <c r="AB132" s="43">
        <f t="shared" si="215"/>
        <v>0</v>
      </c>
      <c r="AC132" s="43">
        <f t="shared" si="215"/>
        <v>0</v>
      </c>
      <c r="AD132" s="43">
        <f t="shared" si="215"/>
        <v>0</v>
      </c>
      <c r="AE132" s="43">
        <f t="shared" si="215"/>
        <v>0</v>
      </c>
      <c r="AF132" s="44">
        <f t="shared" si="215"/>
        <v>0</v>
      </c>
      <c r="AG132" s="44">
        <f t="shared" si="215"/>
        <v>0</v>
      </c>
      <c r="AH132" s="128">
        <f t="shared" si="191"/>
        <v>39995</v>
      </c>
      <c r="AI132" s="44">
        <f t="shared" si="137"/>
        <v>0</v>
      </c>
      <c r="AJ132" s="51"/>
      <c r="AK132" s="128">
        <f t="shared" si="192"/>
        <v>39995</v>
      </c>
      <c r="AL132" s="43">
        <f t="shared" si="216"/>
        <v>0</v>
      </c>
      <c r="AM132" s="43">
        <f t="shared" si="216"/>
        <v>0</v>
      </c>
      <c r="AN132" s="43">
        <f t="shared" si="216"/>
        <v>0</v>
      </c>
      <c r="AO132" s="43">
        <f t="shared" si="216"/>
        <v>0</v>
      </c>
      <c r="AP132" s="44">
        <f t="shared" si="216"/>
        <v>0</v>
      </c>
      <c r="AQ132" s="44">
        <f t="shared" si="216"/>
        <v>0</v>
      </c>
      <c r="AR132" s="128">
        <f t="shared" si="193"/>
        <v>39995</v>
      </c>
      <c r="AS132" s="44">
        <f t="shared" si="138"/>
        <v>0</v>
      </c>
      <c r="AT132" s="51"/>
      <c r="AU132" s="51"/>
      <c r="AV132" s="51"/>
      <c r="AW132" s="51"/>
      <c r="AX132" s="51"/>
      <c r="AY132" s="51"/>
      <c r="AZ132" s="51"/>
      <c r="BA132" s="51"/>
      <c r="BB132" s="142">
        <f t="shared" si="196"/>
        <v>36800</v>
      </c>
      <c r="BC132" s="238">
        <f>_xll.xSPRDOPT((VLOOKUP(G132,NGPrices,2,FALSE)+HLOOKUP(D132,Prices,VLOOKUP(G132,move_down,2,FALSE),FALSE)),VLOOKUP(G132,NGPrices,2,FALSE),I132,VLOOKUP(G132,NGPREVPRICES,4,FALSE),HLOOKUP(D132,PREVVOLS,VLOOKUP(G132,MOVE_DOWN2,2,FALSE),FALSE),VLOOKUP(G132,NGPREVPRICES,3,FALSE),HLOOKUP(D132,Correllate,VLOOKUP(G132,CorMove,2,FALSE),FALSE),Q132-$BC$3,R132,$BC$5)*H132-BI132</f>
        <v>1934.8369358062046</v>
      </c>
      <c r="BD132" s="238">
        <f>_xll.xSPRDOPT((VLOOKUP(G132,NGPREVPRICES,2,FALSE)+HLOOKUP(D132,PREVCURVES,VLOOKUP(G132,MOVE_DOWN2,2,FALSE),FALSE)),VLOOKUP(G132,NGPREVPRICES,2,FALSE),BJ132,VLOOKUP(G132,NGPrices,4,FALSE),HLOOKUP(D132,PREVVOLS,VLOOKUP(G132,MOVE_DOWN2,2,FALSE),FALSE),VLOOKUP(G132,NGPREVPRICES,3,FALSE),HLOOKUP(D132,Correllate,VLOOKUP(G132,CorMove,2,FALSE),FALSE),Q132-$BC$3,R132,$BI$5)*H132-BI132</f>
        <v>-0.18702853955983301</v>
      </c>
      <c r="BE132" s="10">
        <f t="shared" si="197"/>
        <v>2.069362806443678</v>
      </c>
      <c r="BF132" s="238">
        <f>_xll.xSPRDOPT((VLOOKUP(G132,NGPREVPRICES,2,FALSE)+HLOOKUP(D132,PREVCURVES,VLOOKUP(G132,MOVE_DOWN2,2,FALSE),FALSE)),VLOOKUP(G132,NGPREVPRICES,2,FALSE),BJ132,VLOOKUP(G132,NGPREVPRICES,4,FALSE),HLOOKUP(D132,VOLS,VLOOKUP(G132,move_down,2,FALSE),FALSE),VLOOKUP(G132,NGPrices,3,FALSE),HLOOKUP(D132,Correllate,VLOOKUP(G132,CorMove,2,FALSE),FALSE),Q132-$BC$3,R132,$BI$5)*H132-BI132</f>
        <v>-357.92484203167623</v>
      </c>
      <c r="BG132" s="238">
        <f>_xll.xSPRDOPT((VLOOKUP(G132,NGPREVPRICES,2,FALSE)+HLOOKUP(D132,PREVCURVES,VLOOKUP(G132,MOVE_DOWN2,2,FALSE),FALSE)),VLOOKUP(G132,NGPREVPRICES,2,FALSE),BJ132,VLOOKUP(G132,NGPREVPRICES,4,FALSE),HLOOKUP(D132,PREVVOLS,VLOOKUP(G132,MOVE_DOWN2,2,FALSE),FALSE),VLOOKUP(G132,NGPREVPRICES,3,FALSE),HLOOKUP(D132,Correllate,VLOOKUP(G132,CorMove,2,FALSE),FALSE),Q132-$C$3,R132,$BI$5)*H132-BI132</f>
        <v>118.45647482902496</v>
      </c>
      <c r="BH132" s="238">
        <f t="shared" si="198"/>
        <v>1697.2509028704371</v>
      </c>
      <c r="BI132" s="238">
        <f>_xll.xSPRDOPT((VLOOKUP(G132,NGPREVPRICES,2,FALSE)+HLOOKUP(D132,PREVCURVES,VLOOKUP(G132,MOVE_DOWN2,2,FALSE),FALSE)),VLOOKUP(G132,NGPREVPRICES,2,FALSE),BJ132,VLOOKUP(G132,NGPREVPRICES,4,FALSE),HLOOKUP(D132,PREVVOLS,VLOOKUP(G132,MOVE_DOWN2,2,FALSE),FALSE),VLOOKUP(G132,NGPREVPRICES,3,FALSE),HLOOKUP(D132,Correllate,VLOOKUP(G132,CorMove,2,FALSE),FALSE),Q132-$BC$3,R132,$BI$5)*H132</f>
        <v>-11323.830857159835</v>
      </c>
      <c r="BJ132" s="239">
        <f t="shared" si="199"/>
        <v>0.3</v>
      </c>
      <c r="BL132" t="str">
        <f t="shared" si="200"/>
        <v>36800Curve Shift/Gamma</v>
      </c>
      <c r="BM132" t="str">
        <f t="shared" si="127"/>
        <v>36800Rho</v>
      </c>
      <c r="BN132" t="str">
        <f t="shared" si="128"/>
        <v>36800Drift</v>
      </c>
      <c r="BO132" t="str">
        <f t="shared" si="129"/>
        <v>36800Vega</v>
      </c>
      <c r="BP132" t="str">
        <f t="shared" si="130"/>
        <v>36800Theta</v>
      </c>
    </row>
    <row r="133" spans="1:68" ht="12" customHeight="1" x14ac:dyDescent="0.25">
      <c r="A133" s="395" t="s">
        <v>282</v>
      </c>
      <c r="B133" t="s">
        <v>253</v>
      </c>
      <c r="C133" t="s">
        <v>310</v>
      </c>
      <c r="D133" s="4" t="s">
        <v>7</v>
      </c>
      <c r="E133" t="s">
        <v>20</v>
      </c>
      <c r="F133" t="s">
        <v>21</v>
      </c>
      <c r="G133" s="5">
        <v>36647</v>
      </c>
      <c r="H133" s="130">
        <v>-500000</v>
      </c>
      <c r="I133">
        <v>0.3</v>
      </c>
      <c r="J133" s="53">
        <f t="shared" ref="J133:J144" si="217">VLOOKUP(G133,NGPrices,2,FALSE)</f>
        <v>3.1579999999999999</v>
      </c>
      <c r="K133" s="7">
        <f t="shared" ref="K133:K144" si="218">HLOOKUP(D133,Prices,VLOOKUP(G133,move_down,2,FALSE),FALSE)</f>
        <v>0.29499999999999998</v>
      </c>
      <c r="L133" s="4">
        <f t="shared" ref="L133:L144" si="219">K133+J133</f>
        <v>3.4529999999999998</v>
      </c>
      <c r="M133" s="159">
        <f t="shared" ref="M133:M144" si="220">VLOOKUP(G133,NGPrices,4,FALSE)</f>
        <v>6.2683518517613002E-2</v>
      </c>
      <c r="N133" s="4">
        <f t="shared" ref="N133:N144" si="221">VLOOKUP(G133,NGPrices,3,FALSE)</f>
        <v>0.41</v>
      </c>
      <c r="O133" s="4">
        <f t="shared" ref="O133:O144" si="222">HLOOKUP(D133,VOLS,VLOOKUP(G133,move_down,2,FALSE),FALSE)</f>
        <v>0.40200000000000002</v>
      </c>
      <c r="P133" s="9">
        <f t="shared" ref="P133:P144" si="223">HLOOKUP(D133,Correllate,VLOOKUP(G133,CorMove,2,FALSE),FALSE)</f>
        <v>0.99</v>
      </c>
      <c r="Q133" s="5">
        <f t="shared" si="189"/>
        <v>36643</v>
      </c>
      <c r="R133" s="4">
        <f t="shared" ref="R133:R144" si="224">IF(F133="P",0,1)</f>
        <v>1</v>
      </c>
      <c r="S133" s="160">
        <f>_xll.xSPRDOPT($L133,$J133,$I133,$M133,$O133,$N133,$P133,$Q133-$C$3,$R133,0)</f>
        <v>1.1625788599782439E-2</v>
      </c>
      <c r="T133" s="161">
        <f>_xll.xSPRDOPT($L133,$J133,$I133,$M133,$O133,$N133,$P133,$Q133-$C$3,$R133,1)*H133</f>
        <v>-222821.40836257546</v>
      </c>
      <c r="U133" s="162">
        <f t="shared" ref="U133:U144" si="225">S133*H133</f>
        <v>-5812.8942998912198</v>
      </c>
      <c r="V133" s="161">
        <f>_xll.xSPRDOPT($L133,$J133,$I133,$M133,$O133,$N133,$P133,$Q133-$C$3,$R133,2)*H133</f>
        <v>221260.50760671601</v>
      </c>
      <c r="W133" s="161">
        <f t="shared" ref="W133:W144" si="226">+V133+T133</f>
        <v>-1560.9007558594458</v>
      </c>
      <c r="X133" s="51" t="str">
        <f t="shared" ref="X133:X144" si="227">CONCATENATE(G133,D133)</f>
        <v>36647IF-TRANSCO/Z6</v>
      </c>
      <c r="Y133" s="431">
        <f t="shared" ref="Y133:Y144" si="228">H133/10000</f>
        <v>-50</v>
      </c>
      <c r="Z133" s="51"/>
      <c r="AA133" s="128">
        <f t="shared" si="190"/>
        <v>40026</v>
      </c>
      <c r="AB133" s="43">
        <f t="shared" si="215"/>
        <v>0</v>
      </c>
      <c r="AC133" s="43">
        <f t="shared" si="215"/>
        <v>0</v>
      </c>
      <c r="AD133" s="43">
        <f t="shared" si="215"/>
        <v>0</v>
      </c>
      <c r="AE133" s="43">
        <f t="shared" si="215"/>
        <v>0</v>
      </c>
      <c r="AF133" s="44">
        <f t="shared" si="215"/>
        <v>0</v>
      </c>
      <c r="AG133" s="44">
        <f t="shared" si="215"/>
        <v>0</v>
      </c>
      <c r="AH133" s="128">
        <f t="shared" si="191"/>
        <v>40026</v>
      </c>
      <c r="AI133" s="44">
        <f t="shared" si="137"/>
        <v>0</v>
      </c>
      <c r="AJ133" s="51"/>
      <c r="AK133" s="128">
        <f t="shared" si="192"/>
        <v>40026</v>
      </c>
      <c r="AL133" s="43">
        <f t="shared" si="216"/>
        <v>0</v>
      </c>
      <c r="AM133" s="43">
        <f t="shared" si="216"/>
        <v>0</v>
      </c>
      <c r="AN133" s="43">
        <f t="shared" si="216"/>
        <v>0</v>
      </c>
      <c r="AO133" s="43">
        <f t="shared" si="216"/>
        <v>0</v>
      </c>
      <c r="AP133" s="44">
        <f t="shared" si="216"/>
        <v>0</v>
      </c>
      <c r="AQ133" s="44">
        <f t="shared" si="216"/>
        <v>0</v>
      </c>
      <c r="AR133" s="128">
        <f t="shared" si="193"/>
        <v>40026</v>
      </c>
      <c r="AS133" s="44">
        <f t="shared" si="138"/>
        <v>0</v>
      </c>
      <c r="AT133" s="51"/>
      <c r="AU133" s="51"/>
      <c r="AV133" s="51"/>
      <c r="AW133" s="51"/>
      <c r="AX133" s="51"/>
      <c r="AY133" s="51"/>
      <c r="AZ133" s="51"/>
      <c r="BA133" s="51"/>
      <c r="BB133" s="142">
        <f t="shared" si="196"/>
        <v>36647</v>
      </c>
      <c r="BC133" s="238">
        <f>_xll.xSPRDOPT((VLOOKUP(G133,NGPrices,2,FALSE)+HLOOKUP(D133,Prices,VLOOKUP(G133,move_down,2,FALSE),FALSE)),VLOOKUP(G133,NGPrices,2,FALSE),I133,VLOOKUP(G133,NGPREVPRICES,4,FALSE),HLOOKUP(D133,PREVVOLS,VLOOKUP(G133,MOVE_DOWN2,2,FALSE),FALSE),VLOOKUP(G133,NGPREVPRICES,3,FALSE),HLOOKUP(D133,Correllate,VLOOKUP(G133,CorMove,2,FALSE),FALSE),Q133-$BC$3,R133,$BC$5)*H133-BI133</f>
        <v>-1159.7649469258713</v>
      </c>
      <c r="BD133" s="238">
        <f>_xll.xSPRDOPT((VLOOKUP(G133,NGPREVPRICES,2,FALSE)+HLOOKUP(D133,PREVCURVES,VLOOKUP(G133,MOVE_DOWN2,2,FALSE),FALSE)),VLOOKUP(G133,NGPREVPRICES,2,FALSE),BJ133,VLOOKUP(G133,NGPrices,4,FALSE),HLOOKUP(D133,PREVVOLS,VLOOKUP(G133,MOVE_DOWN2,2,FALSE),FALSE),VLOOKUP(G133,NGPREVPRICES,3,FALSE),HLOOKUP(D133,Correllate,VLOOKUP(G133,CorMove,2,FALSE),FALSE),Q133-$BC$3,R133,$BI$5)*H133-BI133</f>
        <v>1.5776161854773818E-2</v>
      </c>
      <c r="BE133" s="10">
        <f t="shared" si="197"/>
        <v>0.77076784026940004</v>
      </c>
      <c r="BF133" s="238">
        <f>_xll.xSPRDOPT((VLOOKUP(G133,NGPREVPRICES,2,FALSE)+HLOOKUP(D133,PREVCURVES,VLOOKUP(G133,MOVE_DOWN2,2,FALSE),FALSE)),VLOOKUP(G133,NGPREVPRICES,2,FALSE),BJ133,VLOOKUP(G133,NGPREVPRICES,4,FALSE),HLOOKUP(D133,VOLS,VLOOKUP(G133,move_down,2,FALSE),FALSE),VLOOKUP(G133,NGPrices,3,FALSE),HLOOKUP(D133,Correllate,VLOOKUP(G133,CorMove,2,FALSE),FALSE),Q133-$BC$3,R133,$BI$5)*H133-BI133</f>
        <v>-1014.6930708786367</v>
      </c>
      <c r="BG133" s="238">
        <f>_xll.xSPRDOPT((VLOOKUP(G133,NGPREVPRICES,2,FALSE)+HLOOKUP(D133,PREVCURVES,VLOOKUP(G133,MOVE_DOWN2,2,FALSE),FALSE)),VLOOKUP(G133,NGPREVPRICES,2,FALSE),BJ133,VLOOKUP(G133,NGPREVPRICES,4,FALSE),HLOOKUP(D133,PREVVOLS,VLOOKUP(G133,MOVE_DOWN2,2,FALSE),FALSE),VLOOKUP(G133,NGPREVPRICES,3,FALSE),HLOOKUP(D133,Correllate,VLOOKUP(G133,CorMove,2,FALSE),FALSE),Q133-$C$3,R133,$BI$5)*H133-BI133</f>
        <v>789.41323788161571</v>
      </c>
      <c r="BH133" s="238">
        <f t="shared" si="198"/>
        <v>-1384.2582359207681</v>
      </c>
      <c r="BI133" s="238">
        <f>_xll.xSPRDOPT((VLOOKUP(G133,NGPREVPRICES,2,FALSE)+HLOOKUP(D133,PREVCURVES,VLOOKUP(G133,MOVE_DOWN2,2,FALSE),FALSE)),VLOOKUP(G133,NGPREVPRICES,2,FALSE),BJ133,VLOOKUP(G133,NGPREVPRICES,4,FALSE),HLOOKUP(D133,PREVVOLS,VLOOKUP(G133,MOVE_DOWN2,2,FALSE),FALSE),VLOOKUP(G133,NGPREVPRICES,3,FALSE),HLOOKUP(D133,Correllate,VLOOKUP(G133,CorMove,2,FALSE),FALSE),Q133-$BC$3,R133,$BI$5)*H133</f>
        <v>-4557.0165541623874</v>
      </c>
      <c r="BJ133" s="239">
        <f t="shared" si="199"/>
        <v>0.3</v>
      </c>
      <c r="BL133" t="str">
        <f t="shared" si="200"/>
        <v>36647Curve Shift/Gamma</v>
      </c>
      <c r="BM133" t="str">
        <f t="shared" si="127"/>
        <v>36647Rho</v>
      </c>
      <c r="BN133" t="str">
        <f t="shared" si="128"/>
        <v>36647Drift</v>
      </c>
      <c r="BO133" t="str">
        <f t="shared" si="129"/>
        <v>36647Vega</v>
      </c>
      <c r="BP133" t="str">
        <f t="shared" si="130"/>
        <v>36647Theta</v>
      </c>
    </row>
    <row r="134" spans="1:68" ht="12" customHeight="1" x14ac:dyDescent="0.25">
      <c r="A134" s="395" t="s">
        <v>282</v>
      </c>
      <c r="B134" t="s">
        <v>253</v>
      </c>
      <c r="C134" t="s">
        <v>310</v>
      </c>
      <c r="D134" s="4" t="s">
        <v>7</v>
      </c>
      <c r="E134" t="s">
        <v>20</v>
      </c>
      <c r="F134" t="s">
        <v>21</v>
      </c>
      <c r="G134" s="5">
        <v>36678</v>
      </c>
      <c r="H134" s="130">
        <v>-500000</v>
      </c>
      <c r="I134">
        <v>0.3</v>
      </c>
      <c r="J134" s="53">
        <f t="shared" si="217"/>
        <v>3.1720000000000002</v>
      </c>
      <c r="K134" s="7">
        <f t="shared" si="218"/>
        <v>0.3075</v>
      </c>
      <c r="L134" s="4">
        <f t="shared" si="219"/>
        <v>3.4795000000000003</v>
      </c>
      <c r="M134" s="159">
        <f t="shared" si="220"/>
        <v>6.3039999833066004E-2</v>
      </c>
      <c r="N134" s="4">
        <f t="shared" si="221"/>
        <v>0.38250000000000001</v>
      </c>
      <c r="O134" s="4">
        <f t="shared" si="222"/>
        <v>0.375</v>
      </c>
      <c r="P134" s="9">
        <f t="shared" si="223"/>
        <v>0.99</v>
      </c>
      <c r="Q134" s="5">
        <f t="shared" si="189"/>
        <v>36676</v>
      </c>
      <c r="R134" s="4">
        <f t="shared" si="224"/>
        <v>1</v>
      </c>
      <c r="S134" s="160">
        <f>_xll.xSPRDOPT($L134,$J134,$I134,$M134,$O134,$N134,$P134,$Q134-$C$3,$R134,0)</f>
        <v>3.0940961472274917E-2</v>
      </c>
      <c r="T134" s="161">
        <f>_xll.xSPRDOPT($L134,$J134,$I134,$M134,$O134,$N134,$P134,$Q134-$C$3,$R134,1)*H134</f>
        <v>-272786.20715747558</v>
      </c>
      <c r="U134" s="162">
        <f t="shared" si="225"/>
        <v>-15470.480736137459</v>
      </c>
      <c r="V134" s="161">
        <f>_xll.xSPRDOPT($L134,$J134,$I134,$M134,$O134,$N134,$P134,$Q134-$C$3,$R134,2)*H134</f>
        <v>269778.68391250208</v>
      </c>
      <c r="W134" s="161">
        <f t="shared" si="226"/>
        <v>-3007.5232449735049</v>
      </c>
      <c r="X134" s="51" t="str">
        <f t="shared" si="227"/>
        <v>36678IF-TRANSCO/Z6</v>
      </c>
      <c r="Y134" s="431">
        <f t="shared" si="228"/>
        <v>-50</v>
      </c>
      <c r="Z134" s="51"/>
      <c r="AA134" s="128">
        <f t="shared" si="190"/>
        <v>40057</v>
      </c>
      <c r="AB134" s="43">
        <f t="shared" si="215"/>
        <v>0</v>
      </c>
      <c r="AC134" s="43">
        <f t="shared" si="215"/>
        <v>0</v>
      </c>
      <c r="AD134" s="43">
        <f t="shared" si="215"/>
        <v>0</v>
      </c>
      <c r="AE134" s="43">
        <f t="shared" si="215"/>
        <v>0</v>
      </c>
      <c r="AF134" s="44">
        <f t="shared" si="215"/>
        <v>0</v>
      </c>
      <c r="AG134" s="44">
        <f t="shared" si="215"/>
        <v>0</v>
      </c>
      <c r="AH134" s="128">
        <f t="shared" si="191"/>
        <v>40057</v>
      </c>
      <c r="AI134" s="44">
        <f t="shared" si="137"/>
        <v>0</v>
      </c>
      <c r="AJ134" s="51"/>
      <c r="AK134" s="128">
        <f t="shared" si="192"/>
        <v>40057</v>
      </c>
      <c r="AL134" s="43">
        <f t="shared" si="216"/>
        <v>0</v>
      </c>
      <c r="AM134" s="43">
        <f t="shared" si="216"/>
        <v>0</v>
      </c>
      <c r="AN134" s="43">
        <f t="shared" si="216"/>
        <v>0</v>
      </c>
      <c r="AO134" s="43">
        <f t="shared" si="216"/>
        <v>0</v>
      </c>
      <c r="AP134" s="44">
        <f t="shared" si="216"/>
        <v>0</v>
      </c>
      <c r="AQ134" s="44">
        <f t="shared" si="216"/>
        <v>0</v>
      </c>
      <c r="AR134" s="128">
        <f t="shared" si="193"/>
        <v>40057</v>
      </c>
      <c r="AS134" s="44">
        <f t="shared" si="138"/>
        <v>0</v>
      </c>
      <c r="AT134" s="51"/>
      <c r="AU134" s="51"/>
      <c r="AV134" s="51"/>
      <c r="AW134" s="51"/>
      <c r="AX134" s="51"/>
      <c r="AY134" s="51"/>
      <c r="AZ134" s="51"/>
      <c r="BA134" s="51"/>
      <c r="BB134" s="142">
        <f t="shared" si="196"/>
        <v>36678</v>
      </c>
      <c r="BC134" s="238">
        <f>_xll.xSPRDOPT((VLOOKUP(G134,NGPrices,2,FALSE)+HLOOKUP(D134,Prices,VLOOKUP(G134,move_down,2,FALSE),FALSE)),VLOOKUP(G134,NGPrices,2,FALSE),I134,VLOOKUP(G134,NGPREVPRICES,4,FALSE),HLOOKUP(D134,PREVVOLS,VLOOKUP(G134,MOVE_DOWN2,2,FALSE),FALSE),VLOOKUP(G134,NGPREVPRICES,3,FALSE),HLOOKUP(D134,Correllate,VLOOKUP(G134,CorMove,2,FALSE),FALSE),Q134-$BC$3,R134,$BC$5)*H134-BI134</f>
        <v>-4579.14215152406</v>
      </c>
      <c r="BD134" s="238">
        <f>_xll.xSPRDOPT((VLOOKUP(G134,NGPREVPRICES,2,FALSE)+HLOOKUP(D134,PREVCURVES,VLOOKUP(G134,MOVE_DOWN2,2,FALSE),FALSE)),VLOOKUP(G134,NGPREVPRICES,2,FALSE),BJ134,VLOOKUP(G134,NGPrices,4,FALSE),HLOOKUP(D134,PREVVOLS,VLOOKUP(G134,MOVE_DOWN2,2,FALSE),FALSE),VLOOKUP(G134,NGPREVPRICES,3,FALSE),HLOOKUP(D134,Correllate,VLOOKUP(G134,CorMove,2,FALSE),FALSE),Q134-$BC$3,R134,$BI$5)*H134-BI134</f>
        <v>3.4911360231490107E-2</v>
      </c>
      <c r="BE134" s="10">
        <f t="shared" si="197"/>
        <v>1.8756198139981279</v>
      </c>
      <c r="BF134" s="238">
        <f>_xll.xSPRDOPT((VLOOKUP(G134,NGPREVPRICES,2,FALSE)+HLOOKUP(D134,PREVCURVES,VLOOKUP(G134,MOVE_DOWN2,2,FALSE),FALSE)),VLOOKUP(G134,NGPREVPRICES,2,FALSE),BJ134,VLOOKUP(G134,NGPREVPRICES,4,FALSE),HLOOKUP(D134,VOLS,VLOOKUP(G134,move_down,2,FALSE),FALSE),VLOOKUP(G134,NGPrices,3,FALSE),HLOOKUP(D134,Correllate,VLOOKUP(G134,CorMove,2,FALSE),FALSE),Q134-$BC$3,R134,$BI$5)*H134-BI134</f>
        <v>-377.76018989920522</v>
      </c>
      <c r="BG134" s="238">
        <f>_xll.xSPRDOPT((VLOOKUP(G134,NGPREVPRICES,2,FALSE)+HLOOKUP(D134,PREVCURVES,VLOOKUP(G134,MOVE_DOWN2,2,FALSE),FALSE)),VLOOKUP(G134,NGPREVPRICES,2,FALSE),BJ134,VLOOKUP(G134,NGPREVPRICES,4,FALSE),HLOOKUP(D134,PREVVOLS,VLOOKUP(G134,MOVE_DOWN2,2,FALSE),FALSE),VLOOKUP(G134,NGPREVPRICES,3,FALSE),HLOOKUP(D134,Correllate,VLOOKUP(G134,CorMove,2,FALSE),FALSE),Q134-$C$3,R134,$BI$5)*H134-BI134</f>
        <v>430.8358094580235</v>
      </c>
      <c r="BH134" s="238">
        <f t="shared" si="198"/>
        <v>-4524.156000791012</v>
      </c>
      <c r="BI134" s="238">
        <f>_xll.xSPRDOPT((VLOOKUP(G134,NGPREVPRICES,2,FALSE)+HLOOKUP(D134,PREVCURVES,VLOOKUP(G134,MOVE_DOWN2,2,FALSE),FALSE)),VLOOKUP(G134,NGPREVPRICES,2,FALSE),BJ134,VLOOKUP(G134,NGPREVPRICES,4,FALSE),HLOOKUP(D134,PREVVOLS,VLOOKUP(G134,MOVE_DOWN2,2,FALSE),FALSE),VLOOKUP(G134,NGPREVPRICES,3,FALSE),HLOOKUP(D134,Correllate,VLOOKUP(G134,CorMove,2,FALSE),FALSE),Q134-$BC$3,R134,$BI$5)*H134</f>
        <v>-10956.962662208001</v>
      </c>
      <c r="BJ134" s="239">
        <f t="shared" si="199"/>
        <v>0.3</v>
      </c>
      <c r="BL134" t="str">
        <f t="shared" si="200"/>
        <v>36678Curve Shift/Gamma</v>
      </c>
      <c r="BM134" t="str">
        <f t="shared" si="127"/>
        <v>36678Rho</v>
      </c>
      <c r="BN134" t="str">
        <f t="shared" si="128"/>
        <v>36678Drift</v>
      </c>
      <c r="BO134" t="str">
        <f t="shared" si="129"/>
        <v>36678Vega</v>
      </c>
      <c r="BP134" t="str">
        <f t="shared" si="130"/>
        <v>36678Theta</v>
      </c>
    </row>
    <row r="135" spans="1:68" ht="12" customHeight="1" x14ac:dyDescent="0.25">
      <c r="A135" s="395" t="s">
        <v>282</v>
      </c>
      <c r="B135" t="s">
        <v>253</v>
      </c>
      <c r="C135" t="s">
        <v>310</v>
      </c>
      <c r="D135" s="4" t="s">
        <v>7</v>
      </c>
      <c r="E135" t="s">
        <v>20</v>
      </c>
      <c r="F135" t="s">
        <v>21</v>
      </c>
      <c r="G135" s="5">
        <v>36708</v>
      </c>
      <c r="H135" s="130">
        <v>-500000</v>
      </c>
      <c r="I135">
        <v>0.3</v>
      </c>
      <c r="J135" s="53">
        <f t="shared" si="217"/>
        <v>3.181</v>
      </c>
      <c r="K135" s="7">
        <f t="shared" si="218"/>
        <v>0.34499999999999997</v>
      </c>
      <c r="L135" s="4">
        <f t="shared" si="219"/>
        <v>3.5259999999999998</v>
      </c>
      <c r="M135" s="159">
        <f t="shared" si="220"/>
        <v>6.3695649345076003E-2</v>
      </c>
      <c r="N135" s="4">
        <f t="shared" si="221"/>
        <v>0.39500000000000002</v>
      </c>
      <c r="O135" s="4">
        <f t="shared" si="222"/>
        <v>0.38700000000000001</v>
      </c>
      <c r="P135" s="9">
        <f t="shared" si="223"/>
        <v>0.99</v>
      </c>
      <c r="Q135" s="5">
        <f t="shared" ref="Q135:Q166" si="229">WORKDAY(G135,-2)</f>
        <v>36706</v>
      </c>
      <c r="R135" s="4">
        <f t="shared" si="224"/>
        <v>1</v>
      </c>
      <c r="S135" s="160">
        <f>_xll.xSPRDOPT($L135,$J135,$I135,$M135,$O135,$N135,$P135,$Q135-$C$3,$R135,0)</f>
        <v>6.2960064075801014E-2</v>
      </c>
      <c r="T135" s="161">
        <f>_xll.xSPRDOPT($L135,$J135,$I135,$M135,$O135,$N135,$P135,$Q135-$C$3,$R135,1)*H135</f>
        <v>-342370.90168939601</v>
      </c>
      <c r="U135" s="162">
        <f t="shared" si="225"/>
        <v>-31480.032037900506</v>
      </c>
      <c r="V135" s="161">
        <f>_xll.xSPRDOPT($L135,$J135,$I135,$M135,$O135,$N135,$P135,$Q135-$C$3,$R135,2)*H135</f>
        <v>338815.51520913717</v>
      </c>
      <c r="W135" s="161">
        <f t="shared" si="226"/>
        <v>-3555.3864802588359</v>
      </c>
      <c r="X135" s="51" t="str">
        <f t="shared" si="227"/>
        <v>36708IF-TRANSCO/Z6</v>
      </c>
      <c r="Y135" s="431">
        <f t="shared" si="228"/>
        <v>-50</v>
      </c>
      <c r="Z135" s="51"/>
      <c r="AA135" s="128">
        <f t="shared" si="190"/>
        <v>40087</v>
      </c>
      <c r="AB135" s="43">
        <f t="shared" si="215"/>
        <v>0</v>
      </c>
      <c r="AC135" s="43">
        <f t="shared" si="215"/>
        <v>0</v>
      </c>
      <c r="AD135" s="43">
        <f t="shared" si="215"/>
        <v>0</v>
      </c>
      <c r="AE135" s="43">
        <f t="shared" si="215"/>
        <v>0</v>
      </c>
      <c r="AF135" s="44">
        <f t="shared" si="215"/>
        <v>0</v>
      </c>
      <c r="AG135" s="44">
        <f t="shared" si="215"/>
        <v>0</v>
      </c>
      <c r="AH135" s="128">
        <f t="shared" si="191"/>
        <v>40087</v>
      </c>
      <c r="AI135" s="44">
        <f t="shared" si="137"/>
        <v>0</v>
      </c>
      <c r="AJ135" s="51"/>
      <c r="AK135" s="128">
        <f t="shared" si="192"/>
        <v>40087</v>
      </c>
      <c r="AL135" s="43">
        <f t="shared" si="216"/>
        <v>0</v>
      </c>
      <c r="AM135" s="43">
        <f t="shared" si="216"/>
        <v>0</v>
      </c>
      <c r="AN135" s="43">
        <f t="shared" si="216"/>
        <v>0</v>
      </c>
      <c r="AO135" s="43">
        <f t="shared" si="216"/>
        <v>0</v>
      </c>
      <c r="AP135" s="44">
        <f t="shared" si="216"/>
        <v>0</v>
      </c>
      <c r="AQ135" s="44">
        <f t="shared" si="216"/>
        <v>0</v>
      </c>
      <c r="AR135" s="128">
        <f t="shared" si="193"/>
        <v>40087</v>
      </c>
      <c r="AS135" s="44">
        <f t="shared" si="138"/>
        <v>0</v>
      </c>
      <c r="AT135" s="51"/>
      <c r="AU135" s="51"/>
      <c r="AV135" s="51"/>
      <c r="AW135" s="51"/>
      <c r="AX135" s="51"/>
      <c r="AY135" s="51"/>
      <c r="AZ135" s="51"/>
      <c r="BA135" s="51"/>
      <c r="BB135" s="142">
        <f t="shared" si="196"/>
        <v>36708</v>
      </c>
      <c r="BC135" s="238">
        <f>_xll.xSPRDOPT((VLOOKUP(G135,NGPrices,2,FALSE)+HLOOKUP(D135,Prices,VLOOKUP(G135,move_down,2,FALSE),FALSE)),VLOOKUP(G135,NGPrices,2,FALSE),I135,VLOOKUP(G135,NGPREVPRICES,4,FALSE),HLOOKUP(D135,PREVVOLS,VLOOKUP(G135,MOVE_DOWN2,2,FALSE),FALSE),VLOOKUP(G135,NGPREVPRICES,3,FALSE),HLOOKUP(D135,Correllate,VLOOKUP(G135,CorMove,2,FALSE),FALSE),Q135-$BC$3,R135,$BC$5)*H135-BI135</f>
        <v>-5223.8712526167947</v>
      </c>
      <c r="BD135" s="238">
        <f>_xll.xSPRDOPT((VLOOKUP(G135,NGPREVPRICES,2,FALSE)+HLOOKUP(D135,PREVCURVES,VLOOKUP(G135,MOVE_DOWN2,2,FALSE),FALSE)),VLOOKUP(G135,NGPREVPRICES,2,FALSE),BJ135,VLOOKUP(G135,NGPrices,4,FALSE),HLOOKUP(D135,PREVVOLS,VLOOKUP(G135,MOVE_DOWN2,2,FALSE),FALSE),VLOOKUP(G135,NGPREVPRICES,3,FALSE),HLOOKUP(D135,Correllate,VLOOKUP(G135,CorMove,2,FALSE),FALSE),Q135-$BC$3,R135,$BI$5)*H135-BI135</f>
        <v>0.24888693739558221</v>
      </c>
      <c r="BE135" s="10">
        <f t="shared" si="197"/>
        <v>4.5395819683435548</v>
      </c>
      <c r="BF135" s="238">
        <f>_xll.xSPRDOPT((VLOOKUP(G135,NGPREVPRICES,2,FALSE)+HLOOKUP(D135,PREVCURVES,VLOOKUP(G135,MOVE_DOWN2,2,FALSE),FALSE)),VLOOKUP(G135,NGPREVPRICES,2,FALSE),BJ135,VLOOKUP(G135,NGPREVPRICES,4,FALSE),HLOOKUP(D135,VOLS,VLOOKUP(G135,move_down,2,FALSE),FALSE),VLOOKUP(G135,NGPrices,3,FALSE),HLOOKUP(D135,Correllate,VLOOKUP(G135,CorMove,2,FALSE),FALSE),Q135-$BC$3,R135,$BI$5)*H135-BI135</f>
        <v>-469.24164709031902</v>
      </c>
      <c r="BG135" s="238">
        <f>_xll.xSPRDOPT((VLOOKUP(G135,NGPREVPRICES,2,FALSE)+HLOOKUP(D135,PREVCURVES,VLOOKUP(G135,MOVE_DOWN2,2,FALSE),FALSE)),VLOOKUP(G135,NGPREVPRICES,2,FALSE),BJ135,VLOOKUP(G135,NGPREVPRICES,4,FALSE),HLOOKUP(D135,PREVVOLS,VLOOKUP(G135,MOVE_DOWN2,2,FALSE),FALSE),VLOOKUP(G135,NGPREVPRICES,3,FALSE),HLOOKUP(D135,Correllate,VLOOKUP(G135,CorMove,2,FALSE),FALSE),Q135-$C$3,R135,$BI$5)*H135-BI135</f>
        <v>321.77219825552675</v>
      </c>
      <c r="BH135" s="238">
        <f t="shared" si="198"/>
        <v>-5366.5522325458478</v>
      </c>
      <c r="BI135" s="238">
        <f>_xll.xSPRDOPT((VLOOKUP(G135,NGPREVPRICES,2,FALSE)+HLOOKUP(D135,PREVCURVES,VLOOKUP(G135,MOVE_DOWN2,2,FALSE),FALSE)),VLOOKUP(G135,NGPREVPRICES,2,FALSE),BJ135,VLOOKUP(G135,NGPREVPRICES,4,FALSE),HLOOKUP(D135,PREVVOLS,VLOOKUP(G135,MOVE_DOWN2,2,FALSE),FALSE),VLOOKUP(G135,NGPREVPRICES,3,FALSE),HLOOKUP(D135,Correllate,VLOOKUP(G135,CorMove,2,FALSE),FALSE),Q135-$BC$3,R135,$BI$5)*H135</f>
        <v>-26121.882616468112</v>
      </c>
      <c r="BJ135" s="239">
        <f t="shared" si="199"/>
        <v>0.3</v>
      </c>
      <c r="BL135" t="str">
        <f t="shared" si="200"/>
        <v>36708Curve Shift/Gamma</v>
      </c>
      <c r="BM135" t="str">
        <f t="shared" ref="BM135:BM144" si="230">CONCATENATE($BB135,$BD$6)</f>
        <v>36708Rho</v>
      </c>
      <c r="BN135" t="str">
        <f t="shared" ref="BN135:BN144" si="231">CONCATENATE($BB135,$BE$6)</f>
        <v>36708Drift</v>
      </c>
      <c r="BO135" t="str">
        <f t="shared" ref="BO135:BO144" si="232">CONCATENATE($BB135,$BF$6)</f>
        <v>36708Vega</v>
      </c>
      <c r="BP135" t="str">
        <f t="shared" ref="BP135:BP144" si="233">CONCATENATE($BB135,$BG$6)</f>
        <v>36708Theta</v>
      </c>
    </row>
    <row r="136" spans="1:68" ht="12" customHeight="1" x14ac:dyDescent="0.25">
      <c r="A136" s="395" t="s">
        <v>282</v>
      </c>
      <c r="B136" t="s">
        <v>253</v>
      </c>
      <c r="C136" t="s">
        <v>310</v>
      </c>
      <c r="D136" s="4" t="s">
        <v>7</v>
      </c>
      <c r="E136" t="s">
        <v>20</v>
      </c>
      <c r="F136" t="s">
        <v>21</v>
      </c>
      <c r="G136" s="5">
        <v>36739</v>
      </c>
      <c r="H136" s="130">
        <v>-500000</v>
      </c>
      <c r="I136">
        <v>0.3</v>
      </c>
      <c r="J136" s="53">
        <f t="shared" si="217"/>
        <v>3.1829999999999998</v>
      </c>
      <c r="K136" s="7">
        <f t="shared" si="218"/>
        <v>0.34499999999999997</v>
      </c>
      <c r="L136" s="4">
        <f t="shared" si="219"/>
        <v>3.5279999999999996</v>
      </c>
      <c r="M136" s="159">
        <f t="shared" si="220"/>
        <v>6.4500399973534003E-2</v>
      </c>
      <c r="N136" s="4">
        <f t="shared" si="221"/>
        <v>0.41249999999999998</v>
      </c>
      <c r="O136" s="4">
        <f t="shared" si="222"/>
        <v>0.40400000000000003</v>
      </c>
      <c r="P136" s="9">
        <f t="shared" si="223"/>
        <v>0.99</v>
      </c>
      <c r="Q136" s="5">
        <f t="shared" si="229"/>
        <v>36735</v>
      </c>
      <c r="R136" s="4">
        <f t="shared" si="224"/>
        <v>1</v>
      </c>
      <c r="S136" s="160">
        <f>_xll.xSPRDOPT($L136,$J136,$I136,$M136,$O136,$N136,$P136,$Q136-$C$3,$R136,0)</f>
        <v>7.0370105649823031E-2</v>
      </c>
      <c r="T136" s="161">
        <f>_xll.xSPRDOPT($L136,$J136,$I136,$M136,$O136,$N136,$P136,$Q136-$C$3,$R136,1)*H136</f>
        <v>-325189.22765374812</v>
      </c>
      <c r="U136" s="162">
        <f t="shared" si="225"/>
        <v>-35185.052824911516</v>
      </c>
      <c r="V136" s="161">
        <f>_xll.xSPRDOPT($L136,$J136,$I136,$M136,$O136,$N136,$P136,$Q136-$C$3,$R136,2)*H136</f>
        <v>320639.02114514465</v>
      </c>
      <c r="W136" s="161">
        <f t="shared" si="226"/>
        <v>-4550.2065086034709</v>
      </c>
      <c r="X136" s="51" t="str">
        <f t="shared" si="227"/>
        <v>36739IF-TRANSCO/Z6</v>
      </c>
      <c r="Y136" s="431">
        <f t="shared" si="228"/>
        <v>-50</v>
      </c>
      <c r="AA136" s="128">
        <f t="shared" ref="AA136:AA167" si="234">EOMONTH(AA135,0)+1</f>
        <v>40118</v>
      </c>
      <c r="AB136" s="43">
        <f t="shared" si="215"/>
        <v>0</v>
      </c>
      <c r="AC136" s="43">
        <f t="shared" si="215"/>
        <v>0</v>
      </c>
      <c r="AD136" s="43">
        <f t="shared" si="215"/>
        <v>0</v>
      </c>
      <c r="AE136" s="43">
        <f t="shared" si="215"/>
        <v>0</v>
      </c>
      <c r="AF136" s="44">
        <f t="shared" si="215"/>
        <v>0</v>
      </c>
      <c r="AG136" s="44">
        <f t="shared" si="215"/>
        <v>0</v>
      </c>
      <c r="AH136" s="128">
        <f t="shared" ref="AH136:AH167" si="235">EOMONTH(AH135,0)+1</f>
        <v>40118</v>
      </c>
      <c r="AI136" s="44">
        <f t="shared" si="137"/>
        <v>0</v>
      </c>
      <c r="AJ136" s="51"/>
      <c r="AK136" s="128">
        <f t="shared" ref="AK136:AK167" si="236">EOMONTH(AK135,0)+1</f>
        <v>40118</v>
      </c>
      <c r="AL136" s="43">
        <f t="shared" si="216"/>
        <v>0</v>
      </c>
      <c r="AM136" s="43">
        <f t="shared" si="216"/>
        <v>0</v>
      </c>
      <c r="AN136" s="43">
        <f t="shared" si="216"/>
        <v>0</v>
      </c>
      <c r="AO136" s="43">
        <f t="shared" si="216"/>
        <v>0</v>
      </c>
      <c r="AP136" s="44">
        <f t="shared" si="216"/>
        <v>0</v>
      </c>
      <c r="AQ136" s="44">
        <f t="shared" si="216"/>
        <v>0</v>
      </c>
      <c r="AR136" s="128">
        <f t="shared" ref="AR136:AR167" si="237">EOMONTH(AR135,0)+1</f>
        <v>40118</v>
      </c>
      <c r="AS136" s="44">
        <f t="shared" si="138"/>
        <v>0</v>
      </c>
      <c r="AT136" s="51"/>
      <c r="AU136" s="51"/>
      <c r="AV136" s="51"/>
      <c r="AW136" s="51"/>
      <c r="AX136" s="51"/>
      <c r="AY136" s="51"/>
      <c r="AZ136" s="51"/>
      <c r="BA136" s="51"/>
      <c r="BB136" s="142">
        <f t="shared" si="196"/>
        <v>36739</v>
      </c>
      <c r="BC136" s="238">
        <f>_xll.xSPRDOPT((VLOOKUP(G136,NGPrices,2,FALSE)+HLOOKUP(D136,Prices,VLOOKUP(G136,move_down,2,FALSE),FALSE)),VLOOKUP(G136,NGPrices,2,FALSE),I136,VLOOKUP(G136,NGPREVPRICES,4,FALSE),HLOOKUP(D136,PREVVOLS,VLOOKUP(G136,MOVE_DOWN2,2,FALSE),FALSE),VLOOKUP(G136,NGPREVPRICES,3,FALSE),HLOOKUP(D136,Correllate,VLOOKUP(G136,CorMove,2,FALSE),FALSE),Q136-$BC$3,R136,$BC$5)*H136-BI136</f>
        <v>-5072.9306126128904</v>
      </c>
      <c r="BD136" s="238">
        <f>_xll.xSPRDOPT((VLOOKUP(G136,NGPREVPRICES,2,FALSE)+HLOOKUP(D136,PREVCURVES,VLOOKUP(G136,MOVE_DOWN2,2,FALSE),FALSE)),VLOOKUP(G136,NGPREVPRICES,2,FALSE),BJ136,VLOOKUP(G136,NGPrices,4,FALSE),HLOOKUP(D136,PREVVOLS,VLOOKUP(G136,MOVE_DOWN2,2,FALSE),FALSE),VLOOKUP(G136,NGPREVPRICES,3,FALSE),HLOOKUP(D136,Correllate,VLOOKUP(G136,CorMove,2,FALSE),FALSE),Q136-$BC$3,R136,$BI$5)*H136-BI136</f>
        <v>0.22361496476878528</v>
      </c>
      <c r="BE136" s="10">
        <f t="shared" si="197"/>
        <v>5.2828927878654213</v>
      </c>
      <c r="BF136" s="238">
        <f>_xll.xSPRDOPT((VLOOKUP(G136,NGPREVPRICES,2,FALSE)+HLOOKUP(D136,PREVCURVES,VLOOKUP(G136,MOVE_DOWN2,2,FALSE),FALSE)),VLOOKUP(G136,NGPREVPRICES,2,FALSE),BJ136,VLOOKUP(G136,NGPREVPRICES,4,FALSE),HLOOKUP(D136,VOLS,VLOOKUP(G136,move_down,2,FALSE),FALSE),VLOOKUP(G136,NGPrices,3,FALSE),HLOOKUP(D136,Correllate,VLOOKUP(G136,CorMove,2,FALSE),FALSE),Q136-$BC$3,R136,$BI$5)*H136-BI136</f>
        <v>-559.8593128795801</v>
      </c>
      <c r="BG136" s="238">
        <f>_xll.xSPRDOPT((VLOOKUP(G136,NGPREVPRICES,2,FALSE)+HLOOKUP(D136,PREVCURVES,VLOOKUP(G136,MOVE_DOWN2,2,FALSE),FALSE)),VLOOKUP(G136,NGPREVPRICES,2,FALSE),BJ136,VLOOKUP(G136,NGPREVPRICES,4,FALSE),HLOOKUP(D136,PREVVOLS,VLOOKUP(G136,MOVE_DOWN2,2,FALSE),FALSE),VLOOKUP(G136,NGPREVPRICES,3,FALSE),HLOOKUP(D136,Correllate,VLOOKUP(G136,CorMove,2,FALSE),FALSE),Q136-$C$3,R136,$BI$5)*H136-BI136</f>
        <v>286.3774815523866</v>
      </c>
      <c r="BH136" s="238">
        <f t="shared" si="198"/>
        <v>-5340.9059361874497</v>
      </c>
      <c r="BI136" s="238">
        <f>_xll.xSPRDOPT((VLOOKUP(G136,NGPREVPRICES,2,FALSE)+HLOOKUP(D136,PREVCURVES,VLOOKUP(G136,MOVE_DOWN2,2,FALSE),FALSE)),VLOOKUP(G136,NGPREVPRICES,2,FALSE),BJ136,VLOOKUP(G136,NGPREVPRICES,4,FALSE),HLOOKUP(D136,PREVVOLS,VLOOKUP(G136,MOVE_DOWN2,2,FALSE),FALSE),VLOOKUP(G136,NGPREVPRICES,3,FALSE),HLOOKUP(D136,Correllate,VLOOKUP(G136,CorMove,2,FALSE),FALSE),Q136-$BC$3,R136,$BI$5)*H136</f>
        <v>-29850.210092264348</v>
      </c>
      <c r="BJ136" s="239">
        <f t="shared" si="199"/>
        <v>0.3</v>
      </c>
      <c r="BL136" t="str">
        <f t="shared" si="200"/>
        <v>36739Curve Shift/Gamma</v>
      </c>
      <c r="BM136" t="str">
        <f t="shared" si="230"/>
        <v>36739Rho</v>
      </c>
      <c r="BN136" t="str">
        <f t="shared" si="231"/>
        <v>36739Drift</v>
      </c>
      <c r="BO136" t="str">
        <f t="shared" si="232"/>
        <v>36739Vega</v>
      </c>
      <c r="BP136" t="str">
        <f t="shared" si="233"/>
        <v>36739Theta</v>
      </c>
    </row>
    <row r="137" spans="1:68" ht="12" customHeight="1" x14ac:dyDescent="0.25">
      <c r="A137" s="395" t="s">
        <v>282</v>
      </c>
      <c r="B137" t="s">
        <v>253</v>
      </c>
      <c r="C137" t="s">
        <v>310</v>
      </c>
      <c r="D137" s="4" t="s">
        <v>7</v>
      </c>
      <c r="E137" t="s">
        <v>20</v>
      </c>
      <c r="F137" t="s">
        <v>21</v>
      </c>
      <c r="G137" s="5">
        <v>36770</v>
      </c>
      <c r="H137" s="130">
        <v>-500000</v>
      </c>
      <c r="I137">
        <v>0.3</v>
      </c>
      <c r="J137" s="53">
        <f t="shared" si="217"/>
        <v>3.173</v>
      </c>
      <c r="K137" s="7">
        <f t="shared" si="218"/>
        <v>0.315</v>
      </c>
      <c r="L137" s="4">
        <f t="shared" si="219"/>
        <v>3.488</v>
      </c>
      <c r="M137" s="159">
        <f t="shared" si="220"/>
        <v>6.5221012015626995E-2</v>
      </c>
      <c r="N137" s="4">
        <f t="shared" si="221"/>
        <v>0.42</v>
      </c>
      <c r="O137" s="4">
        <f t="shared" si="222"/>
        <v>0.41199999999999998</v>
      </c>
      <c r="P137" s="9">
        <f t="shared" si="223"/>
        <v>0.99</v>
      </c>
      <c r="Q137" s="5">
        <f t="shared" si="229"/>
        <v>36768</v>
      </c>
      <c r="R137" s="4">
        <f t="shared" si="224"/>
        <v>1</v>
      </c>
      <c r="S137" s="160">
        <f>_xll.xSPRDOPT($L137,$J137,$I137,$M137,$O137,$N137,$P137,$Q137-$C$3,$R137,0)</f>
        <v>5.9717690015039612E-2</v>
      </c>
      <c r="T137" s="161">
        <f>_xll.xSPRDOPT($L137,$J137,$I137,$M137,$O137,$N137,$P137,$Q137-$C$3,$R137,1)*H137</f>
        <v>-271578.61589461216</v>
      </c>
      <c r="U137" s="162">
        <f t="shared" si="225"/>
        <v>-29858.845007519805</v>
      </c>
      <c r="V137" s="161">
        <f>_xll.xSPRDOPT($L137,$J137,$I137,$M137,$O137,$N137,$P137,$Q137-$C$3,$R137,2)*H137</f>
        <v>265827.00875457766</v>
      </c>
      <c r="W137" s="161">
        <f t="shared" si="226"/>
        <v>-5751.6071400344954</v>
      </c>
      <c r="X137" s="51" t="str">
        <f t="shared" si="227"/>
        <v>36770IF-TRANSCO/Z6</v>
      </c>
      <c r="Y137" s="431">
        <f t="shared" si="228"/>
        <v>-50</v>
      </c>
      <c r="AA137" s="128">
        <f t="shared" si="234"/>
        <v>40148</v>
      </c>
      <c r="AB137" s="43">
        <f t="shared" ref="AB137:AG146" si="238">SUMIF($X:$X,CONCATENATE($AA137,AB$6),$T:$T)/10000</f>
        <v>0</v>
      </c>
      <c r="AC137" s="43">
        <f t="shared" si="238"/>
        <v>0</v>
      </c>
      <c r="AD137" s="43">
        <f t="shared" si="238"/>
        <v>0</v>
      </c>
      <c r="AE137" s="43">
        <f t="shared" si="238"/>
        <v>0</v>
      </c>
      <c r="AF137" s="44">
        <f t="shared" si="238"/>
        <v>0</v>
      </c>
      <c r="AG137" s="44">
        <f t="shared" si="238"/>
        <v>0</v>
      </c>
      <c r="AH137" s="128">
        <f t="shared" si="235"/>
        <v>40148</v>
      </c>
      <c r="AI137" s="44">
        <f t="shared" si="137"/>
        <v>0</v>
      </c>
      <c r="AJ137" s="51"/>
      <c r="AK137" s="128">
        <f t="shared" si="236"/>
        <v>40148</v>
      </c>
      <c r="AL137" s="43">
        <f t="shared" ref="AL137:AQ146" si="239">SUMIF($X:$X,CONCATENATE($AA137,AL$6),$W:$W)</f>
        <v>0</v>
      </c>
      <c r="AM137" s="43">
        <f t="shared" si="239"/>
        <v>0</v>
      </c>
      <c r="AN137" s="43">
        <f t="shared" si="239"/>
        <v>0</v>
      </c>
      <c r="AO137" s="43">
        <f t="shared" si="239"/>
        <v>0</v>
      </c>
      <c r="AP137" s="44">
        <f t="shared" si="239"/>
        <v>0</v>
      </c>
      <c r="AQ137" s="44">
        <f t="shared" si="239"/>
        <v>0</v>
      </c>
      <c r="AR137" s="128">
        <f t="shared" si="237"/>
        <v>40148</v>
      </c>
      <c r="AS137" s="44">
        <f t="shared" si="138"/>
        <v>0</v>
      </c>
      <c r="AT137" s="51"/>
      <c r="AU137" s="51"/>
      <c r="AV137" s="51"/>
      <c r="AW137" s="51"/>
      <c r="AX137" s="51"/>
      <c r="AY137" s="51"/>
      <c r="AZ137" s="51"/>
      <c r="BA137" s="51"/>
      <c r="BB137" s="142">
        <f t="shared" si="196"/>
        <v>36770</v>
      </c>
      <c r="BC137" s="238">
        <f>_xll.xSPRDOPT((VLOOKUP(G137,NGPrices,2,FALSE)+HLOOKUP(D137,Prices,VLOOKUP(G137,move_down,2,FALSE),FALSE)),VLOOKUP(G137,NGPrices,2,FALSE),I137,VLOOKUP(G137,NGPREVPRICES,4,FALSE),HLOOKUP(D137,PREVVOLS,VLOOKUP(G137,MOVE_DOWN2,2,FALSE),FALSE),VLOOKUP(G137,NGPREVPRICES,3,FALSE),HLOOKUP(D137,Correllate,VLOOKUP(G137,CorMove,2,FALSE),FALSE),Q137-$BC$3,R137,$BC$5)*H137-BI137</f>
        <v>-4968.8389082008762</v>
      </c>
      <c r="BD137" s="238">
        <f>_xll.xSPRDOPT((VLOOKUP(G137,NGPREVPRICES,2,FALSE)+HLOOKUP(D137,PREVCURVES,VLOOKUP(G137,MOVE_DOWN2,2,FALSE),FALSE)),VLOOKUP(G137,NGPREVPRICES,2,FALSE),BJ137,VLOOKUP(G137,NGPrices,4,FALSE),HLOOKUP(D137,PREVVOLS,VLOOKUP(G137,MOVE_DOWN2,2,FALSE),FALSE),VLOOKUP(G137,NGPREVPRICES,3,FALSE),HLOOKUP(D137,Correllate,VLOOKUP(G137,CorMove,2,FALSE),FALSE),Q137-$BC$3,R137,$BI$5)*H137-BI137</f>
        <v>-4.0925329361925833E-2</v>
      </c>
      <c r="BE137" s="10">
        <f t="shared" si="197"/>
        <v>4.4098447312790086</v>
      </c>
      <c r="BF137" s="238">
        <f>_xll.xSPRDOPT((VLOOKUP(G137,NGPREVPRICES,2,FALSE)+HLOOKUP(D137,PREVCURVES,VLOOKUP(G137,MOVE_DOWN2,2,FALSE),FALSE)),VLOOKUP(G137,NGPREVPRICES,2,FALSE),BJ137,VLOOKUP(G137,NGPREVPRICES,4,FALSE),HLOOKUP(D137,VOLS,VLOOKUP(G137,move_down,2,FALSE),FALSE),VLOOKUP(G137,NGPrices,3,FALSE),HLOOKUP(D137,Correllate,VLOOKUP(G137,CorMove,2,FALSE),FALSE),Q137-$BC$3,R137,$BI$5)*H137-BI137</f>
        <v>-655.80277617221509</v>
      </c>
      <c r="BG137" s="238">
        <f>_xll.xSPRDOPT((VLOOKUP(G137,NGPREVPRICES,2,FALSE)+HLOOKUP(D137,PREVCURVES,VLOOKUP(G137,MOVE_DOWN2,2,FALSE),FALSE)),VLOOKUP(G137,NGPREVPRICES,2,FALSE),BJ137,VLOOKUP(G137,NGPREVPRICES,4,FALSE),HLOOKUP(D137,PREVVOLS,VLOOKUP(G137,MOVE_DOWN2,2,FALSE),FALSE),VLOOKUP(G137,NGPREVPRICES,3,FALSE),HLOOKUP(D137,Correllate,VLOOKUP(G137,CorMove,2,FALSE),FALSE),Q137-$C$3,R137,$BI$5)*H137-BI137</f>
        <v>262.71127711005101</v>
      </c>
      <c r="BH137" s="238">
        <f t="shared" si="198"/>
        <v>-5357.5614878611232</v>
      </c>
      <c r="BI137" s="238">
        <f>_xll.xSPRDOPT((VLOOKUP(G137,NGPREVPRICES,2,FALSE)+HLOOKUP(D137,PREVCURVES,VLOOKUP(G137,MOVE_DOWN2,2,FALSE),FALSE)),VLOOKUP(G137,NGPREVPRICES,2,FALSE),BJ137,VLOOKUP(G137,NGPREVPRICES,4,FALSE),HLOOKUP(D137,PREVVOLS,VLOOKUP(G137,MOVE_DOWN2,2,FALSE),FALSE),VLOOKUP(G137,NGPREVPRICES,3,FALSE),HLOOKUP(D137,Correllate,VLOOKUP(G137,CorMove,2,FALSE),FALSE),Q137-$BC$3,R137,$BI$5)*H137</f>
        <v>-24495.723488723543</v>
      </c>
      <c r="BJ137" s="239">
        <f t="shared" si="199"/>
        <v>0.3</v>
      </c>
      <c r="BL137" t="str">
        <f t="shared" si="200"/>
        <v>36770Curve Shift/Gamma</v>
      </c>
      <c r="BM137" t="str">
        <f t="shared" si="230"/>
        <v>36770Rho</v>
      </c>
      <c r="BN137" t="str">
        <f t="shared" si="231"/>
        <v>36770Drift</v>
      </c>
      <c r="BO137" t="str">
        <f t="shared" si="232"/>
        <v>36770Vega</v>
      </c>
      <c r="BP137" t="str">
        <f t="shared" si="233"/>
        <v>36770Theta</v>
      </c>
    </row>
    <row r="138" spans="1:68" ht="12" customHeight="1" x14ac:dyDescent="0.25">
      <c r="A138" s="395" t="s">
        <v>282</v>
      </c>
      <c r="B138" t="s">
        <v>253</v>
      </c>
      <c r="C138" t="s">
        <v>310</v>
      </c>
      <c r="D138" s="4" t="s">
        <v>7</v>
      </c>
      <c r="E138" t="s">
        <v>20</v>
      </c>
      <c r="F138" t="s">
        <v>21</v>
      </c>
      <c r="G138" s="5">
        <v>36800</v>
      </c>
      <c r="H138" s="130">
        <v>-500000</v>
      </c>
      <c r="I138">
        <v>0.3</v>
      </c>
      <c r="J138" s="53">
        <f t="shared" si="217"/>
        <v>3.18</v>
      </c>
      <c r="K138" s="7">
        <f t="shared" si="218"/>
        <v>0.34499999999999997</v>
      </c>
      <c r="L138" s="4">
        <f t="shared" si="219"/>
        <v>3.5250000000000004</v>
      </c>
      <c r="M138" s="159">
        <f t="shared" si="220"/>
        <v>6.5817989695161006E-2</v>
      </c>
      <c r="N138" s="4">
        <f t="shared" si="221"/>
        <v>0.42249999999999999</v>
      </c>
      <c r="O138" s="4">
        <f t="shared" si="222"/>
        <v>0.41399999999999998</v>
      </c>
      <c r="P138" s="9">
        <f t="shared" si="223"/>
        <v>0.99</v>
      </c>
      <c r="Q138" s="5">
        <f t="shared" si="229"/>
        <v>36797</v>
      </c>
      <c r="R138" s="4">
        <f t="shared" si="224"/>
        <v>1</v>
      </c>
      <c r="S138" s="160">
        <f>_xll.xSPRDOPT($L138,$J138,$I138,$M138,$O138,$N138,$P138,$Q138-$C$3,$R138,0)</f>
        <v>8.2175162078058181E-2</v>
      </c>
      <c r="T138" s="161">
        <f>_xll.xSPRDOPT($L138,$J138,$I138,$M138,$O138,$N138,$P138,$Q138-$C$3,$R138,1)*H138</f>
        <v>-306451.95685375604</v>
      </c>
      <c r="U138" s="162">
        <f t="shared" si="225"/>
        <v>-41087.581039029094</v>
      </c>
      <c r="V138" s="161">
        <f>_xll.xSPRDOPT($L138,$J138,$I138,$M138,$O138,$N138,$P138,$Q138-$C$3,$R138,2)*H138</f>
        <v>300414.27894911484</v>
      </c>
      <c r="W138" s="161">
        <f t="shared" si="226"/>
        <v>-6037.6779046411975</v>
      </c>
      <c r="X138" s="51" t="str">
        <f t="shared" si="227"/>
        <v>36800IF-TRANSCO/Z6</v>
      </c>
      <c r="Y138" s="431">
        <f t="shared" si="228"/>
        <v>-50</v>
      </c>
      <c r="AA138" s="128">
        <f t="shared" si="234"/>
        <v>40179</v>
      </c>
      <c r="AB138" s="43">
        <f t="shared" si="238"/>
        <v>0</v>
      </c>
      <c r="AC138" s="43">
        <f t="shared" si="238"/>
        <v>0</v>
      </c>
      <c r="AD138" s="43">
        <f t="shared" si="238"/>
        <v>0</v>
      </c>
      <c r="AE138" s="43">
        <f t="shared" si="238"/>
        <v>0</v>
      </c>
      <c r="AF138" s="44">
        <f t="shared" si="238"/>
        <v>0</v>
      </c>
      <c r="AG138" s="44">
        <f t="shared" si="238"/>
        <v>0</v>
      </c>
      <c r="AH138" s="128">
        <f t="shared" si="235"/>
        <v>40179</v>
      </c>
      <c r="AI138" s="44">
        <f t="shared" si="137"/>
        <v>0</v>
      </c>
      <c r="AJ138" s="51"/>
      <c r="AK138" s="128">
        <f t="shared" si="236"/>
        <v>40179</v>
      </c>
      <c r="AL138" s="43">
        <f t="shared" si="239"/>
        <v>0</v>
      </c>
      <c r="AM138" s="43">
        <f t="shared" si="239"/>
        <v>0</v>
      </c>
      <c r="AN138" s="43">
        <f t="shared" si="239"/>
        <v>0</v>
      </c>
      <c r="AO138" s="43">
        <f t="shared" si="239"/>
        <v>0</v>
      </c>
      <c r="AP138" s="44">
        <f t="shared" si="239"/>
        <v>0</v>
      </c>
      <c r="AQ138" s="44">
        <f t="shared" si="239"/>
        <v>0</v>
      </c>
      <c r="AR138" s="128">
        <f t="shared" si="237"/>
        <v>40179</v>
      </c>
      <c r="AS138" s="44">
        <f t="shared" si="138"/>
        <v>0</v>
      </c>
      <c r="AT138" s="51"/>
      <c r="AU138" s="51"/>
      <c r="AV138" s="51"/>
      <c r="AW138" s="51"/>
      <c r="AX138" s="51"/>
      <c r="AY138" s="51"/>
      <c r="AZ138" s="51"/>
      <c r="BA138" s="51"/>
      <c r="BB138" s="142">
        <f t="shared" si="196"/>
        <v>36800</v>
      </c>
      <c r="BC138" s="238">
        <f>_xll.xSPRDOPT((VLOOKUP(G138,NGPrices,2,FALSE)+HLOOKUP(D138,Prices,VLOOKUP(G138,move_down,2,FALSE),FALSE)),VLOOKUP(G138,NGPrices,2,FALSE),I138,VLOOKUP(G138,NGPREVPRICES,4,FALSE),HLOOKUP(D138,PREVVOLS,VLOOKUP(G138,MOVE_DOWN2,2,FALSE),FALSE),VLOOKUP(G138,NGPREVPRICES,3,FALSE),HLOOKUP(D138,Correllate,VLOOKUP(G138,CorMove,2,FALSE),FALSE),Q138-$BC$3,R138,$BC$5)*H138-BI138</f>
        <v>-7046.6387359602086</v>
      </c>
      <c r="BD138" s="238">
        <f>_xll.xSPRDOPT((VLOOKUP(G138,NGPREVPRICES,2,FALSE)+HLOOKUP(D138,PREVCURVES,VLOOKUP(G138,MOVE_DOWN2,2,FALSE),FALSE)),VLOOKUP(G138,NGPREVPRICES,2,FALSE),BJ138,VLOOKUP(G138,NGPrices,4,FALSE),HLOOKUP(D138,PREVVOLS,VLOOKUP(G138,MOVE_DOWN2,2,FALSE),FALSE),VLOOKUP(G138,NGPREVPRICES,3,FALSE),HLOOKUP(D138,Correllate,VLOOKUP(G138,CorMove,2,FALSE),FALSE),Q138-$BC$3,R138,$BI$5)*H138-BI138</f>
        <v>-0.55435489768569823</v>
      </c>
      <c r="BE138" s="10">
        <f t="shared" si="197"/>
        <v>6.1336168805646594</v>
      </c>
      <c r="BF138" s="238">
        <f>_xll.xSPRDOPT((VLOOKUP(G138,NGPREVPRICES,2,FALSE)+HLOOKUP(D138,PREVCURVES,VLOOKUP(G138,MOVE_DOWN2,2,FALSE),FALSE)),VLOOKUP(G138,NGPREVPRICES,2,FALSE),BJ138,VLOOKUP(G138,NGPREVPRICES,4,FALSE),HLOOKUP(D138,VOLS,VLOOKUP(G138,move_down,2,FALSE),FALSE),VLOOKUP(G138,NGPrices,3,FALSE),HLOOKUP(D138,Correllate,VLOOKUP(G138,CorMove,2,FALSE),FALSE),Q138-$BC$3,R138,$BI$5)*H138-BI138</f>
        <v>-715.84968406334519</v>
      </c>
      <c r="BG138" s="238">
        <f>_xll.xSPRDOPT((VLOOKUP(G138,NGPREVPRICES,2,FALSE)+HLOOKUP(D138,PREVCURVES,VLOOKUP(G138,MOVE_DOWN2,2,FALSE),FALSE)),VLOOKUP(G138,NGPREVPRICES,2,FALSE),BJ138,VLOOKUP(G138,NGPREVPRICES,4,FALSE),HLOOKUP(D138,PREVVOLS,VLOOKUP(G138,MOVE_DOWN2,2,FALSE),FALSE),VLOOKUP(G138,NGPREVPRICES,3,FALSE),HLOOKUP(D138,Correllate,VLOOKUP(G138,CorMove,2,FALSE),FALSE),Q138-$C$3,R138,$BI$5)*H138-BI138</f>
        <v>231.00676043966087</v>
      </c>
      <c r="BH138" s="238">
        <f t="shared" si="198"/>
        <v>-7525.9023976010139</v>
      </c>
      <c r="BI138" s="238">
        <f>_xll.xSPRDOPT((VLOOKUP(G138,NGPREVPRICES,2,FALSE)+HLOOKUP(D138,PREVCURVES,VLOOKUP(G138,MOVE_DOWN2,2,FALSE),FALSE)),VLOOKUP(G138,NGPREVPRICES,2,FALSE),BJ138,VLOOKUP(G138,NGPREVPRICES,4,FALSE),HLOOKUP(D138,PREVVOLS,VLOOKUP(G138,MOVE_DOWN2,2,FALSE),FALSE),VLOOKUP(G138,NGPREVPRICES,3,FALSE),HLOOKUP(D138,Correllate,VLOOKUP(G138,CorMove,2,FALSE),FALSE),Q138-$BC$3,R138,$BI$5)*H138</f>
        <v>-33563.97432189207</v>
      </c>
      <c r="BJ138" s="239">
        <f t="shared" si="199"/>
        <v>0.3</v>
      </c>
      <c r="BL138" t="str">
        <f t="shared" si="200"/>
        <v>36800Curve Shift/Gamma</v>
      </c>
      <c r="BM138" t="str">
        <f t="shared" si="230"/>
        <v>36800Rho</v>
      </c>
      <c r="BN138" t="str">
        <f t="shared" si="231"/>
        <v>36800Drift</v>
      </c>
      <c r="BO138" t="str">
        <f t="shared" si="232"/>
        <v>36800Vega</v>
      </c>
      <c r="BP138" t="str">
        <f t="shared" si="233"/>
        <v>36800Theta</v>
      </c>
    </row>
    <row r="139" spans="1:68" ht="12" customHeight="1" x14ac:dyDescent="0.25">
      <c r="A139" s="395" t="s">
        <v>282</v>
      </c>
      <c r="B139" t="s">
        <v>253</v>
      </c>
      <c r="C139" t="s">
        <v>311</v>
      </c>
      <c r="D139" s="4" t="s">
        <v>7</v>
      </c>
      <c r="E139" t="s">
        <v>20</v>
      </c>
      <c r="F139" t="s">
        <v>1</v>
      </c>
      <c r="G139" s="5">
        <v>36647</v>
      </c>
      <c r="H139" s="130">
        <v>-500000</v>
      </c>
      <c r="I139">
        <v>0.3</v>
      </c>
      <c r="J139" s="53">
        <f t="shared" si="217"/>
        <v>3.1579999999999999</v>
      </c>
      <c r="K139" s="7">
        <f t="shared" si="218"/>
        <v>0.29499999999999998</v>
      </c>
      <c r="L139" s="4">
        <f t="shared" si="219"/>
        <v>3.4529999999999998</v>
      </c>
      <c r="M139" s="159">
        <f t="shared" si="220"/>
        <v>6.2683518517613002E-2</v>
      </c>
      <c r="N139" s="4">
        <f t="shared" si="221"/>
        <v>0.41</v>
      </c>
      <c r="O139" s="4">
        <f t="shared" si="222"/>
        <v>0.40200000000000002</v>
      </c>
      <c r="P139" s="9">
        <f t="shared" si="223"/>
        <v>0.99</v>
      </c>
      <c r="Q139" s="5">
        <f t="shared" si="229"/>
        <v>36643</v>
      </c>
      <c r="R139" s="4">
        <f t="shared" si="224"/>
        <v>0</v>
      </c>
      <c r="S139" s="160">
        <f>_xll.xSPRDOPT($L139,$J139,$I139,$M139,$O139,$N139,$P139,$Q139-$C$3,$R139,0)</f>
        <v>1.6617215052741219E-2</v>
      </c>
      <c r="T139" s="161">
        <f>_xll.xSPRDOPT($L139,$J139,$I139,$M139,$O139,$N139,$P139,$Q139-$C$3,$R139,1)*H139</f>
        <v>276321.23693329992</v>
      </c>
      <c r="U139" s="162">
        <f t="shared" si="225"/>
        <v>-8308.6075263706098</v>
      </c>
      <c r="V139" s="161">
        <f>_xll.xSPRDOPT($L139,$J139,$I139,$M139,$O139,$N139,$P139,$Q139-$C$3,$R139,2)*H139</f>
        <v>-277882.13768915937</v>
      </c>
      <c r="W139" s="161">
        <f t="shared" si="226"/>
        <v>-1560.9007558594458</v>
      </c>
      <c r="X139" s="51" t="str">
        <f t="shared" si="227"/>
        <v>36647IF-TRANSCO/Z6</v>
      </c>
      <c r="Y139" s="431">
        <f t="shared" si="228"/>
        <v>-50</v>
      </c>
      <c r="AA139" s="41">
        <f t="shared" si="234"/>
        <v>40210</v>
      </c>
      <c r="AB139" s="43">
        <f t="shared" si="238"/>
        <v>0</v>
      </c>
      <c r="AC139" s="43">
        <f t="shared" si="238"/>
        <v>0</v>
      </c>
      <c r="AD139" s="43">
        <f t="shared" si="238"/>
        <v>0</v>
      </c>
      <c r="AE139" s="43">
        <f t="shared" si="238"/>
        <v>0</v>
      </c>
      <c r="AF139" s="44">
        <f t="shared" si="238"/>
        <v>0</v>
      </c>
      <c r="AG139" s="44">
        <f t="shared" si="238"/>
        <v>0</v>
      </c>
      <c r="AH139" s="41">
        <f t="shared" si="235"/>
        <v>40210</v>
      </c>
      <c r="AI139" s="44">
        <f t="shared" si="137"/>
        <v>0</v>
      </c>
      <c r="AK139" s="41">
        <f t="shared" si="236"/>
        <v>40210</v>
      </c>
      <c r="AL139" s="43">
        <f t="shared" si="239"/>
        <v>0</v>
      </c>
      <c r="AM139" s="43">
        <f t="shared" si="239"/>
        <v>0</v>
      </c>
      <c r="AN139" s="43">
        <f t="shared" si="239"/>
        <v>0</v>
      </c>
      <c r="AO139" s="43">
        <f t="shared" si="239"/>
        <v>0</v>
      </c>
      <c r="AP139" s="44">
        <f t="shared" si="239"/>
        <v>0</v>
      </c>
      <c r="AQ139" s="44">
        <f t="shared" si="239"/>
        <v>0</v>
      </c>
      <c r="AR139" s="41">
        <f t="shared" si="237"/>
        <v>40210</v>
      </c>
      <c r="AS139" s="44">
        <f t="shared" si="138"/>
        <v>0</v>
      </c>
      <c r="BB139" s="142">
        <f t="shared" si="196"/>
        <v>36647</v>
      </c>
      <c r="BC139" s="238">
        <f>_xll.xSPRDOPT((VLOOKUP(G139,NGPrices,2,FALSE)+HLOOKUP(D139,Prices,VLOOKUP(G139,move_down,2,FALSE),FALSE)),VLOOKUP(G139,NGPrices,2,FALSE),I139,VLOOKUP(G139,NGPREVPRICES,4,FALSE),HLOOKUP(D139,PREVVOLS,VLOOKUP(G139,MOVE_DOWN2,2,FALSE),FALSE),VLOOKUP(G139,NGPREVPRICES,3,FALSE),HLOOKUP(D139,Correllate,VLOOKUP(G139,CorMove,2,FALSE),FALSE),Q139-$BC$3,R139,$BC$5)*H139-BI139</f>
        <v>1334.6723170484238</v>
      </c>
      <c r="BD139" s="238">
        <f>_xll.xSPRDOPT((VLOOKUP(G139,NGPREVPRICES,2,FALSE)+HLOOKUP(D139,PREVCURVES,VLOOKUP(G139,MOVE_DOWN2,2,FALSE),FALSE)),VLOOKUP(G139,NGPREVPRICES,2,FALSE),BJ139,VLOOKUP(G139,NGPrices,4,FALSE),HLOOKUP(D139,PREVVOLS,VLOOKUP(G139,MOVE_DOWN2,2,FALSE),FALSE),VLOOKUP(G139,NGPREVPRICES,3,FALSE),HLOOKUP(D139,Correllate,VLOOKUP(G139,CorMove,2,FALSE),FALSE),Q139-$BC$3,R139,$BI$5)*H139-BI139</f>
        <v>3.304739421037084E-2</v>
      </c>
      <c r="BE139" s="10">
        <f t="shared" si="197"/>
        <v>1.6145795753345737</v>
      </c>
      <c r="BF139" s="238">
        <f>_xll.xSPRDOPT((VLOOKUP(G139,NGPREVPRICES,2,FALSE)+HLOOKUP(D139,PREVCURVES,VLOOKUP(G139,MOVE_DOWN2,2,FALSE),FALSE)),VLOOKUP(G139,NGPREVPRICES,2,FALSE),BJ139,VLOOKUP(G139,NGPREVPRICES,4,FALSE),HLOOKUP(D139,VOLS,VLOOKUP(G139,move_down,2,FALSE),FALSE),VLOOKUP(G139,NGPrices,3,FALSE),HLOOKUP(D139,Correllate,VLOOKUP(G139,CorMove,2,FALSE),FALSE),Q139-$BC$3,R139,$BI$5)*H139-BI139</f>
        <v>-1014.6930708785367</v>
      </c>
      <c r="BG139" s="238">
        <f>_xll.xSPRDOPT((VLOOKUP(G139,NGPREVPRICES,2,FALSE)+HLOOKUP(D139,PREVCURVES,VLOOKUP(G139,MOVE_DOWN2,2,FALSE),FALSE)),VLOOKUP(G139,NGPREVPRICES,2,FALSE),BJ139,VLOOKUP(G139,NGPREVPRICES,4,FALSE),HLOOKUP(D139,PREVVOLS,VLOOKUP(G139,MOVE_DOWN2,2,FALSE),FALSE),VLOOKUP(G139,NGPREVPRICES,3,FALSE),HLOOKUP(D139,Correllate,VLOOKUP(G139,CorMove,2,FALSE),FALSE),Q139-$C$3,R139,$BI$5)*H139-BI139</f>
        <v>786.84802047226913</v>
      </c>
      <c r="BH139" s="238">
        <f t="shared" si="198"/>
        <v>1108.4748936117012</v>
      </c>
      <c r="BI139" s="238">
        <f>_xll.xSPRDOPT((VLOOKUP(G139,NGPREVPRICES,2,FALSE)+HLOOKUP(D139,PREVCURVES,VLOOKUP(G139,MOVE_DOWN2,2,FALSE),FALSE)),VLOOKUP(G139,NGPREVPRICES,2,FALSE),BJ139,VLOOKUP(G139,NGPREVPRICES,4,FALSE),HLOOKUP(D139,PREVVOLS,VLOOKUP(G139,MOVE_DOWN2,2,FALSE),FALSE),VLOOKUP(G139,NGPREVPRICES,3,FALSE),HLOOKUP(D139,Correllate,VLOOKUP(G139,CorMove,2,FALSE),FALSE),Q139-$BC$3,R139,$BI$5)*H139</f>
        <v>-9545.8910821116242</v>
      </c>
      <c r="BJ139" s="239">
        <f t="shared" si="199"/>
        <v>0.3</v>
      </c>
      <c r="BL139" t="str">
        <f t="shared" si="200"/>
        <v>36647Curve Shift/Gamma</v>
      </c>
      <c r="BM139" t="str">
        <f t="shared" si="230"/>
        <v>36647Rho</v>
      </c>
      <c r="BN139" t="str">
        <f t="shared" si="231"/>
        <v>36647Drift</v>
      </c>
      <c r="BO139" t="str">
        <f t="shared" si="232"/>
        <v>36647Vega</v>
      </c>
      <c r="BP139" t="str">
        <f t="shared" si="233"/>
        <v>36647Theta</v>
      </c>
    </row>
    <row r="140" spans="1:68" ht="12" customHeight="1" x14ac:dyDescent="0.25">
      <c r="A140" s="395" t="s">
        <v>282</v>
      </c>
      <c r="B140" t="s">
        <v>253</v>
      </c>
      <c r="C140" t="s">
        <v>311</v>
      </c>
      <c r="D140" s="4" t="s">
        <v>7</v>
      </c>
      <c r="E140" t="s">
        <v>20</v>
      </c>
      <c r="F140" t="s">
        <v>1</v>
      </c>
      <c r="G140" s="5">
        <v>36678</v>
      </c>
      <c r="H140" s="130">
        <v>-500000</v>
      </c>
      <c r="I140">
        <v>0.3</v>
      </c>
      <c r="J140" s="53">
        <f t="shared" si="217"/>
        <v>3.1720000000000002</v>
      </c>
      <c r="K140" s="7">
        <f t="shared" si="218"/>
        <v>0.3075</v>
      </c>
      <c r="L140" s="4">
        <f t="shared" si="219"/>
        <v>3.4795000000000003</v>
      </c>
      <c r="M140" s="159">
        <f t="shared" si="220"/>
        <v>6.3039999833066004E-2</v>
      </c>
      <c r="N140" s="4">
        <f t="shared" si="221"/>
        <v>0.38250000000000001</v>
      </c>
      <c r="O140" s="4">
        <f t="shared" si="222"/>
        <v>0.375</v>
      </c>
      <c r="P140" s="9">
        <f t="shared" si="223"/>
        <v>0.99</v>
      </c>
      <c r="Q140" s="5">
        <f t="shared" si="229"/>
        <v>36676</v>
      </c>
      <c r="R140" s="4">
        <f t="shared" si="224"/>
        <v>0</v>
      </c>
      <c r="S140" s="160">
        <f>_xll.xSPRDOPT($L140,$J140,$I140,$M140,$O140,$N140,$P140,$Q140-$C$3,$R140,0)</f>
        <v>2.3496417036198869E-2</v>
      </c>
      <c r="T140" s="161">
        <f>_xll.xSPRDOPT($L140,$J140,$I140,$M140,$O140,$N140,$P140,$Q140-$C$3,$R140,1)*H140</f>
        <v>223516.75524758073</v>
      </c>
      <c r="U140" s="162">
        <f t="shared" si="225"/>
        <v>-11748.208518099435</v>
      </c>
      <c r="V140" s="161">
        <f>_xll.xSPRDOPT($L140,$J140,$I140,$M140,$O140,$N140,$P140,$Q140-$C$3,$R140,2)*H140</f>
        <v>-226524.27849255424</v>
      </c>
      <c r="W140" s="161">
        <f t="shared" si="226"/>
        <v>-3007.5232449735049</v>
      </c>
      <c r="X140" s="51" t="str">
        <f t="shared" si="227"/>
        <v>36678IF-TRANSCO/Z6</v>
      </c>
      <c r="Y140" s="431">
        <f t="shared" si="228"/>
        <v>-50</v>
      </c>
      <c r="AA140" s="41">
        <f t="shared" si="234"/>
        <v>40238</v>
      </c>
      <c r="AB140" s="43">
        <f t="shared" si="238"/>
        <v>0</v>
      </c>
      <c r="AC140" s="43">
        <f t="shared" si="238"/>
        <v>0</v>
      </c>
      <c r="AD140" s="43">
        <f t="shared" si="238"/>
        <v>0</v>
      </c>
      <c r="AE140" s="43">
        <f t="shared" si="238"/>
        <v>0</v>
      </c>
      <c r="AF140" s="44">
        <f t="shared" si="238"/>
        <v>0</v>
      </c>
      <c r="AG140" s="44">
        <f t="shared" si="238"/>
        <v>0</v>
      </c>
      <c r="AH140" s="41">
        <f t="shared" si="235"/>
        <v>40238</v>
      </c>
      <c r="AI140" s="44">
        <f t="shared" si="137"/>
        <v>0</v>
      </c>
      <c r="AK140" s="41">
        <f t="shared" si="236"/>
        <v>40238</v>
      </c>
      <c r="AL140" s="43">
        <f t="shared" si="239"/>
        <v>0</v>
      </c>
      <c r="AM140" s="43">
        <f t="shared" si="239"/>
        <v>0</v>
      </c>
      <c r="AN140" s="43">
        <f t="shared" si="239"/>
        <v>0</v>
      </c>
      <c r="AO140" s="43">
        <f t="shared" si="239"/>
        <v>0</v>
      </c>
      <c r="AP140" s="44">
        <f t="shared" si="239"/>
        <v>0</v>
      </c>
      <c r="AQ140" s="44">
        <f t="shared" si="239"/>
        <v>0</v>
      </c>
      <c r="AR140" s="41">
        <f t="shared" si="237"/>
        <v>40238</v>
      </c>
      <c r="AS140" s="44">
        <f t="shared" si="138"/>
        <v>0</v>
      </c>
      <c r="BB140" s="142">
        <f t="shared" si="196"/>
        <v>36678</v>
      </c>
      <c r="BC140" s="238">
        <f>_xll.xSPRDOPT((VLOOKUP(G140,NGPrices,2,FALSE)+HLOOKUP(D140,Prices,VLOOKUP(G140,move_down,2,FALSE),FALSE)),VLOOKUP(G140,NGPrices,2,FALSE),I140,VLOOKUP(G140,NGPREVPRICES,4,FALSE),HLOOKUP(D140,PREVVOLS,VLOOKUP(G140,MOVE_DOWN2,2,FALSE),FALSE),VLOOKUP(G140,NGPREVPRICES,3,FALSE),HLOOKUP(D140,Correllate,VLOOKUP(G140,CorMove,2,FALSE),FALSE),Q140-$BC$3,R140,$BC$5)*H140-BI140</f>
        <v>4101.6914178131356</v>
      </c>
      <c r="BD140" s="238">
        <f>_xll.xSPRDOPT((VLOOKUP(G140,NGPREVPRICES,2,FALSE)+HLOOKUP(D140,PREVCURVES,VLOOKUP(G140,MOVE_DOWN2,2,FALSE),FALSE)),VLOOKUP(G140,NGPREVPRICES,2,FALSE),BJ140,VLOOKUP(G140,NGPrices,4,FALSE),HLOOKUP(D140,PREVVOLS,VLOOKUP(G140,MOVE_DOWN2,2,FALSE),FALSE),VLOOKUP(G140,NGPREVPRICES,3,FALSE),HLOOKUP(D140,Correllate,VLOOKUP(G140,CorMove,2,FALSE),FALSE),Q140-$BC$3,R140,$BI$5)*H140-BI140</f>
        <v>5.0716559451757348E-2</v>
      </c>
      <c r="BE140" s="10">
        <f t="shared" si="197"/>
        <v>2.7247572957530792</v>
      </c>
      <c r="BF140" s="238">
        <f>_xll.xSPRDOPT((VLOOKUP(G140,NGPREVPRICES,2,FALSE)+HLOOKUP(D140,PREVCURVES,VLOOKUP(G140,MOVE_DOWN2,2,FALSE),FALSE)),VLOOKUP(G140,NGPREVPRICES,2,FALSE),BJ140,VLOOKUP(G140,NGPREVPRICES,4,FALSE),HLOOKUP(D140,VOLS,VLOOKUP(G140,move_down,2,FALSE),FALSE),VLOOKUP(G140,NGPrices,3,FALSE),HLOOKUP(D140,Correllate,VLOOKUP(G140,CorMove,2,FALSE),FALSE),Q140-$BC$3,R140,$BI$5)*H140-BI140</f>
        <v>-377.76018989932345</v>
      </c>
      <c r="BG140" s="238">
        <f>_xll.xSPRDOPT((VLOOKUP(G140,NGPREVPRICES,2,FALSE)+HLOOKUP(D140,PREVCURVES,VLOOKUP(G140,MOVE_DOWN2,2,FALSE),FALSE)),VLOOKUP(G140,NGPREVPRICES,2,FALSE),BJ140,VLOOKUP(G140,NGPREVPRICES,4,FALSE),HLOOKUP(D140,PREVVOLS,VLOOKUP(G140,MOVE_DOWN2,2,FALSE),FALSE),VLOOKUP(G140,NGPREVPRICES,3,FALSE),HLOOKUP(D140,Correllate,VLOOKUP(G140,CorMove,2,FALSE),FALSE),Q140-$C$3,R140,$BI$5)*H140-BI140</f>
        <v>428.26772866746978</v>
      </c>
      <c r="BH140" s="238">
        <f t="shared" si="198"/>
        <v>4154.9744304364867</v>
      </c>
      <c r="BI140" s="238">
        <f>_xll.xSPRDOPT((VLOOKUP(G140,NGPREVPRICES,2,FALSE)+HLOOKUP(D140,PREVCURVES,VLOOKUP(G140,MOVE_DOWN2,2,FALSE),FALSE)),VLOOKUP(G140,NGPREVPRICES,2,FALSE),BJ140,VLOOKUP(G140,NGPREVPRICES,4,FALSE),HLOOKUP(D140,PREVVOLS,VLOOKUP(G140,MOVE_DOWN2,2,FALSE),FALSE),VLOOKUP(G140,NGPREVPRICES,3,FALSE),HLOOKUP(D140,Correllate,VLOOKUP(G140,CorMove,2,FALSE),FALSE),Q140-$BC$3,R140,$BI$5)*H140</f>
        <v>-15917.438987543608</v>
      </c>
      <c r="BJ140" s="239">
        <f t="shared" si="199"/>
        <v>0.3</v>
      </c>
      <c r="BL140" t="str">
        <f t="shared" si="200"/>
        <v>36678Curve Shift/Gamma</v>
      </c>
      <c r="BM140" t="str">
        <f t="shared" si="230"/>
        <v>36678Rho</v>
      </c>
      <c r="BN140" t="str">
        <f t="shared" si="231"/>
        <v>36678Drift</v>
      </c>
      <c r="BO140" t="str">
        <f t="shared" si="232"/>
        <v>36678Vega</v>
      </c>
      <c r="BP140" t="str">
        <f t="shared" si="233"/>
        <v>36678Theta</v>
      </c>
    </row>
    <row r="141" spans="1:68" ht="12" customHeight="1" x14ac:dyDescent="0.25">
      <c r="A141" s="395" t="s">
        <v>282</v>
      </c>
      <c r="B141" t="s">
        <v>253</v>
      </c>
      <c r="C141" t="s">
        <v>311</v>
      </c>
      <c r="D141" s="4" t="s">
        <v>7</v>
      </c>
      <c r="E141" t="s">
        <v>20</v>
      </c>
      <c r="F141" t="s">
        <v>1</v>
      </c>
      <c r="G141" s="5">
        <v>36708</v>
      </c>
      <c r="H141" s="130">
        <v>-500000</v>
      </c>
      <c r="I141">
        <v>0.3</v>
      </c>
      <c r="J141" s="53">
        <f t="shared" si="217"/>
        <v>3.181</v>
      </c>
      <c r="K141" s="7">
        <f t="shared" si="218"/>
        <v>0.34499999999999997</v>
      </c>
      <c r="L141" s="4">
        <f t="shared" si="219"/>
        <v>3.5259999999999998</v>
      </c>
      <c r="M141" s="159">
        <f t="shared" si="220"/>
        <v>6.3695649345076003E-2</v>
      </c>
      <c r="N141" s="4">
        <f t="shared" si="221"/>
        <v>0.39500000000000002</v>
      </c>
      <c r="O141" s="4">
        <f t="shared" si="222"/>
        <v>0.38700000000000001</v>
      </c>
      <c r="P141" s="9">
        <f t="shared" si="223"/>
        <v>0.99</v>
      </c>
      <c r="Q141" s="5">
        <f t="shared" si="229"/>
        <v>36706</v>
      </c>
      <c r="R141" s="4">
        <f t="shared" si="224"/>
        <v>0</v>
      </c>
      <c r="S141" s="160">
        <f>_xll.xSPRDOPT($L141,$J141,$I141,$M141,$O141,$N141,$P141,$Q141-$C$3,$R141,0)</f>
        <v>1.8529301543263099E-2</v>
      </c>
      <c r="T141" s="161">
        <f>_xll.xSPRDOPT($L141,$J141,$I141,$M141,$O141,$N141,$P141,$Q141-$C$3,$R141,1)*H141</f>
        <v>151304.23756103133</v>
      </c>
      <c r="U141" s="162">
        <f t="shared" si="225"/>
        <v>-9264.65077163155</v>
      </c>
      <c r="V141" s="161">
        <f>_xll.xSPRDOPT($L141,$J141,$I141,$M141,$O141,$N141,$P141,$Q141-$C$3,$R141,2)*H141</f>
        <v>-154859.62404129017</v>
      </c>
      <c r="W141" s="161">
        <f t="shared" si="226"/>
        <v>-3555.3864802588359</v>
      </c>
      <c r="X141" s="51" t="str">
        <f t="shared" si="227"/>
        <v>36708IF-TRANSCO/Z6</v>
      </c>
      <c r="Y141" s="431">
        <f t="shared" si="228"/>
        <v>-50</v>
      </c>
      <c r="AA141" s="41">
        <f t="shared" si="234"/>
        <v>40269</v>
      </c>
      <c r="AB141" s="43">
        <f t="shared" si="238"/>
        <v>0</v>
      </c>
      <c r="AC141" s="43">
        <f t="shared" si="238"/>
        <v>0</v>
      </c>
      <c r="AD141" s="43">
        <f t="shared" si="238"/>
        <v>0</v>
      </c>
      <c r="AE141" s="43">
        <f t="shared" si="238"/>
        <v>0</v>
      </c>
      <c r="AF141" s="44">
        <f t="shared" si="238"/>
        <v>0</v>
      </c>
      <c r="AG141" s="44">
        <f t="shared" si="238"/>
        <v>0</v>
      </c>
      <c r="AH141" s="41">
        <f t="shared" si="235"/>
        <v>40269</v>
      </c>
      <c r="AI141" s="44">
        <f t="shared" si="137"/>
        <v>0</v>
      </c>
      <c r="AK141" s="41">
        <f t="shared" si="236"/>
        <v>40269</v>
      </c>
      <c r="AL141" s="43">
        <f t="shared" si="239"/>
        <v>0</v>
      </c>
      <c r="AM141" s="43">
        <f t="shared" si="239"/>
        <v>0</v>
      </c>
      <c r="AN141" s="43">
        <f t="shared" si="239"/>
        <v>0</v>
      </c>
      <c r="AO141" s="43">
        <f t="shared" si="239"/>
        <v>0</v>
      </c>
      <c r="AP141" s="44">
        <f t="shared" si="239"/>
        <v>0</v>
      </c>
      <c r="AQ141" s="44">
        <f t="shared" si="239"/>
        <v>0</v>
      </c>
      <c r="AR141" s="41">
        <f t="shared" si="237"/>
        <v>40269</v>
      </c>
      <c r="AS141" s="44">
        <f t="shared" si="138"/>
        <v>0</v>
      </c>
      <c r="BB141" s="142">
        <f t="shared" si="196"/>
        <v>36708</v>
      </c>
      <c r="BC141" s="238">
        <f>_xll.xSPRDOPT((VLOOKUP(G141,NGPrices,2,FALSE)+HLOOKUP(D141,Prices,VLOOKUP(G141,move_down,2,FALSE),FALSE)),VLOOKUP(G141,NGPrices,2,FALSE),I141,VLOOKUP(G141,NGPREVPRICES,4,FALSE),HLOOKUP(D141,PREVVOLS,VLOOKUP(G141,MOVE_DOWN2,2,FALSE),FALSE),VLOOKUP(G141,NGPREVPRICES,3,FALSE),HLOOKUP(D141,Correllate,VLOOKUP(G141,CorMove,2,FALSE),FALSE),Q141-$BC$3,R141,$BC$5)*H141-BI141</f>
        <v>2177.4532463167961</v>
      </c>
      <c r="BD141" s="238">
        <f>_xll.xSPRDOPT((VLOOKUP(G141,NGPREVPRICES,2,FALSE)+HLOOKUP(D141,PREVCURVES,VLOOKUP(G141,MOVE_DOWN2,2,FALSE),FALSE)),VLOOKUP(G141,NGPREVPRICES,2,FALSE),BJ141,VLOOKUP(G141,NGPrices,4,FALSE),HLOOKUP(D141,PREVVOLS,VLOOKUP(G141,MOVE_DOWN2,2,FALSE),FALSE),VLOOKUP(G141,NGPREVPRICES,3,FALSE),HLOOKUP(D141,Correllate,VLOOKUP(G141,CorMove,2,FALSE),FALSE),Q141-$BC$3,R141,$BI$5)*H141-BI141</f>
        <v>0.10784863538356149</v>
      </c>
      <c r="BE141" s="10">
        <f t="shared" si="197"/>
        <v>1.9671089402290818</v>
      </c>
      <c r="BF141" s="238">
        <f>_xll.xSPRDOPT((VLOOKUP(G141,NGPREVPRICES,2,FALSE)+HLOOKUP(D141,PREVCURVES,VLOOKUP(G141,MOVE_DOWN2,2,FALSE),FALSE)),VLOOKUP(G141,NGPREVPRICES,2,FALSE),BJ141,VLOOKUP(G141,NGPREVPRICES,4,FALSE),HLOOKUP(D141,VOLS,VLOOKUP(G141,move_down,2,FALSE),FALSE),VLOOKUP(G141,NGPrices,3,FALSE),HLOOKUP(D141,Correllate,VLOOKUP(G141,CorMove,2,FALSE),FALSE),Q141-$BC$3,R141,$BI$5)*H141-BI141</f>
        <v>-469.24164709016804</v>
      </c>
      <c r="BG141" s="238">
        <f>_xll.xSPRDOPT((VLOOKUP(G141,NGPREVPRICES,2,FALSE)+HLOOKUP(D141,PREVCURVES,VLOOKUP(G141,MOVE_DOWN2,2,FALSE),FALSE)),VLOOKUP(G141,NGPREVPRICES,2,FALSE),BJ141,VLOOKUP(G141,NGPREVPRICES,4,FALSE),HLOOKUP(D141,PREVVOLS,VLOOKUP(G141,MOVE_DOWN2,2,FALSE),FALSE),VLOOKUP(G141,NGPREVPRICES,3,FALSE),HLOOKUP(D141,Correllate,VLOOKUP(G141,CorMove,2,FALSE),FALSE),Q141-$C$3,R141,$BI$5)*H141-BI141</f>
        <v>329.51291976876564</v>
      </c>
      <c r="BH141" s="238">
        <f t="shared" si="198"/>
        <v>2039.7994765710064</v>
      </c>
      <c r="BI141" s="238">
        <f>_xll.xSPRDOPT((VLOOKUP(G141,NGPREVPRICES,2,FALSE)+HLOOKUP(D141,PREVCURVES,VLOOKUP(G141,MOVE_DOWN2,2,FALSE),FALSE)),VLOOKUP(G141,NGPREVPRICES,2,FALSE),BJ141,VLOOKUP(G141,NGPREVPRICES,4,FALSE),HLOOKUP(D141,PREVVOLS,VLOOKUP(G141,MOVE_DOWN2,2,FALSE),FALSE),VLOOKUP(G141,NGPREVPRICES,3,FALSE),HLOOKUP(D141,Correllate,VLOOKUP(G141,CorMove,2,FALSE),FALSE),Q141-$BC$3,R141,$BI$5)*H141</f>
        <v>-11319.233618600489</v>
      </c>
      <c r="BJ141" s="239">
        <f t="shared" si="199"/>
        <v>0.3</v>
      </c>
      <c r="BL141" t="str">
        <f t="shared" si="200"/>
        <v>36708Curve Shift/Gamma</v>
      </c>
      <c r="BM141" t="str">
        <f t="shared" si="230"/>
        <v>36708Rho</v>
      </c>
      <c r="BN141" t="str">
        <f t="shared" si="231"/>
        <v>36708Drift</v>
      </c>
      <c r="BO141" t="str">
        <f t="shared" si="232"/>
        <v>36708Vega</v>
      </c>
      <c r="BP141" t="str">
        <f t="shared" si="233"/>
        <v>36708Theta</v>
      </c>
    </row>
    <row r="142" spans="1:68" ht="12" customHeight="1" x14ac:dyDescent="0.25">
      <c r="A142" s="395" t="s">
        <v>282</v>
      </c>
      <c r="B142" t="s">
        <v>253</v>
      </c>
      <c r="C142" t="s">
        <v>311</v>
      </c>
      <c r="D142" s="4" t="s">
        <v>7</v>
      </c>
      <c r="E142" t="s">
        <v>20</v>
      </c>
      <c r="F142" t="s">
        <v>1</v>
      </c>
      <c r="G142" s="5">
        <v>36739</v>
      </c>
      <c r="H142" s="130">
        <v>-500000</v>
      </c>
      <c r="I142">
        <v>0.3</v>
      </c>
      <c r="J142" s="53">
        <f t="shared" si="217"/>
        <v>3.1829999999999998</v>
      </c>
      <c r="K142" s="7">
        <f t="shared" si="218"/>
        <v>0.34499999999999997</v>
      </c>
      <c r="L142" s="4">
        <f t="shared" si="219"/>
        <v>3.5279999999999996</v>
      </c>
      <c r="M142" s="159">
        <f t="shared" si="220"/>
        <v>6.4500399973534003E-2</v>
      </c>
      <c r="N142" s="4">
        <f t="shared" si="221"/>
        <v>0.41249999999999998</v>
      </c>
      <c r="O142" s="4">
        <f t="shared" si="222"/>
        <v>0.40400000000000003</v>
      </c>
      <c r="P142" s="9">
        <f t="shared" si="223"/>
        <v>0.99</v>
      </c>
      <c r="Q142" s="5">
        <f t="shared" si="229"/>
        <v>36735</v>
      </c>
      <c r="R142" s="4">
        <f t="shared" si="224"/>
        <v>0</v>
      </c>
      <c r="S142" s="160">
        <f>_xll.xSPRDOPT($L142,$J142,$I142,$M142,$O142,$N142,$P142,$Q142-$C$3,$R142,0)</f>
        <v>2.6173408651577523E-2</v>
      </c>
      <c r="T142" s="161">
        <f>_xll.xSPRDOPT($L142,$J142,$I142,$M142,$O142,$N142,$P142,$Q142-$C$3,$R142,1)*H142</f>
        <v>165885.18343786994</v>
      </c>
      <c r="U142" s="162">
        <f t="shared" si="225"/>
        <v>-13086.704325788762</v>
      </c>
      <c r="V142" s="161">
        <f>_xll.xSPRDOPT($L142,$J142,$I142,$M142,$O142,$N142,$P142,$Q142-$C$3,$R142,2)*H142</f>
        <v>-170435.38994647344</v>
      </c>
      <c r="W142" s="161">
        <f t="shared" si="226"/>
        <v>-4550.2065086035</v>
      </c>
      <c r="X142" s="51" t="str">
        <f t="shared" si="227"/>
        <v>36739IF-TRANSCO/Z6</v>
      </c>
      <c r="Y142" s="431">
        <f t="shared" si="228"/>
        <v>-50</v>
      </c>
      <c r="Z142" s="51"/>
      <c r="AA142" s="41">
        <f t="shared" si="234"/>
        <v>40299</v>
      </c>
      <c r="AB142" s="43">
        <f t="shared" si="238"/>
        <v>0</v>
      </c>
      <c r="AC142" s="43">
        <f t="shared" si="238"/>
        <v>0</v>
      </c>
      <c r="AD142" s="43">
        <f t="shared" si="238"/>
        <v>0</v>
      </c>
      <c r="AE142" s="43">
        <f t="shared" si="238"/>
        <v>0</v>
      </c>
      <c r="AF142" s="44">
        <f t="shared" si="238"/>
        <v>0</v>
      </c>
      <c r="AG142" s="44">
        <f t="shared" si="238"/>
        <v>0</v>
      </c>
      <c r="AH142" s="41">
        <f t="shared" si="235"/>
        <v>40299</v>
      </c>
      <c r="AI142" s="44">
        <f t="shared" ref="AI142:AI167" si="240">SUM(AB142:AG142)</f>
        <v>0</v>
      </c>
      <c r="AK142" s="41">
        <f t="shared" si="236"/>
        <v>40299</v>
      </c>
      <c r="AL142" s="43">
        <f t="shared" si="239"/>
        <v>0</v>
      </c>
      <c r="AM142" s="43">
        <f t="shared" si="239"/>
        <v>0</v>
      </c>
      <c r="AN142" s="43">
        <f t="shared" si="239"/>
        <v>0</v>
      </c>
      <c r="AO142" s="43">
        <f t="shared" si="239"/>
        <v>0</v>
      </c>
      <c r="AP142" s="44">
        <f t="shared" si="239"/>
        <v>0</v>
      </c>
      <c r="AQ142" s="44">
        <f t="shared" si="239"/>
        <v>0</v>
      </c>
      <c r="AR142" s="41">
        <f t="shared" si="237"/>
        <v>40299</v>
      </c>
      <c r="AS142" s="44">
        <f t="shared" ref="AS142:AS167" si="241">SUM(AL142:AQ142)</f>
        <v>0</v>
      </c>
      <c r="BB142" s="142">
        <f t="shared" si="196"/>
        <v>36739</v>
      </c>
      <c r="BC142" s="238">
        <f>_xll.xSPRDOPT((VLOOKUP(G142,NGPrices,2,FALSE)+HLOOKUP(D142,Prices,VLOOKUP(G142,move_down,2,FALSE),FALSE)),VLOOKUP(G142,NGPrices,2,FALSE),I142,VLOOKUP(G142,NGPREVPRICES,4,FALSE),HLOOKUP(D142,PREVVOLS,VLOOKUP(G142,MOVE_DOWN2,2,FALSE),FALSE),VLOOKUP(G142,NGPREVPRICES,3,FALSE),HLOOKUP(D142,Correllate,VLOOKUP(G142,CorMove,2,FALSE),FALSE),Q142-$BC$3,R142,$BC$5)*H142-BI142</f>
        <v>2289.3393378187193</v>
      </c>
      <c r="BD142" s="238">
        <f>_xll.xSPRDOPT((VLOOKUP(G142,NGPREVPRICES,2,FALSE)+HLOOKUP(D142,PREVCURVES,VLOOKUP(G142,MOVE_DOWN2,2,FALSE),FALSE)),VLOOKUP(G142,NGPREVPRICES,2,FALSE),BJ142,VLOOKUP(G142,NGPrices,4,FALSE),HLOOKUP(D142,PREVVOLS,VLOOKUP(G142,MOVE_DOWN2,2,FALSE),FALSE),VLOOKUP(G142,NGPREVPRICES,3,FALSE),HLOOKUP(D142,Correllate,VLOOKUP(G142,CorMove,2,FALSE),FALSE),Q142-$BC$3,R142,$BI$5)*H142-BI142</f>
        <v>0.11330996313517971</v>
      </c>
      <c r="BE142" s="10">
        <f t="shared" si="197"/>
        <v>2.6769424308513408</v>
      </c>
      <c r="BF142" s="238">
        <f>_xll.xSPRDOPT((VLOOKUP(G142,NGPREVPRICES,2,FALSE)+HLOOKUP(D142,PREVCURVES,VLOOKUP(G142,MOVE_DOWN2,2,FALSE),FALSE)),VLOOKUP(G142,NGPREVPRICES,2,FALSE),BJ142,VLOOKUP(G142,NGPREVPRICES,4,FALSE),HLOOKUP(D142,VOLS,VLOOKUP(G142,move_down,2,FALSE),FALSE),VLOOKUP(G142,NGPrices,3,FALSE),HLOOKUP(D142,Correllate,VLOOKUP(G142,CorMove,2,FALSE),FALSE),Q142-$BC$3,R142,$BI$5)*H142-BI142</f>
        <v>-559.85931287949461</v>
      </c>
      <c r="BG142" s="238">
        <f>_xll.xSPRDOPT((VLOOKUP(G142,NGPREVPRICES,2,FALSE)+HLOOKUP(D142,PREVCURVES,VLOOKUP(G142,MOVE_DOWN2,2,FALSE),FALSE)),VLOOKUP(G142,NGPREVPRICES,2,FALSE),BJ142,VLOOKUP(G142,NGPREVPRICES,4,FALSE),HLOOKUP(D142,PREVVOLS,VLOOKUP(G142,MOVE_DOWN2,2,FALSE),FALSE),VLOOKUP(G142,NGPREVPRICES,3,FALSE),HLOOKUP(D142,Correllate,VLOOKUP(G142,CorMove,2,FALSE),FALSE),Q142-$C$3,R142,$BI$5)*H142-BI142</f>
        <v>294.17712363857936</v>
      </c>
      <c r="BH142" s="238">
        <f t="shared" si="198"/>
        <v>2026.4474009717906</v>
      </c>
      <c r="BI142" s="238">
        <f>_xll.xSPRDOPT((VLOOKUP(G142,NGPREVPRICES,2,FALSE)+HLOOKUP(D142,PREVCURVES,VLOOKUP(G142,MOVE_DOWN2,2,FALSE),FALSE)),VLOOKUP(G142,NGPREVPRICES,2,FALSE),BJ142,VLOOKUP(G142,NGPREVPRICES,4,FALSE),HLOOKUP(D142,PREVVOLS,VLOOKUP(G142,MOVE_DOWN2,2,FALSE),FALSE),VLOOKUP(G142,NGPREVPRICES,3,FALSE),HLOOKUP(D142,Correllate,VLOOKUP(G142,CorMove,2,FALSE),FALSE),Q142-$BC$3,R142,$BI$5)*H142</f>
        <v>-15125.670191400737</v>
      </c>
      <c r="BJ142" s="239">
        <f t="shared" si="199"/>
        <v>0.3</v>
      </c>
      <c r="BL142" t="str">
        <f t="shared" si="200"/>
        <v>36739Curve Shift/Gamma</v>
      </c>
      <c r="BM142" t="str">
        <f t="shared" si="230"/>
        <v>36739Rho</v>
      </c>
      <c r="BN142" t="str">
        <f t="shared" si="231"/>
        <v>36739Drift</v>
      </c>
      <c r="BO142" t="str">
        <f t="shared" si="232"/>
        <v>36739Vega</v>
      </c>
      <c r="BP142" t="str">
        <f t="shared" si="233"/>
        <v>36739Theta</v>
      </c>
    </row>
    <row r="143" spans="1:68" ht="12" customHeight="1" x14ac:dyDescent="0.25">
      <c r="A143" s="395" t="s">
        <v>282</v>
      </c>
      <c r="B143" t="s">
        <v>253</v>
      </c>
      <c r="C143" t="s">
        <v>311</v>
      </c>
      <c r="D143" s="4" t="s">
        <v>7</v>
      </c>
      <c r="E143" t="s">
        <v>20</v>
      </c>
      <c r="F143" t="s">
        <v>1</v>
      </c>
      <c r="G143" s="5">
        <v>36770</v>
      </c>
      <c r="H143" s="130">
        <v>-500000</v>
      </c>
      <c r="I143">
        <v>0.3</v>
      </c>
      <c r="J143" s="53">
        <f t="shared" si="217"/>
        <v>3.173</v>
      </c>
      <c r="K143" s="7">
        <f t="shared" si="218"/>
        <v>0.315</v>
      </c>
      <c r="L143" s="4">
        <f t="shared" si="219"/>
        <v>3.488</v>
      </c>
      <c r="M143" s="159">
        <f t="shared" si="220"/>
        <v>6.5221012015626995E-2</v>
      </c>
      <c r="N143" s="4">
        <f t="shared" si="221"/>
        <v>0.42</v>
      </c>
      <c r="O143" s="4">
        <f t="shared" si="222"/>
        <v>0.41199999999999998</v>
      </c>
      <c r="P143" s="9">
        <f t="shared" si="223"/>
        <v>0.99</v>
      </c>
      <c r="Q143" s="5">
        <f t="shared" si="229"/>
        <v>36768</v>
      </c>
      <c r="R143" s="4">
        <f t="shared" si="224"/>
        <v>0</v>
      </c>
      <c r="S143" s="160">
        <f>_xll.xSPRDOPT($L143,$J143,$I143,$M143,$O143,$N143,$P143,$Q143-$C$3,$R143,0)</f>
        <v>4.507496139633016E-2</v>
      </c>
      <c r="T143" s="161">
        <f>_xll.xSPRDOPT($L143,$J143,$I143,$M143,$O143,$N143,$P143,$Q143-$C$3,$R143,1)*H143</f>
        <v>216512.33806238667</v>
      </c>
      <c r="U143" s="162">
        <f t="shared" si="225"/>
        <v>-22537.48069816508</v>
      </c>
      <c r="V143" s="161">
        <f>_xll.xSPRDOPT($L143,$J143,$I143,$M143,$O143,$N143,$P143,$Q143-$C$3,$R143,2)*H143</f>
        <v>-222263.94520242122</v>
      </c>
      <c r="W143" s="161">
        <f t="shared" si="226"/>
        <v>-5751.6071400345536</v>
      </c>
      <c r="X143" s="51" t="str">
        <f t="shared" si="227"/>
        <v>36770IF-TRANSCO/Z6</v>
      </c>
      <c r="Y143" s="431">
        <f t="shared" si="228"/>
        <v>-50</v>
      </c>
      <c r="Z143" s="51"/>
      <c r="AA143" s="41">
        <f t="shared" si="234"/>
        <v>40330</v>
      </c>
      <c r="AB143" s="43">
        <f t="shared" si="238"/>
        <v>0</v>
      </c>
      <c r="AC143" s="43">
        <f t="shared" si="238"/>
        <v>0</v>
      </c>
      <c r="AD143" s="43">
        <f t="shared" si="238"/>
        <v>0</v>
      </c>
      <c r="AE143" s="43">
        <f t="shared" si="238"/>
        <v>0</v>
      </c>
      <c r="AF143" s="44">
        <f t="shared" si="238"/>
        <v>0</v>
      </c>
      <c r="AG143" s="44">
        <f t="shared" si="238"/>
        <v>0</v>
      </c>
      <c r="AH143" s="41">
        <f t="shared" si="235"/>
        <v>40330</v>
      </c>
      <c r="AI143" s="44">
        <f t="shared" si="240"/>
        <v>0</v>
      </c>
      <c r="AK143" s="41">
        <f t="shared" si="236"/>
        <v>40330</v>
      </c>
      <c r="AL143" s="43">
        <f t="shared" si="239"/>
        <v>0</v>
      </c>
      <c r="AM143" s="43">
        <f t="shared" si="239"/>
        <v>0</v>
      </c>
      <c r="AN143" s="43">
        <f t="shared" si="239"/>
        <v>0</v>
      </c>
      <c r="AO143" s="43">
        <f t="shared" si="239"/>
        <v>0</v>
      </c>
      <c r="AP143" s="44">
        <f t="shared" si="239"/>
        <v>0</v>
      </c>
      <c r="AQ143" s="44">
        <f t="shared" si="239"/>
        <v>0</v>
      </c>
      <c r="AR143" s="41">
        <f t="shared" si="237"/>
        <v>40330</v>
      </c>
      <c r="AS143" s="44">
        <f t="shared" si="241"/>
        <v>0</v>
      </c>
      <c r="BB143" s="142">
        <f t="shared" si="196"/>
        <v>36770</v>
      </c>
      <c r="BC143" s="238">
        <f>_xll.xSPRDOPT((VLOOKUP(G143,NGPrices,2,FALSE)+HLOOKUP(D143,Prices,VLOOKUP(G143,move_down,2,FALSE),FALSE)),VLOOKUP(G143,NGPrices,2,FALSE),I143,VLOOKUP(G143,NGPREVPRICES,4,FALSE),HLOOKUP(D143,PREVVOLS,VLOOKUP(G143,MOVE_DOWN2,2,FALSE),FALSE),VLOOKUP(G143,NGPREVPRICES,3,FALSE),HLOOKUP(D143,Correllate,VLOOKUP(G143,CorMove,2,FALSE),FALSE),Q143-$BC$3,R143,$BC$5)*H143-BI143</f>
        <v>3568.164050347099</v>
      </c>
      <c r="BD143" s="238">
        <f>_xll.xSPRDOPT((VLOOKUP(G143,NGPREVPRICES,2,FALSE)+HLOOKUP(D143,PREVCURVES,VLOOKUP(G143,MOVE_DOWN2,2,FALSE),FALSE)),VLOOKUP(G143,NGPREVPRICES,2,FALSE),BJ143,VLOOKUP(G143,NGPrices,4,FALSE),HLOOKUP(D143,PREVVOLS,VLOOKUP(G143,MOVE_DOWN2,2,FALSE),FALSE),VLOOKUP(G143,NGPREVPRICES,3,FALSE),HLOOKUP(D143,Correllate,VLOOKUP(G143,CorMove,2,FALSE),FALSE),Q143-$BC$3,R143,$BI$5)*H143-BI143</f>
        <v>-4.2962884053849848E-2</v>
      </c>
      <c r="BE143" s="10">
        <f t="shared" si="197"/>
        <v>4.629398258857691</v>
      </c>
      <c r="BF143" s="238">
        <f>_xll.xSPRDOPT((VLOOKUP(G143,NGPREVPRICES,2,FALSE)+HLOOKUP(D143,PREVCURVES,VLOOKUP(G143,MOVE_DOWN2,2,FALSE),FALSE)),VLOOKUP(G143,NGPREVPRICES,2,FALSE),BJ143,VLOOKUP(G143,NGPREVPRICES,4,FALSE),HLOOKUP(D143,VOLS,VLOOKUP(G143,move_down,2,FALSE),FALSE),VLOOKUP(G143,NGPrices,3,FALSE),HLOOKUP(D143,Correllate,VLOOKUP(G143,CorMove,2,FALSE),FALSE),Q143-$BC$3,R143,$BI$5)*H143-BI143</f>
        <v>-655.80277617227694</v>
      </c>
      <c r="BG143" s="238">
        <f>_xll.xSPRDOPT((VLOOKUP(G143,NGPREVPRICES,2,FALSE)+HLOOKUP(D143,PREVCURVES,VLOOKUP(G143,MOVE_DOWN2,2,FALSE),FALSE)),VLOOKUP(G143,NGPREVPRICES,2,FALSE),BJ143,VLOOKUP(G143,NGPREVPRICES,4,FALSE),HLOOKUP(D143,PREVVOLS,VLOOKUP(G143,MOVE_DOWN2,2,FALSE),FALSE),VLOOKUP(G143,NGPREVPRICES,3,FALSE),HLOOKUP(D143,Correllate,VLOOKUP(G143,CorMove,2,FALSE),FALSE),Q143-$C$3,R143,$BI$5)*H143-BI143</f>
        <v>262.05773776713613</v>
      </c>
      <c r="BH143" s="238">
        <f t="shared" si="198"/>
        <v>3179.005447316762</v>
      </c>
      <c r="BI143" s="238">
        <f>_xll.xSPRDOPT((VLOOKUP(G143,NGPREVPRICES,2,FALSE)+HLOOKUP(D143,PREVCURVES,VLOOKUP(G143,MOVE_DOWN2,2,FALSE),FALSE)),VLOOKUP(G143,NGPREVPRICES,2,FALSE),BJ143,VLOOKUP(G143,NGPREVPRICES,4,FALSE),HLOOKUP(D143,PREVVOLS,VLOOKUP(G143,MOVE_DOWN2,2,FALSE),FALSE),VLOOKUP(G143,NGPREVPRICES,3,FALSE),HLOOKUP(D143,Correllate,VLOOKUP(G143,CorMove,2,FALSE),FALSE),Q143-$BC$3,R143,$BI$5)*H143</f>
        <v>-25715.295339944794</v>
      </c>
      <c r="BJ143" s="239">
        <f t="shared" si="199"/>
        <v>0.3</v>
      </c>
      <c r="BL143" t="str">
        <f t="shared" si="200"/>
        <v>36770Curve Shift/Gamma</v>
      </c>
      <c r="BM143" t="str">
        <f t="shared" si="230"/>
        <v>36770Rho</v>
      </c>
      <c r="BN143" t="str">
        <f t="shared" si="231"/>
        <v>36770Drift</v>
      </c>
      <c r="BO143" t="str">
        <f t="shared" si="232"/>
        <v>36770Vega</v>
      </c>
      <c r="BP143" t="str">
        <f t="shared" si="233"/>
        <v>36770Theta</v>
      </c>
    </row>
    <row r="144" spans="1:68" ht="12" customHeight="1" x14ac:dyDescent="0.25">
      <c r="A144" s="395" t="s">
        <v>282</v>
      </c>
      <c r="B144" t="s">
        <v>253</v>
      </c>
      <c r="C144" t="s">
        <v>311</v>
      </c>
      <c r="D144" s="4" t="s">
        <v>7</v>
      </c>
      <c r="E144" t="s">
        <v>20</v>
      </c>
      <c r="F144" t="s">
        <v>1</v>
      </c>
      <c r="G144" s="5">
        <v>36800</v>
      </c>
      <c r="H144" s="130">
        <v>-500000</v>
      </c>
      <c r="I144">
        <v>0.3</v>
      </c>
      <c r="J144" s="53">
        <f t="shared" si="217"/>
        <v>3.18</v>
      </c>
      <c r="K144" s="7">
        <f t="shared" si="218"/>
        <v>0.34499999999999997</v>
      </c>
      <c r="L144" s="4">
        <f t="shared" si="219"/>
        <v>3.5250000000000004</v>
      </c>
      <c r="M144" s="159">
        <f t="shared" si="220"/>
        <v>6.5817989695161006E-2</v>
      </c>
      <c r="N144" s="4">
        <f t="shared" si="221"/>
        <v>0.42249999999999999</v>
      </c>
      <c r="O144" s="4">
        <f t="shared" si="222"/>
        <v>0.41399999999999998</v>
      </c>
      <c r="P144" s="9">
        <f t="shared" si="223"/>
        <v>0.99</v>
      </c>
      <c r="Q144" s="5">
        <f t="shared" si="229"/>
        <v>36797</v>
      </c>
      <c r="R144" s="4">
        <f t="shared" si="224"/>
        <v>0</v>
      </c>
      <c r="S144" s="160">
        <f>_xll.xSPRDOPT($L144,$J144,$I144,$M144,$O144,$N144,$P144,$Q144-$C$3,$R144,0)</f>
        <v>3.848557827207022E-2</v>
      </c>
      <c r="T144" s="161">
        <f>_xll.xSPRDOPT($L144,$J144,$I144,$M144,$O144,$N144,$P144,$Q144-$C$3,$R144,1)*H144</f>
        <v>178987.86321277189</v>
      </c>
      <c r="U144" s="162">
        <f t="shared" si="225"/>
        <v>-19242.78913603511</v>
      </c>
      <c r="V144" s="161">
        <f>_xll.xSPRDOPT($L144,$J144,$I144,$M144,$O144,$N144,$P144,$Q144-$C$3,$R144,2)*H144</f>
        <v>-185025.54111741309</v>
      </c>
      <c r="W144" s="161">
        <f t="shared" si="226"/>
        <v>-6037.6779046411975</v>
      </c>
      <c r="X144" s="51" t="str">
        <f t="shared" si="227"/>
        <v>36800IF-TRANSCO/Z6</v>
      </c>
      <c r="Y144" s="431">
        <f t="shared" si="228"/>
        <v>-50</v>
      </c>
      <c r="Z144" s="51"/>
      <c r="AA144" s="41">
        <f t="shared" si="234"/>
        <v>40360</v>
      </c>
      <c r="AB144" s="43">
        <f t="shared" si="238"/>
        <v>0</v>
      </c>
      <c r="AC144" s="43">
        <f t="shared" si="238"/>
        <v>0</v>
      </c>
      <c r="AD144" s="43">
        <f t="shared" si="238"/>
        <v>0</v>
      </c>
      <c r="AE144" s="43">
        <f t="shared" si="238"/>
        <v>0</v>
      </c>
      <c r="AF144" s="44">
        <f t="shared" si="238"/>
        <v>0</v>
      </c>
      <c r="AG144" s="44">
        <f t="shared" si="238"/>
        <v>0</v>
      </c>
      <c r="AH144" s="41">
        <f t="shared" si="235"/>
        <v>40360</v>
      </c>
      <c r="AI144" s="44">
        <f t="shared" si="240"/>
        <v>0</v>
      </c>
      <c r="AK144" s="41">
        <f t="shared" si="236"/>
        <v>40360</v>
      </c>
      <c r="AL144" s="43">
        <f t="shared" si="239"/>
        <v>0</v>
      </c>
      <c r="AM144" s="43">
        <f t="shared" si="239"/>
        <v>0</v>
      </c>
      <c r="AN144" s="43">
        <f t="shared" si="239"/>
        <v>0</v>
      </c>
      <c r="AO144" s="43">
        <f t="shared" si="239"/>
        <v>0</v>
      </c>
      <c r="AP144" s="44">
        <f t="shared" si="239"/>
        <v>0</v>
      </c>
      <c r="AQ144" s="44">
        <f t="shared" si="239"/>
        <v>0</v>
      </c>
      <c r="AR144" s="41">
        <f t="shared" si="237"/>
        <v>40360</v>
      </c>
      <c r="AS144" s="44">
        <f t="shared" si="241"/>
        <v>0</v>
      </c>
      <c r="BB144" s="142">
        <f t="shared" si="196"/>
        <v>36800</v>
      </c>
      <c r="BC144" s="238">
        <f>_xll.xSPRDOPT((VLOOKUP(G144,NGPrices,2,FALSE)+HLOOKUP(D144,Prices,VLOOKUP(G144,move_down,2,FALSE),FALSE)),VLOOKUP(G144,NGPrices,2,FALSE),I144,VLOOKUP(G144,NGPREVPRICES,4,FALSE),HLOOKUP(D144,PREVVOLS,VLOOKUP(G144,MOVE_DOWN2,2,FALSE),FALSE),VLOOKUP(G144,NGPREVPRICES,3,FALSE),HLOOKUP(D144,Correllate,VLOOKUP(G144,CorMove,2,FALSE),FALSE),Q144-$BC$3,R144,$BC$5)*H144-BI144</f>
        <v>3869.6738716124091</v>
      </c>
      <c r="BD144" s="238">
        <f>_xll.xSPRDOPT((VLOOKUP(G144,NGPREVPRICES,2,FALSE)+HLOOKUP(D144,PREVCURVES,VLOOKUP(G144,MOVE_DOWN2,2,FALSE),FALSE)),VLOOKUP(G144,NGPREVPRICES,2,FALSE),BJ144,VLOOKUP(G144,NGPrices,4,FALSE),HLOOKUP(D144,PREVVOLS,VLOOKUP(G144,MOVE_DOWN2,2,FALSE),FALSE),VLOOKUP(G144,NGPREVPRICES,3,FALSE),HLOOKUP(D144,Correllate,VLOOKUP(G144,CorMove,2,FALSE),FALSE),Q144-$BC$3,R144,$BI$5)*H144-BI144</f>
        <v>-0.37405707911966601</v>
      </c>
      <c r="BE144" s="10">
        <f t="shared" si="197"/>
        <v>4.138725612887356</v>
      </c>
      <c r="BF144" s="238">
        <f>_xll.xSPRDOPT((VLOOKUP(G144,NGPREVPRICES,2,FALSE)+HLOOKUP(D144,PREVCURVES,VLOOKUP(G144,MOVE_DOWN2,2,FALSE),FALSE)),VLOOKUP(G144,NGPREVPRICES,2,FALSE),BJ144,VLOOKUP(G144,NGPREVPRICES,4,FALSE),HLOOKUP(D144,VOLS,VLOOKUP(G144,move_down,2,FALSE),FALSE),VLOOKUP(G144,NGPrices,3,FALSE),HLOOKUP(D144,Correllate,VLOOKUP(G144,CorMove,2,FALSE),FALSE),Q144-$BC$3,R144,$BI$5)*H144-BI144</f>
        <v>-715.84968406335247</v>
      </c>
      <c r="BG144" s="238">
        <f>_xll.xSPRDOPT((VLOOKUP(G144,NGPREVPRICES,2,FALSE)+HLOOKUP(D144,PREVCURVES,VLOOKUP(G144,MOVE_DOWN2,2,FALSE),FALSE)),VLOOKUP(G144,NGPREVPRICES,2,FALSE),BJ144,VLOOKUP(G144,NGPREVPRICES,4,FALSE),HLOOKUP(D144,PREVVOLS,VLOOKUP(G144,MOVE_DOWN2,2,FALSE),FALSE),VLOOKUP(G144,NGPREVPRICES,3,FALSE),HLOOKUP(D144,Correllate,VLOOKUP(G144,CorMove,2,FALSE),FALSE),Q144-$C$3,R144,$BI$5)*H144-BI144</f>
        <v>236.91294965804991</v>
      </c>
      <c r="BH144" s="238">
        <f t="shared" si="198"/>
        <v>3394.5018057408743</v>
      </c>
      <c r="BI144" s="238">
        <f>_xll.xSPRDOPT((VLOOKUP(G144,NGPREVPRICES,2,FALSE)+HLOOKUP(D144,PREVCURVES,VLOOKUP(G144,MOVE_DOWN2,2,FALSE),FALSE)),VLOOKUP(G144,NGPREVPRICES,2,FALSE),BJ144,VLOOKUP(G144,NGPREVPRICES,4,FALSE),HLOOKUP(D144,PREVVOLS,VLOOKUP(G144,MOVE_DOWN2,2,FALSE),FALSE),VLOOKUP(G144,NGPREVPRICES,3,FALSE),HLOOKUP(D144,Correllate,VLOOKUP(G144,CorMove,2,FALSE),FALSE),Q144-$BC$3,R144,$BI$5)*H144</f>
        <v>-22647.661714319671</v>
      </c>
      <c r="BJ144" s="239">
        <f t="shared" si="199"/>
        <v>0.3</v>
      </c>
      <c r="BL144" t="str">
        <f t="shared" si="200"/>
        <v>36800Curve Shift/Gamma</v>
      </c>
      <c r="BM144" t="str">
        <f t="shared" si="230"/>
        <v>36800Rho</v>
      </c>
      <c r="BN144" t="str">
        <f t="shared" si="231"/>
        <v>36800Drift</v>
      </c>
      <c r="BO144" t="str">
        <f t="shared" si="232"/>
        <v>36800Vega</v>
      </c>
      <c r="BP144" t="str">
        <f t="shared" si="233"/>
        <v>36800Theta</v>
      </c>
    </row>
    <row r="145" spans="1:45" ht="12" customHeight="1" x14ac:dyDescent="0.25">
      <c r="A145" s="395" t="s">
        <v>282</v>
      </c>
      <c r="B145" t="s">
        <v>253</v>
      </c>
      <c r="C145" t="s">
        <v>312</v>
      </c>
      <c r="D145" s="4" t="s">
        <v>9</v>
      </c>
      <c r="E145" t="s">
        <v>20</v>
      </c>
      <c r="F145" t="s">
        <v>21</v>
      </c>
      <c r="G145" s="5">
        <v>36647</v>
      </c>
      <c r="H145" s="130">
        <v>-1000000</v>
      </c>
      <c r="I145">
        <v>-0.25</v>
      </c>
      <c r="J145" s="53">
        <f t="shared" ref="J145:J156" si="242">VLOOKUP(G145,NGPrices,2,FALSE)</f>
        <v>3.1579999999999999</v>
      </c>
      <c r="K145" s="7">
        <f t="shared" ref="K145:K156" si="243">HLOOKUP(D145,Prices,VLOOKUP(G145,move_down,2,FALSE),FALSE)</f>
        <v>-0.34499999999999997</v>
      </c>
      <c r="L145" s="4">
        <f t="shared" ref="L145:L178" si="244">K145+J145</f>
        <v>2.8129999999999997</v>
      </c>
      <c r="M145" s="159">
        <f t="shared" ref="M145:M156" si="245">VLOOKUP(G145,NGPrices,4,FALSE)</f>
        <v>6.2683518517613002E-2</v>
      </c>
      <c r="N145" s="4">
        <f t="shared" ref="N145:N156" si="246">VLOOKUP(G145,NGPrices,3,FALSE)</f>
        <v>0.41</v>
      </c>
      <c r="O145" s="4">
        <f t="shared" ref="O145:O156" si="247">HLOOKUP(D145,VOLS,VLOOKUP(G145,move_down,2,FALSE),FALSE)</f>
        <v>0.377</v>
      </c>
      <c r="P145" s="9">
        <f t="shared" ref="P145:P156" si="248">HLOOKUP(D145,Correllate,VLOOKUP(G145,CorMove,2,FALSE),FALSE)</f>
        <v>0.96</v>
      </c>
      <c r="Q145" s="5">
        <f t="shared" si="229"/>
        <v>36643</v>
      </c>
      <c r="R145" s="4">
        <f t="shared" ref="R145:R178" si="249">IF(F145="P",0,1)</f>
        <v>1</v>
      </c>
      <c r="S145" s="160">
        <f>_xll.xSPRDOPT($L145,$J145,$I145,$M145,$O145,$N145,$P145,$Q145-$C$3,$R145,0)</f>
        <v>1.941927982033409E-3</v>
      </c>
      <c r="T145" s="161">
        <f>_xll.xSPRDOPT($L145,$J145,$I145,$M145,$O145,$N145,$P145,$Q145-$C$3,$R145,1)*H145</f>
        <v>-69738.246002184256</v>
      </c>
      <c r="U145" s="162">
        <f t="shared" ref="U145:U178" si="250">S145*H145</f>
        <v>-1941.9279820334091</v>
      </c>
      <c r="V145" s="161">
        <f>_xll.xSPRDOPT($L145,$J145,$I145,$M145,$O145,$N145,$P145,$Q145-$C$3,$R145,2)*H145</f>
        <v>67286.903937562645</v>
      </c>
      <c r="W145" s="161">
        <f t="shared" ref="W145:W178" si="251">+V145+T145</f>
        <v>-2451.3420646216109</v>
      </c>
      <c r="X145" s="51" t="str">
        <f t="shared" ref="X145:X178" si="252">CONCATENATE(G145,D145)</f>
        <v>36647IF-NWPL_ROCKY_M</v>
      </c>
      <c r="Y145" s="431">
        <f t="shared" ref="Y145:Y178" si="253">H145/10000</f>
        <v>-100</v>
      </c>
      <c r="Z145" s="51"/>
      <c r="AA145" s="41">
        <f t="shared" si="234"/>
        <v>40391</v>
      </c>
      <c r="AB145" s="43">
        <f t="shared" si="238"/>
        <v>0</v>
      </c>
      <c r="AC145" s="43">
        <f t="shared" si="238"/>
        <v>0</v>
      </c>
      <c r="AD145" s="43">
        <f t="shared" si="238"/>
        <v>0</v>
      </c>
      <c r="AE145" s="43">
        <f t="shared" si="238"/>
        <v>0</v>
      </c>
      <c r="AF145" s="44">
        <f t="shared" si="238"/>
        <v>0</v>
      </c>
      <c r="AG145" s="44">
        <f t="shared" si="238"/>
        <v>0</v>
      </c>
      <c r="AH145" s="41">
        <f t="shared" si="235"/>
        <v>40391</v>
      </c>
      <c r="AI145" s="44">
        <f t="shared" si="240"/>
        <v>0</v>
      </c>
      <c r="AK145" s="41">
        <f t="shared" si="236"/>
        <v>40391</v>
      </c>
      <c r="AL145" s="43">
        <f t="shared" si="239"/>
        <v>0</v>
      </c>
      <c r="AM145" s="43">
        <f t="shared" si="239"/>
        <v>0</v>
      </c>
      <c r="AN145" s="43">
        <f t="shared" si="239"/>
        <v>0</v>
      </c>
      <c r="AO145" s="43">
        <f t="shared" si="239"/>
        <v>0</v>
      </c>
      <c r="AP145" s="44">
        <f t="shared" si="239"/>
        <v>0</v>
      </c>
      <c r="AQ145" s="44">
        <f t="shared" si="239"/>
        <v>0</v>
      </c>
      <c r="AR145" s="41">
        <f t="shared" si="237"/>
        <v>40391</v>
      </c>
      <c r="AS145" s="44">
        <f t="shared" si="241"/>
        <v>0</v>
      </c>
    </row>
    <row r="146" spans="1:45" ht="12" customHeight="1" x14ac:dyDescent="0.25">
      <c r="A146" s="395" t="s">
        <v>282</v>
      </c>
      <c r="B146" t="s">
        <v>253</v>
      </c>
      <c r="C146" t="s">
        <v>312</v>
      </c>
      <c r="D146" s="4" t="s">
        <v>9</v>
      </c>
      <c r="E146" t="s">
        <v>20</v>
      </c>
      <c r="F146" t="s">
        <v>21</v>
      </c>
      <c r="G146" s="5">
        <v>36678</v>
      </c>
      <c r="H146" s="130">
        <v>-1000000</v>
      </c>
      <c r="I146">
        <v>-0.25</v>
      </c>
      <c r="J146" s="53">
        <f t="shared" si="242"/>
        <v>3.1720000000000002</v>
      </c>
      <c r="K146" s="7">
        <f t="shared" si="243"/>
        <v>-0.34</v>
      </c>
      <c r="L146" s="4">
        <f t="shared" si="244"/>
        <v>2.8320000000000003</v>
      </c>
      <c r="M146" s="159">
        <f t="shared" si="245"/>
        <v>6.3039999833066004E-2</v>
      </c>
      <c r="N146" s="4">
        <f t="shared" si="246"/>
        <v>0.38250000000000001</v>
      </c>
      <c r="O146" s="4">
        <f t="shared" si="247"/>
        <v>0.375</v>
      </c>
      <c r="P146" s="9">
        <f t="shared" si="248"/>
        <v>0.96</v>
      </c>
      <c r="Q146" s="5">
        <f t="shared" si="229"/>
        <v>36676</v>
      </c>
      <c r="R146" s="4">
        <f t="shared" si="249"/>
        <v>1</v>
      </c>
      <c r="S146" s="160">
        <f>_xll.xSPRDOPT($L146,$J146,$I146,$M146,$O146,$N146,$P146,$Q146-$C$3,$R146,0)</f>
        <v>1.4887424452426523E-2</v>
      </c>
      <c r="T146" s="161">
        <f>_xll.xSPRDOPT($L146,$J146,$I146,$M146,$O146,$N146,$P146,$Q146-$C$3,$R146,1)*H146</f>
        <v>-224958.84103873375</v>
      </c>
      <c r="U146" s="162">
        <f t="shared" si="250"/>
        <v>-14887.424452426523</v>
      </c>
      <c r="V146" s="161">
        <f>_xll.xSPRDOPT($L146,$J146,$I146,$M146,$O146,$N146,$P146,$Q146-$C$3,$R146,2)*H146</f>
        <v>214534.9615139277</v>
      </c>
      <c r="W146" s="161">
        <f t="shared" si="251"/>
        <v>-10423.879524806049</v>
      </c>
      <c r="X146" s="51" t="str">
        <f t="shared" si="252"/>
        <v>36678IF-NWPL_ROCKY_M</v>
      </c>
      <c r="Y146" s="431">
        <f t="shared" si="253"/>
        <v>-100</v>
      </c>
      <c r="AA146" s="41">
        <f t="shared" si="234"/>
        <v>40422</v>
      </c>
      <c r="AB146" s="43">
        <f t="shared" si="238"/>
        <v>0</v>
      </c>
      <c r="AC146" s="43">
        <f t="shared" si="238"/>
        <v>0</v>
      </c>
      <c r="AD146" s="43">
        <f t="shared" si="238"/>
        <v>0</v>
      </c>
      <c r="AE146" s="43">
        <f t="shared" si="238"/>
        <v>0</v>
      </c>
      <c r="AF146" s="44">
        <f t="shared" si="238"/>
        <v>0</v>
      </c>
      <c r="AG146" s="44">
        <f t="shared" si="238"/>
        <v>0</v>
      </c>
      <c r="AH146" s="41">
        <f t="shared" si="235"/>
        <v>40422</v>
      </c>
      <c r="AI146" s="44">
        <f t="shared" si="240"/>
        <v>0</v>
      </c>
      <c r="AK146" s="41">
        <f t="shared" si="236"/>
        <v>40422</v>
      </c>
      <c r="AL146" s="43">
        <f t="shared" si="239"/>
        <v>0</v>
      </c>
      <c r="AM146" s="43">
        <f t="shared" si="239"/>
        <v>0</v>
      </c>
      <c r="AN146" s="43">
        <f t="shared" si="239"/>
        <v>0</v>
      </c>
      <c r="AO146" s="43">
        <f t="shared" si="239"/>
        <v>0</v>
      </c>
      <c r="AP146" s="44">
        <f t="shared" si="239"/>
        <v>0</v>
      </c>
      <c r="AQ146" s="44">
        <f t="shared" si="239"/>
        <v>0</v>
      </c>
      <c r="AR146" s="41">
        <f t="shared" si="237"/>
        <v>40422</v>
      </c>
      <c r="AS146" s="44">
        <f t="shared" si="241"/>
        <v>0</v>
      </c>
    </row>
    <row r="147" spans="1:45" ht="12" customHeight="1" x14ac:dyDescent="0.25">
      <c r="A147" s="395" t="s">
        <v>282</v>
      </c>
      <c r="B147" t="s">
        <v>253</v>
      </c>
      <c r="C147" t="s">
        <v>312</v>
      </c>
      <c r="D147" s="4" t="s">
        <v>9</v>
      </c>
      <c r="E147" t="s">
        <v>20</v>
      </c>
      <c r="F147" t="s">
        <v>21</v>
      </c>
      <c r="G147" s="5">
        <v>36708</v>
      </c>
      <c r="H147" s="130">
        <v>-1000000</v>
      </c>
      <c r="I147">
        <v>-0.25</v>
      </c>
      <c r="J147" s="53">
        <f t="shared" si="242"/>
        <v>3.181</v>
      </c>
      <c r="K147" s="7">
        <f t="shared" si="243"/>
        <v>-0.32250000000000001</v>
      </c>
      <c r="L147" s="4">
        <f t="shared" si="244"/>
        <v>2.8585000000000003</v>
      </c>
      <c r="M147" s="159">
        <f t="shared" si="245"/>
        <v>6.3695649345076003E-2</v>
      </c>
      <c r="N147" s="4">
        <f t="shared" si="246"/>
        <v>0.39500000000000002</v>
      </c>
      <c r="O147" s="4">
        <f t="shared" si="247"/>
        <v>0.38700000000000001</v>
      </c>
      <c r="P147" s="9">
        <f t="shared" si="248"/>
        <v>0.96</v>
      </c>
      <c r="Q147" s="5">
        <f t="shared" si="229"/>
        <v>36706</v>
      </c>
      <c r="R147" s="4">
        <f t="shared" si="249"/>
        <v>1</v>
      </c>
      <c r="S147" s="160">
        <f>_xll.xSPRDOPT($L147,$J147,$I147,$M147,$O147,$N147,$P147,$Q147-$C$3,$R147,0)</f>
        <v>3.3246753108390231E-2</v>
      </c>
      <c r="T147" s="161">
        <f>_xll.xSPRDOPT($L147,$J147,$I147,$M147,$O147,$N147,$P147,$Q147-$C$3,$R147,1)*H147</f>
        <v>-327742.27349824162</v>
      </c>
      <c r="U147" s="162">
        <f t="shared" si="250"/>
        <v>-33246.753108390229</v>
      </c>
      <c r="V147" s="161">
        <f>_xll.xSPRDOPT($L147,$J147,$I147,$M147,$O147,$N147,$P147,$Q147-$C$3,$R147,2)*H147</f>
        <v>310864.81341119332</v>
      </c>
      <c r="W147" s="161">
        <f t="shared" si="251"/>
        <v>-16877.460087048297</v>
      </c>
      <c r="X147" s="51" t="str">
        <f t="shared" si="252"/>
        <v>36708IF-NWPL_ROCKY_M</v>
      </c>
      <c r="Y147" s="431">
        <f t="shared" si="253"/>
        <v>-100</v>
      </c>
      <c r="AA147" s="41">
        <f t="shared" si="234"/>
        <v>40452</v>
      </c>
      <c r="AB147" s="43">
        <f t="shared" ref="AB147:AG156" si="254">SUMIF($X:$X,CONCATENATE($AA147,AB$6),$T:$T)/10000</f>
        <v>0</v>
      </c>
      <c r="AC147" s="43">
        <f t="shared" si="254"/>
        <v>0</v>
      </c>
      <c r="AD147" s="43">
        <f t="shared" si="254"/>
        <v>0</v>
      </c>
      <c r="AE147" s="43">
        <f t="shared" si="254"/>
        <v>0</v>
      </c>
      <c r="AF147" s="44">
        <f t="shared" si="254"/>
        <v>0</v>
      </c>
      <c r="AG147" s="44">
        <f t="shared" si="254"/>
        <v>0</v>
      </c>
      <c r="AH147" s="41">
        <f t="shared" si="235"/>
        <v>40452</v>
      </c>
      <c r="AI147" s="44">
        <f t="shared" si="240"/>
        <v>0</v>
      </c>
      <c r="AK147" s="41">
        <f t="shared" si="236"/>
        <v>40452</v>
      </c>
      <c r="AL147" s="43">
        <f t="shared" ref="AL147:AQ156" si="255">SUMIF($X:$X,CONCATENATE($AA147,AL$6),$W:$W)</f>
        <v>0</v>
      </c>
      <c r="AM147" s="43">
        <f t="shared" si="255"/>
        <v>0</v>
      </c>
      <c r="AN147" s="43">
        <f t="shared" si="255"/>
        <v>0</v>
      </c>
      <c r="AO147" s="43">
        <f t="shared" si="255"/>
        <v>0</v>
      </c>
      <c r="AP147" s="44">
        <f t="shared" si="255"/>
        <v>0</v>
      </c>
      <c r="AQ147" s="44">
        <f t="shared" si="255"/>
        <v>0</v>
      </c>
      <c r="AR147" s="41">
        <f t="shared" si="237"/>
        <v>40452</v>
      </c>
      <c r="AS147" s="44">
        <f t="shared" si="241"/>
        <v>0</v>
      </c>
    </row>
    <row r="148" spans="1:45" ht="12" customHeight="1" x14ac:dyDescent="0.25">
      <c r="A148" s="395" t="s">
        <v>282</v>
      </c>
      <c r="B148" t="s">
        <v>253</v>
      </c>
      <c r="C148" t="s">
        <v>312</v>
      </c>
      <c r="D148" s="4" t="s">
        <v>9</v>
      </c>
      <c r="E148" t="s">
        <v>20</v>
      </c>
      <c r="F148" t="s">
        <v>21</v>
      </c>
      <c r="G148" s="5">
        <v>36739</v>
      </c>
      <c r="H148" s="130">
        <v>-1000000</v>
      </c>
      <c r="I148">
        <v>-0.25</v>
      </c>
      <c r="J148" s="53">
        <f t="shared" si="242"/>
        <v>3.1829999999999998</v>
      </c>
      <c r="K148" s="7">
        <f t="shared" si="243"/>
        <v>-0.32250000000000001</v>
      </c>
      <c r="L148" s="4">
        <f t="shared" si="244"/>
        <v>2.8605</v>
      </c>
      <c r="M148" s="159">
        <f t="shared" si="245"/>
        <v>6.4500399973534003E-2</v>
      </c>
      <c r="N148" s="4">
        <f t="shared" si="246"/>
        <v>0.41249999999999998</v>
      </c>
      <c r="O148" s="4">
        <f t="shared" si="247"/>
        <v>0.40400000000000003</v>
      </c>
      <c r="P148" s="9">
        <f t="shared" si="248"/>
        <v>0.96</v>
      </c>
      <c r="Q148" s="5">
        <f t="shared" si="229"/>
        <v>36735</v>
      </c>
      <c r="R148" s="4">
        <f t="shared" si="249"/>
        <v>1</v>
      </c>
      <c r="S148" s="160">
        <f>_xll.xSPRDOPT($L148,$J148,$I148,$M148,$O148,$N148,$P148,$Q148-$C$3,$R148,0)</f>
        <v>4.6571436107695097E-2</v>
      </c>
      <c r="T148" s="161">
        <f>_xll.xSPRDOPT($L148,$J148,$I148,$M148,$O148,$N148,$P148,$Q148-$C$3,$R148,1)*H148</f>
        <v>-359397.45047902252</v>
      </c>
      <c r="U148" s="162">
        <f t="shared" si="250"/>
        <v>-46571.436107695095</v>
      </c>
      <c r="V148" s="161">
        <f>_xll.xSPRDOPT($L148,$J148,$I148,$M148,$O148,$N148,$P148,$Q148-$C$3,$R148,2)*H148</f>
        <v>337919.48058581934</v>
      </c>
      <c r="W148" s="161">
        <f t="shared" si="251"/>
        <v>-21477.969893203175</v>
      </c>
      <c r="X148" s="51" t="str">
        <f t="shared" si="252"/>
        <v>36739IF-NWPL_ROCKY_M</v>
      </c>
      <c r="Y148" s="431">
        <f t="shared" si="253"/>
        <v>-100</v>
      </c>
      <c r="AA148" s="41">
        <f t="shared" si="234"/>
        <v>40483</v>
      </c>
      <c r="AB148" s="43">
        <f t="shared" si="254"/>
        <v>0</v>
      </c>
      <c r="AC148" s="43">
        <f t="shared" si="254"/>
        <v>0</v>
      </c>
      <c r="AD148" s="43">
        <f t="shared" si="254"/>
        <v>0</v>
      </c>
      <c r="AE148" s="43">
        <f t="shared" si="254"/>
        <v>0</v>
      </c>
      <c r="AF148" s="44">
        <f t="shared" si="254"/>
        <v>0</v>
      </c>
      <c r="AG148" s="44">
        <f t="shared" si="254"/>
        <v>0</v>
      </c>
      <c r="AH148" s="41">
        <f t="shared" si="235"/>
        <v>40483</v>
      </c>
      <c r="AI148" s="44">
        <f t="shared" si="240"/>
        <v>0</v>
      </c>
      <c r="AK148" s="41">
        <f t="shared" si="236"/>
        <v>40483</v>
      </c>
      <c r="AL148" s="43">
        <f t="shared" si="255"/>
        <v>0</v>
      </c>
      <c r="AM148" s="43">
        <f t="shared" si="255"/>
        <v>0</v>
      </c>
      <c r="AN148" s="43">
        <f t="shared" si="255"/>
        <v>0</v>
      </c>
      <c r="AO148" s="43">
        <f t="shared" si="255"/>
        <v>0</v>
      </c>
      <c r="AP148" s="44">
        <f t="shared" si="255"/>
        <v>0</v>
      </c>
      <c r="AQ148" s="44">
        <f t="shared" si="255"/>
        <v>0</v>
      </c>
      <c r="AR148" s="41">
        <f t="shared" si="237"/>
        <v>40483</v>
      </c>
      <c r="AS148" s="44">
        <f t="shared" si="241"/>
        <v>0</v>
      </c>
    </row>
    <row r="149" spans="1:45" ht="12" customHeight="1" x14ac:dyDescent="0.25">
      <c r="A149" s="395" t="s">
        <v>282</v>
      </c>
      <c r="B149" t="s">
        <v>253</v>
      </c>
      <c r="C149" t="s">
        <v>312</v>
      </c>
      <c r="D149" s="4" t="s">
        <v>9</v>
      </c>
      <c r="E149" t="s">
        <v>20</v>
      </c>
      <c r="F149" t="s">
        <v>21</v>
      </c>
      <c r="G149" s="5">
        <v>36770</v>
      </c>
      <c r="H149" s="130">
        <v>-1000000</v>
      </c>
      <c r="I149">
        <v>-0.25</v>
      </c>
      <c r="J149" s="53">
        <f t="shared" si="242"/>
        <v>3.173</v>
      </c>
      <c r="K149" s="7">
        <f t="shared" si="243"/>
        <v>-0.32250000000000001</v>
      </c>
      <c r="L149" s="4">
        <f t="shared" si="244"/>
        <v>2.8505000000000003</v>
      </c>
      <c r="M149" s="159">
        <f t="shared" si="245"/>
        <v>6.5221012015626995E-2</v>
      </c>
      <c r="N149" s="4">
        <f t="shared" si="246"/>
        <v>0.42</v>
      </c>
      <c r="O149" s="4">
        <f t="shared" si="247"/>
        <v>0.41199999999999998</v>
      </c>
      <c r="P149" s="9">
        <f t="shared" si="248"/>
        <v>0.96</v>
      </c>
      <c r="Q149" s="5">
        <f t="shared" si="229"/>
        <v>36768</v>
      </c>
      <c r="R149" s="4">
        <f t="shared" si="249"/>
        <v>1</v>
      </c>
      <c r="S149" s="160">
        <f>_xll.xSPRDOPT($L149,$J149,$I149,$M149,$O149,$N149,$P149,$Q149-$C$3,$R149,0)</f>
        <v>5.8334520561907466E-2</v>
      </c>
      <c r="T149" s="161">
        <f>_xll.xSPRDOPT($L149,$J149,$I149,$M149,$O149,$N149,$P149,$Q149-$C$3,$R149,1)*H149</f>
        <v>-378453.05814135721</v>
      </c>
      <c r="U149" s="162">
        <f t="shared" si="250"/>
        <v>-58334.520561907462</v>
      </c>
      <c r="V149" s="161">
        <f>_xll.xSPRDOPT($L149,$J149,$I149,$M149,$O149,$N149,$P149,$Q149-$C$3,$R149,2)*H149</f>
        <v>352995.59261505376</v>
      </c>
      <c r="W149" s="161">
        <f t="shared" si="251"/>
        <v>-25457.465526303451</v>
      </c>
      <c r="X149" s="51" t="str">
        <f t="shared" si="252"/>
        <v>36770IF-NWPL_ROCKY_M</v>
      </c>
      <c r="Y149" s="431">
        <f t="shared" si="253"/>
        <v>-100</v>
      </c>
      <c r="Z149" s="51"/>
      <c r="AA149" s="41">
        <f t="shared" si="234"/>
        <v>40513</v>
      </c>
      <c r="AB149" s="43">
        <f t="shared" si="254"/>
        <v>0</v>
      </c>
      <c r="AC149" s="43">
        <f t="shared" si="254"/>
        <v>0</v>
      </c>
      <c r="AD149" s="43">
        <f t="shared" si="254"/>
        <v>0</v>
      </c>
      <c r="AE149" s="43">
        <f t="shared" si="254"/>
        <v>0</v>
      </c>
      <c r="AF149" s="44">
        <f t="shared" si="254"/>
        <v>0</v>
      </c>
      <c r="AG149" s="44">
        <f t="shared" si="254"/>
        <v>0</v>
      </c>
      <c r="AH149" s="41">
        <f t="shared" si="235"/>
        <v>40513</v>
      </c>
      <c r="AI149" s="44">
        <f t="shared" si="240"/>
        <v>0</v>
      </c>
      <c r="AK149" s="41">
        <f t="shared" si="236"/>
        <v>40513</v>
      </c>
      <c r="AL149" s="43">
        <f t="shared" si="255"/>
        <v>0</v>
      </c>
      <c r="AM149" s="43">
        <f t="shared" si="255"/>
        <v>0</v>
      </c>
      <c r="AN149" s="43">
        <f t="shared" si="255"/>
        <v>0</v>
      </c>
      <c r="AO149" s="43">
        <f t="shared" si="255"/>
        <v>0</v>
      </c>
      <c r="AP149" s="44">
        <f t="shared" si="255"/>
        <v>0</v>
      </c>
      <c r="AQ149" s="44">
        <f t="shared" si="255"/>
        <v>0</v>
      </c>
      <c r="AR149" s="41">
        <f t="shared" si="237"/>
        <v>40513</v>
      </c>
      <c r="AS149" s="44">
        <f t="shared" si="241"/>
        <v>0</v>
      </c>
    </row>
    <row r="150" spans="1:45" ht="12" customHeight="1" x14ac:dyDescent="0.25">
      <c r="A150" s="395" t="s">
        <v>282</v>
      </c>
      <c r="B150" t="s">
        <v>253</v>
      </c>
      <c r="C150" t="s">
        <v>312</v>
      </c>
      <c r="D150" s="4" t="s">
        <v>9</v>
      </c>
      <c r="E150" t="s">
        <v>20</v>
      </c>
      <c r="F150" t="s">
        <v>21</v>
      </c>
      <c r="G150" s="5">
        <v>36800</v>
      </c>
      <c r="H150" s="130">
        <v>-1000000</v>
      </c>
      <c r="I150">
        <v>-0.25</v>
      </c>
      <c r="J150" s="53">
        <f t="shared" si="242"/>
        <v>3.18</v>
      </c>
      <c r="K150" s="7">
        <f t="shared" si="243"/>
        <v>-0.29749999999999999</v>
      </c>
      <c r="L150" s="4">
        <f t="shared" si="244"/>
        <v>2.8825000000000003</v>
      </c>
      <c r="M150" s="159">
        <f t="shared" si="245"/>
        <v>6.5817989695161006E-2</v>
      </c>
      <c r="N150" s="4">
        <f t="shared" si="246"/>
        <v>0.42249999999999999</v>
      </c>
      <c r="O150" s="4">
        <f t="shared" si="247"/>
        <v>0.41399999999999998</v>
      </c>
      <c r="P150" s="9">
        <f t="shared" si="248"/>
        <v>0.96</v>
      </c>
      <c r="Q150" s="5">
        <f t="shared" si="229"/>
        <v>36797</v>
      </c>
      <c r="R150" s="4">
        <f t="shared" si="249"/>
        <v>1</v>
      </c>
      <c r="S150" s="160">
        <f>_xll.xSPRDOPT($L150,$J150,$I150,$M150,$O150,$N150,$P150,$Q150-$C$3,$R150,0)</f>
        <v>7.773453399050953E-2</v>
      </c>
      <c r="T150" s="161">
        <f>_xll.xSPRDOPT($L150,$J150,$I150,$M150,$O150,$N150,$P150,$Q150-$C$3,$R150,1)*H150</f>
        <v>-427018.42329301534</v>
      </c>
      <c r="U150" s="162">
        <f t="shared" si="250"/>
        <v>-77734.533990509532</v>
      </c>
      <c r="V150" s="161">
        <f>_xll.xSPRDOPT($L150,$J150,$I150,$M150,$O150,$N150,$P150,$Q150-$C$3,$R150,2)*H150</f>
        <v>397971.53568552743</v>
      </c>
      <c r="W150" s="161">
        <f t="shared" si="251"/>
        <v>-29046.887607487908</v>
      </c>
      <c r="X150" s="51" t="str">
        <f t="shared" si="252"/>
        <v>36800IF-NWPL_ROCKY_M</v>
      </c>
      <c r="Y150" s="431">
        <f t="shared" si="253"/>
        <v>-100</v>
      </c>
      <c r="Z150" s="51"/>
      <c r="AA150" s="41">
        <f t="shared" si="234"/>
        <v>40544</v>
      </c>
      <c r="AB150" s="43">
        <f t="shared" si="254"/>
        <v>0</v>
      </c>
      <c r="AC150" s="43">
        <f t="shared" si="254"/>
        <v>0</v>
      </c>
      <c r="AD150" s="43">
        <f t="shared" si="254"/>
        <v>0</v>
      </c>
      <c r="AE150" s="43">
        <f t="shared" si="254"/>
        <v>0</v>
      </c>
      <c r="AF150" s="44">
        <f t="shared" si="254"/>
        <v>0</v>
      </c>
      <c r="AG150" s="44">
        <f t="shared" si="254"/>
        <v>0</v>
      </c>
      <c r="AH150" s="41">
        <f t="shared" si="235"/>
        <v>40544</v>
      </c>
      <c r="AI150" s="44">
        <f t="shared" si="240"/>
        <v>0</v>
      </c>
      <c r="AK150" s="41">
        <f t="shared" si="236"/>
        <v>40544</v>
      </c>
      <c r="AL150" s="43">
        <f t="shared" si="255"/>
        <v>0</v>
      </c>
      <c r="AM150" s="43">
        <f t="shared" si="255"/>
        <v>0</v>
      </c>
      <c r="AN150" s="43">
        <f t="shared" si="255"/>
        <v>0</v>
      </c>
      <c r="AO150" s="43">
        <f t="shared" si="255"/>
        <v>0</v>
      </c>
      <c r="AP150" s="44">
        <f t="shared" si="255"/>
        <v>0</v>
      </c>
      <c r="AQ150" s="44">
        <f t="shared" si="255"/>
        <v>0</v>
      </c>
      <c r="AR150" s="41">
        <f t="shared" si="237"/>
        <v>40544</v>
      </c>
      <c r="AS150" s="44">
        <f t="shared" si="241"/>
        <v>0</v>
      </c>
    </row>
    <row r="151" spans="1:45" ht="12" customHeight="1" x14ac:dyDescent="0.25">
      <c r="A151" s="395" t="s">
        <v>282</v>
      </c>
      <c r="B151" t="s">
        <v>253</v>
      </c>
      <c r="C151" t="s">
        <v>313</v>
      </c>
      <c r="D151" s="4" t="s">
        <v>9</v>
      </c>
      <c r="E151" t="s">
        <v>20</v>
      </c>
      <c r="F151" t="s">
        <v>1</v>
      </c>
      <c r="G151" s="5">
        <v>36647</v>
      </c>
      <c r="H151" s="130">
        <v>1000000</v>
      </c>
      <c r="I151">
        <v>-0.4</v>
      </c>
      <c r="J151" s="53">
        <f t="shared" si="242"/>
        <v>3.1579999999999999</v>
      </c>
      <c r="K151" s="7">
        <f t="shared" si="243"/>
        <v>-0.34499999999999997</v>
      </c>
      <c r="L151" s="4">
        <f t="shared" si="244"/>
        <v>2.8129999999999997</v>
      </c>
      <c r="M151" s="159">
        <f t="shared" si="245"/>
        <v>6.2683518517613002E-2</v>
      </c>
      <c r="N151" s="4">
        <f t="shared" si="246"/>
        <v>0.41</v>
      </c>
      <c r="O151" s="4">
        <f t="shared" si="247"/>
        <v>0.377</v>
      </c>
      <c r="P151" s="9">
        <f t="shared" si="248"/>
        <v>0.96</v>
      </c>
      <c r="Q151" s="5">
        <f t="shared" si="229"/>
        <v>36643</v>
      </c>
      <c r="R151" s="4">
        <f t="shared" si="249"/>
        <v>0</v>
      </c>
      <c r="S151" s="160">
        <f>_xll.xSPRDOPT($L151,$J151,$I151,$M151,$O151,$N151,$P151,$Q151-$C$3,$R151,0)</f>
        <v>8.3318467433163654E-3</v>
      </c>
      <c r="T151" s="161">
        <f>_xll.xSPRDOPT($L151,$J151,$I151,$M151,$O151,$N151,$P151,$Q151-$C$3,$R151,1)*H151</f>
        <v>-211013.97221632279</v>
      </c>
      <c r="U151" s="162">
        <f t="shared" si="250"/>
        <v>8331.846743316366</v>
      </c>
      <c r="V151" s="161">
        <f>_xll.xSPRDOPT($L151,$J151,$I151,$M151,$O151,$N151,$P151,$Q151-$C$3,$R151,2)*H151</f>
        <v>216248.43931471021</v>
      </c>
      <c r="W151" s="161">
        <f t="shared" si="251"/>
        <v>5234.4670983874239</v>
      </c>
      <c r="X151" s="51" t="str">
        <f t="shared" si="252"/>
        <v>36647IF-NWPL_ROCKY_M</v>
      </c>
      <c r="Y151" s="431">
        <f t="shared" si="253"/>
        <v>100</v>
      </c>
      <c r="Z151" s="51"/>
      <c r="AA151" s="41">
        <f t="shared" si="234"/>
        <v>40575</v>
      </c>
      <c r="AB151" s="43">
        <f t="shared" si="254"/>
        <v>0</v>
      </c>
      <c r="AC151" s="43">
        <f t="shared" si="254"/>
        <v>0</v>
      </c>
      <c r="AD151" s="43">
        <f t="shared" si="254"/>
        <v>0</v>
      </c>
      <c r="AE151" s="43">
        <f t="shared" si="254"/>
        <v>0</v>
      </c>
      <c r="AF151" s="44">
        <f t="shared" si="254"/>
        <v>0</v>
      </c>
      <c r="AG151" s="44">
        <f t="shared" si="254"/>
        <v>0</v>
      </c>
      <c r="AH151" s="41">
        <f t="shared" si="235"/>
        <v>40575</v>
      </c>
      <c r="AI151" s="44">
        <f t="shared" si="240"/>
        <v>0</v>
      </c>
      <c r="AK151" s="41">
        <f t="shared" si="236"/>
        <v>40575</v>
      </c>
      <c r="AL151" s="43">
        <f t="shared" si="255"/>
        <v>0</v>
      </c>
      <c r="AM151" s="43">
        <f t="shared" si="255"/>
        <v>0</v>
      </c>
      <c r="AN151" s="43">
        <f t="shared" si="255"/>
        <v>0</v>
      </c>
      <c r="AO151" s="43">
        <f t="shared" si="255"/>
        <v>0</v>
      </c>
      <c r="AP151" s="44">
        <f t="shared" si="255"/>
        <v>0</v>
      </c>
      <c r="AQ151" s="44">
        <f t="shared" si="255"/>
        <v>0</v>
      </c>
      <c r="AR151" s="41">
        <f t="shared" si="237"/>
        <v>40575</v>
      </c>
      <c r="AS151" s="44">
        <f t="shared" si="241"/>
        <v>0</v>
      </c>
    </row>
    <row r="152" spans="1:45" ht="12" customHeight="1" x14ac:dyDescent="0.25">
      <c r="A152" s="395" t="s">
        <v>282</v>
      </c>
      <c r="B152" t="s">
        <v>253</v>
      </c>
      <c r="C152" t="s">
        <v>313</v>
      </c>
      <c r="D152" s="4" t="s">
        <v>9</v>
      </c>
      <c r="E152" t="s">
        <v>20</v>
      </c>
      <c r="F152" t="s">
        <v>1</v>
      </c>
      <c r="G152" s="5">
        <v>36678</v>
      </c>
      <c r="H152" s="130">
        <v>1000000</v>
      </c>
      <c r="I152">
        <v>-0.4</v>
      </c>
      <c r="J152" s="53">
        <f t="shared" si="242"/>
        <v>3.1720000000000002</v>
      </c>
      <c r="K152" s="7">
        <f t="shared" si="243"/>
        <v>-0.34</v>
      </c>
      <c r="L152" s="4">
        <f t="shared" si="244"/>
        <v>2.8320000000000003</v>
      </c>
      <c r="M152" s="159">
        <f t="shared" si="245"/>
        <v>6.3039999833066004E-2</v>
      </c>
      <c r="N152" s="4">
        <f t="shared" si="246"/>
        <v>0.38250000000000001</v>
      </c>
      <c r="O152" s="4">
        <f t="shared" si="247"/>
        <v>0.375</v>
      </c>
      <c r="P152" s="9">
        <f t="shared" si="248"/>
        <v>0.96</v>
      </c>
      <c r="Q152" s="5">
        <f t="shared" si="229"/>
        <v>36676</v>
      </c>
      <c r="R152" s="4">
        <f t="shared" si="249"/>
        <v>0</v>
      </c>
      <c r="S152" s="160">
        <f>_xll.xSPRDOPT($L152,$J152,$I152,$M152,$O152,$N152,$P152,$Q152-$C$3,$R152,0)</f>
        <v>2.529955571926893E-2</v>
      </c>
      <c r="T152" s="161">
        <f>_xll.xSPRDOPT($L152,$J152,$I152,$M152,$O152,$N152,$P152,$Q152-$C$3,$R152,1)*H152</f>
        <v>-309103.59322411212</v>
      </c>
      <c r="U152" s="162">
        <f t="shared" si="250"/>
        <v>25299.55571926893</v>
      </c>
      <c r="V152" s="161">
        <f>_xll.xSPRDOPT($L152,$J152,$I152,$M152,$O152,$N152,$P152,$Q152-$C$3,$R152,2)*H152</f>
        <v>321049.49565131031</v>
      </c>
      <c r="W152" s="161">
        <f t="shared" si="251"/>
        <v>11945.902427198191</v>
      </c>
      <c r="X152" s="51" t="str">
        <f t="shared" si="252"/>
        <v>36678IF-NWPL_ROCKY_M</v>
      </c>
      <c r="Y152" s="431">
        <f t="shared" si="253"/>
        <v>100</v>
      </c>
      <c r="Z152" s="51"/>
      <c r="AA152" s="41">
        <f t="shared" si="234"/>
        <v>40603</v>
      </c>
      <c r="AB152" s="43">
        <f t="shared" si="254"/>
        <v>0</v>
      </c>
      <c r="AC152" s="43">
        <f t="shared" si="254"/>
        <v>0</v>
      </c>
      <c r="AD152" s="43">
        <f t="shared" si="254"/>
        <v>0</v>
      </c>
      <c r="AE152" s="43">
        <f t="shared" si="254"/>
        <v>0</v>
      </c>
      <c r="AF152" s="44">
        <f t="shared" si="254"/>
        <v>0</v>
      </c>
      <c r="AG152" s="44">
        <f t="shared" si="254"/>
        <v>0</v>
      </c>
      <c r="AH152" s="41">
        <f t="shared" si="235"/>
        <v>40603</v>
      </c>
      <c r="AI152" s="44">
        <f t="shared" si="240"/>
        <v>0</v>
      </c>
      <c r="AK152" s="41">
        <f t="shared" si="236"/>
        <v>40603</v>
      </c>
      <c r="AL152" s="43">
        <f t="shared" si="255"/>
        <v>0</v>
      </c>
      <c r="AM152" s="43">
        <f t="shared" si="255"/>
        <v>0</v>
      </c>
      <c r="AN152" s="43">
        <f t="shared" si="255"/>
        <v>0</v>
      </c>
      <c r="AO152" s="43">
        <f t="shared" si="255"/>
        <v>0</v>
      </c>
      <c r="AP152" s="44">
        <f t="shared" si="255"/>
        <v>0</v>
      </c>
      <c r="AQ152" s="44">
        <f t="shared" si="255"/>
        <v>0</v>
      </c>
      <c r="AR152" s="41">
        <f t="shared" si="237"/>
        <v>40603</v>
      </c>
      <c r="AS152" s="44">
        <f t="shared" si="241"/>
        <v>0</v>
      </c>
    </row>
    <row r="153" spans="1:45" ht="12" customHeight="1" x14ac:dyDescent="0.25">
      <c r="A153" s="395" t="s">
        <v>282</v>
      </c>
      <c r="B153" t="s">
        <v>253</v>
      </c>
      <c r="C153" t="s">
        <v>313</v>
      </c>
      <c r="D153" s="4" t="s">
        <v>9</v>
      </c>
      <c r="E153" t="s">
        <v>20</v>
      </c>
      <c r="F153" t="s">
        <v>1</v>
      </c>
      <c r="G153" s="5">
        <v>36708</v>
      </c>
      <c r="H153" s="130">
        <v>1000000</v>
      </c>
      <c r="I153">
        <v>-0.4</v>
      </c>
      <c r="J153" s="53">
        <f t="shared" si="242"/>
        <v>3.181</v>
      </c>
      <c r="K153" s="7">
        <f t="shared" si="243"/>
        <v>-0.32250000000000001</v>
      </c>
      <c r="L153" s="4">
        <f t="shared" si="244"/>
        <v>2.8585000000000003</v>
      </c>
      <c r="M153" s="159">
        <f t="shared" si="245"/>
        <v>6.3695649345076003E-2</v>
      </c>
      <c r="N153" s="4">
        <f t="shared" si="246"/>
        <v>0.39500000000000002</v>
      </c>
      <c r="O153" s="4">
        <f t="shared" si="247"/>
        <v>0.38700000000000001</v>
      </c>
      <c r="P153" s="9">
        <f t="shared" si="248"/>
        <v>0.96</v>
      </c>
      <c r="Q153" s="5">
        <f t="shared" si="229"/>
        <v>36706</v>
      </c>
      <c r="R153" s="4">
        <f t="shared" si="249"/>
        <v>0</v>
      </c>
      <c r="S153" s="160">
        <f>_xll.xSPRDOPT($L153,$J153,$I153,$M153,$O153,$N153,$P153,$Q153-$C$3,$R153,0)</f>
        <v>3.5172063358679881E-2</v>
      </c>
      <c r="T153" s="161">
        <f>_xll.xSPRDOPT($L153,$J153,$I153,$M153,$O153,$N153,$P153,$Q153-$C$3,$R153,1)*H153</f>
        <v>-313514.80686295684</v>
      </c>
      <c r="U153" s="162">
        <f t="shared" si="250"/>
        <v>35172.063358679879</v>
      </c>
      <c r="V153" s="161">
        <f>_xll.xSPRDOPT($L153,$J153,$I153,$M153,$O153,$N153,$P153,$Q153-$C$3,$R153,2)*H153</f>
        <v>329712.71905543952</v>
      </c>
      <c r="W153" s="161">
        <f t="shared" si="251"/>
        <v>16197.912192482676</v>
      </c>
      <c r="X153" s="51" t="str">
        <f t="shared" si="252"/>
        <v>36708IF-NWPL_ROCKY_M</v>
      </c>
      <c r="Y153" s="431">
        <f t="shared" si="253"/>
        <v>100</v>
      </c>
      <c r="Z153" s="51"/>
      <c r="AA153" s="41">
        <f t="shared" si="234"/>
        <v>40634</v>
      </c>
      <c r="AB153" s="43">
        <f t="shared" si="254"/>
        <v>0</v>
      </c>
      <c r="AC153" s="43">
        <f t="shared" si="254"/>
        <v>0</v>
      </c>
      <c r="AD153" s="43">
        <f t="shared" si="254"/>
        <v>0</v>
      </c>
      <c r="AE153" s="43">
        <f t="shared" si="254"/>
        <v>0</v>
      </c>
      <c r="AF153" s="44">
        <f t="shared" si="254"/>
        <v>0</v>
      </c>
      <c r="AG153" s="44">
        <f t="shared" si="254"/>
        <v>0</v>
      </c>
      <c r="AH153" s="41">
        <f t="shared" si="235"/>
        <v>40634</v>
      </c>
      <c r="AI153" s="44">
        <f t="shared" si="240"/>
        <v>0</v>
      </c>
      <c r="AK153" s="41">
        <f t="shared" si="236"/>
        <v>40634</v>
      </c>
      <c r="AL153" s="43">
        <f t="shared" si="255"/>
        <v>0</v>
      </c>
      <c r="AM153" s="43">
        <f t="shared" si="255"/>
        <v>0</v>
      </c>
      <c r="AN153" s="43">
        <f t="shared" si="255"/>
        <v>0</v>
      </c>
      <c r="AO153" s="43">
        <f t="shared" si="255"/>
        <v>0</v>
      </c>
      <c r="AP153" s="44">
        <f t="shared" si="255"/>
        <v>0</v>
      </c>
      <c r="AQ153" s="44">
        <f t="shared" si="255"/>
        <v>0</v>
      </c>
      <c r="AR153" s="41">
        <f t="shared" si="237"/>
        <v>40634</v>
      </c>
      <c r="AS153" s="44">
        <f t="shared" si="241"/>
        <v>0</v>
      </c>
    </row>
    <row r="154" spans="1:45" ht="12" customHeight="1" x14ac:dyDescent="0.25">
      <c r="A154" s="395" t="s">
        <v>282</v>
      </c>
      <c r="B154" t="s">
        <v>253</v>
      </c>
      <c r="C154" t="s">
        <v>313</v>
      </c>
      <c r="D154" s="4" t="s">
        <v>9</v>
      </c>
      <c r="E154" t="s">
        <v>20</v>
      </c>
      <c r="F154" t="s">
        <v>1</v>
      </c>
      <c r="G154" s="5">
        <v>36739</v>
      </c>
      <c r="H154" s="130">
        <v>1000000</v>
      </c>
      <c r="I154">
        <v>-0.4</v>
      </c>
      <c r="J154" s="53">
        <f t="shared" si="242"/>
        <v>3.1829999999999998</v>
      </c>
      <c r="K154" s="7">
        <f t="shared" si="243"/>
        <v>-0.32250000000000001</v>
      </c>
      <c r="L154" s="4">
        <f t="shared" si="244"/>
        <v>2.8605</v>
      </c>
      <c r="M154" s="159">
        <f t="shared" si="245"/>
        <v>6.4500399973534003E-2</v>
      </c>
      <c r="N154" s="4">
        <f t="shared" si="246"/>
        <v>0.41249999999999998</v>
      </c>
      <c r="O154" s="4">
        <f t="shared" si="247"/>
        <v>0.40400000000000003</v>
      </c>
      <c r="P154" s="9">
        <f t="shared" si="248"/>
        <v>0.96</v>
      </c>
      <c r="Q154" s="5">
        <f t="shared" si="229"/>
        <v>36735</v>
      </c>
      <c r="R154" s="4">
        <f t="shared" si="249"/>
        <v>0</v>
      </c>
      <c r="S154" s="160">
        <f>_xll.xSPRDOPT($L154,$J154,$I154,$M154,$O154,$N154,$P154,$Q154-$C$3,$R154,0)</f>
        <v>4.9324185810084888E-2</v>
      </c>
      <c r="T154" s="161">
        <f>_xll.xSPRDOPT($L154,$J154,$I154,$M154,$O154,$N154,$P154,$Q154-$C$3,$R154,1)*H154</f>
        <v>-341768.13871674408</v>
      </c>
      <c r="U154" s="162">
        <f t="shared" si="250"/>
        <v>49324.185810084884</v>
      </c>
      <c r="V154" s="161">
        <f>_xll.xSPRDOPT($L154,$J154,$I154,$M154,$O154,$N154,$P154,$Q154-$C$3,$R154,2)*H154</f>
        <v>362398.92398286605</v>
      </c>
      <c r="W154" s="161">
        <f t="shared" si="251"/>
        <v>20630.785266121966</v>
      </c>
      <c r="X154" s="51" t="str">
        <f t="shared" si="252"/>
        <v>36739IF-NWPL_ROCKY_M</v>
      </c>
      <c r="Y154" s="431">
        <f t="shared" si="253"/>
        <v>100</v>
      </c>
      <c r="Z154" s="51"/>
      <c r="AA154" s="41">
        <f t="shared" si="234"/>
        <v>40664</v>
      </c>
      <c r="AB154" s="43">
        <f t="shared" si="254"/>
        <v>0</v>
      </c>
      <c r="AC154" s="43">
        <f t="shared" si="254"/>
        <v>0</v>
      </c>
      <c r="AD154" s="43">
        <f t="shared" si="254"/>
        <v>0</v>
      </c>
      <c r="AE154" s="43">
        <f t="shared" si="254"/>
        <v>0</v>
      </c>
      <c r="AF154" s="44">
        <f t="shared" si="254"/>
        <v>0</v>
      </c>
      <c r="AG154" s="44">
        <f t="shared" si="254"/>
        <v>0</v>
      </c>
      <c r="AH154" s="41">
        <f t="shared" si="235"/>
        <v>40664</v>
      </c>
      <c r="AI154" s="44">
        <f t="shared" si="240"/>
        <v>0</v>
      </c>
      <c r="AK154" s="41">
        <f t="shared" si="236"/>
        <v>40664</v>
      </c>
      <c r="AL154" s="43">
        <f t="shared" si="255"/>
        <v>0</v>
      </c>
      <c r="AM154" s="43">
        <f t="shared" si="255"/>
        <v>0</v>
      </c>
      <c r="AN154" s="43">
        <f t="shared" si="255"/>
        <v>0</v>
      </c>
      <c r="AO154" s="43">
        <f t="shared" si="255"/>
        <v>0</v>
      </c>
      <c r="AP154" s="44">
        <f t="shared" si="255"/>
        <v>0</v>
      </c>
      <c r="AQ154" s="44">
        <f t="shared" si="255"/>
        <v>0</v>
      </c>
      <c r="AR154" s="41">
        <f t="shared" si="237"/>
        <v>40664</v>
      </c>
      <c r="AS154" s="44">
        <f t="shared" si="241"/>
        <v>0</v>
      </c>
    </row>
    <row r="155" spans="1:45" ht="12" customHeight="1" x14ac:dyDescent="0.25">
      <c r="A155" s="395" t="s">
        <v>282</v>
      </c>
      <c r="B155" t="s">
        <v>253</v>
      </c>
      <c r="C155" t="s">
        <v>313</v>
      </c>
      <c r="D155" s="4" t="s">
        <v>9</v>
      </c>
      <c r="E155" t="s">
        <v>20</v>
      </c>
      <c r="F155" t="s">
        <v>1</v>
      </c>
      <c r="G155" s="5">
        <v>36770</v>
      </c>
      <c r="H155" s="130">
        <v>1000000</v>
      </c>
      <c r="I155">
        <v>-0.4</v>
      </c>
      <c r="J155" s="53">
        <f t="shared" si="242"/>
        <v>3.173</v>
      </c>
      <c r="K155" s="7">
        <f t="shared" si="243"/>
        <v>-0.32250000000000001</v>
      </c>
      <c r="L155" s="4">
        <f t="shared" si="244"/>
        <v>2.8505000000000003</v>
      </c>
      <c r="M155" s="159">
        <f t="shared" si="245"/>
        <v>6.5221012015626995E-2</v>
      </c>
      <c r="N155" s="4">
        <f t="shared" si="246"/>
        <v>0.42</v>
      </c>
      <c r="O155" s="4">
        <f t="shared" si="247"/>
        <v>0.41199999999999998</v>
      </c>
      <c r="P155" s="9">
        <f t="shared" si="248"/>
        <v>0.96</v>
      </c>
      <c r="Q155" s="5">
        <f t="shared" si="229"/>
        <v>36768</v>
      </c>
      <c r="R155" s="4">
        <f t="shared" si="249"/>
        <v>0</v>
      </c>
      <c r="S155" s="160">
        <f>_xll.xSPRDOPT($L155,$J155,$I155,$M155,$O155,$N155,$P155,$Q155-$C$3,$R155,0)</f>
        <v>6.1806484886073036E-2</v>
      </c>
      <c r="T155" s="161">
        <f>_xll.xSPRDOPT($L155,$J155,$I155,$M155,$O155,$N155,$P155,$Q155-$C$3,$R155,1)*H155</f>
        <v>-357780.00659050222</v>
      </c>
      <c r="U155" s="162">
        <f t="shared" si="250"/>
        <v>61806.484886073034</v>
      </c>
      <c r="V155" s="161">
        <f>_xll.xSPRDOPT($L155,$J155,$I155,$M155,$O155,$N155,$P155,$Q155-$C$3,$R155,2)*H155</f>
        <v>382230.72620250122</v>
      </c>
      <c r="W155" s="161">
        <f t="shared" si="251"/>
        <v>24450.719611998997</v>
      </c>
      <c r="X155" s="51" t="str">
        <f t="shared" si="252"/>
        <v>36770IF-NWPL_ROCKY_M</v>
      </c>
      <c r="Y155" s="431">
        <f t="shared" si="253"/>
        <v>100</v>
      </c>
      <c r="Z155" s="51"/>
      <c r="AA155" s="41">
        <f t="shared" si="234"/>
        <v>40695</v>
      </c>
      <c r="AB155" s="43">
        <f t="shared" si="254"/>
        <v>0</v>
      </c>
      <c r="AC155" s="43">
        <f t="shared" si="254"/>
        <v>0</v>
      </c>
      <c r="AD155" s="43">
        <f t="shared" si="254"/>
        <v>0</v>
      </c>
      <c r="AE155" s="43">
        <f t="shared" si="254"/>
        <v>0</v>
      </c>
      <c r="AF155" s="44">
        <f t="shared" si="254"/>
        <v>0</v>
      </c>
      <c r="AG155" s="44">
        <f t="shared" si="254"/>
        <v>0</v>
      </c>
      <c r="AH155" s="41">
        <f t="shared" si="235"/>
        <v>40695</v>
      </c>
      <c r="AI155" s="44">
        <f t="shared" si="240"/>
        <v>0</v>
      </c>
      <c r="AK155" s="41">
        <f t="shared" si="236"/>
        <v>40695</v>
      </c>
      <c r="AL155" s="43">
        <f t="shared" si="255"/>
        <v>0</v>
      </c>
      <c r="AM155" s="43">
        <f t="shared" si="255"/>
        <v>0</v>
      </c>
      <c r="AN155" s="43">
        <f t="shared" si="255"/>
        <v>0</v>
      </c>
      <c r="AO155" s="43">
        <f t="shared" si="255"/>
        <v>0</v>
      </c>
      <c r="AP155" s="44">
        <f t="shared" si="255"/>
        <v>0</v>
      </c>
      <c r="AQ155" s="44">
        <f t="shared" si="255"/>
        <v>0</v>
      </c>
      <c r="AR155" s="41">
        <f t="shared" si="237"/>
        <v>40695</v>
      </c>
      <c r="AS155" s="44">
        <f t="shared" si="241"/>
        <v>0</v>
      </c>
    </row>
    <row r="156" spans="1:45" ht="12" customHeight="1" x14ac:dyDescent="0.25">
      <c r="A156" s="395" t="s">
        <v>282</v>
      </c>
      <c r="B156" t="s">
        <v>253</v>
      </c>
      <c r="C156" t="s">
        <v>313</v>
      </c>
      <c r="D156" s="4" t="s">
        <v>9</v>
      </c>
      <c r="E156" t="s">
        <v>20</v>
      </c>
      <c r="F156" t="s">
        <v>1</v>
      </c>
      <c r="G156" s="5">
        <v>36800</v>
      </c>
      <c r="H156" s="130">
        <v>1000000</v>
      </c>
      <c r="I156">
        <v>-0.4</v>
      </c>
      <c r="J156" s="53">
        <f t="shared" si="242"/>
        <v>3.18</v>
      </c>
      <c r="K156" s="7">
        <f t="shared" si="243"/>
        <v>-0.29749999999999999</v>
      </c>
      <c r="L156" s="4">
        <f t="shared" si="244"/>
        <v>2.8825000000000003</v>
      </c>
      <c r="M156" s="159">
        <f t="shared" si="245"/>
        <v>6.5817989695161006E-2</v>
      </c>
      <c r="N156" s="4">
        <f t="shared" si="246"/>
        <v>0.42249999999999999</v>
      </c>
      <c r="O156" s="4">
        <f t="shared" si="247"/>
        <v>0.41399999999999998</v>
      </c>
      <c r="P156" s="9">
        <f t="shared" si="248"/>
        <v>0.96</v>
      </c>
      <c r="Q156" s="5">
        <f t="shared" si="229"/>
        <v>36797</v>
      </c>
      <c r="R156" s="4">
        <f t="shared" si="249"/>
        <v>0</v>
      </c>
      <c r="S156" s="160">
        <f>_xll.xSPRDOPT($L156,$J156,$I156,$M156,$O156,$N156,$P156,$Q156-$C$3,$R156,0)</f>
        <v>6.2840081894201927E-2</v>
      </c>
      <c r="T156" s="161">
        <f>_xll.xSPRDOPT($L156,$J156,$I156,$M156,$O156,$N156,$P156,$Q156-$C$3,$R156,1)*H156</f>
        <v>-333387.4438452358</v>
      </c>
      <c r="U156" s="162">
        <f t="shared" si="250"/>
        <v>62840.081894201925</v>
      </c>
      <c r="V156" s="161">
        <f>_xll.xSPRDOPT($L156,$J156,$I156,$M156,$O156,$N156,$P156,$Q156-$C$3,$R156,2)*H156</f>
        <v>359897.91067279788</v>
      </c>
      <c r="W156" s="161">
        <f t="shared" si="251"/>
        <v>26510.466827562079</v>
      </c>
      <c r="X156" s="51" t="str">
        <f t="shared" si="252"/>
        <v>36800IF-NWPL_ROCKY_M</v>
      </c>
      <c r="Y156" s="431">
        <f t="shared" si="253"/>
        <v>100</v>
      </c>
      <c r="AA156" s="41">
        <f t="shared" si="234"/>
        <v>40725</v>
      </c>
      <c r="AB156" s="43">
        <f t="shared" si="254"/>
        <v>0</v>
      </c>
      <c r="AC156" s="43">
        <f t="shared" si="254"/>
        <v>0</v>
      </c>
      <c r="AD156" s="43">
        <f t="shared" si="254"/>
        <v>0</v>
      </c>
      <c r="AE156" s="43">
        <f t="shared" si="254"/>
        <v>0</v>
      </c>
      <c r="AF156" s="44">
        <f t="shared" si="254"/>
        <v>0</v>
      </c>
      <c r="AG156" s="44">
        <f t="shared" si="254"/>
        <v>0</v>
      </c>
      <c r="AH156" s="41">
        <f t="shared" si="235"/>
        <v>40725</v>
      </c>
      <c r="AI156" s="44">
        <f t="shared" si="240"/>
        <v>0</v>
      </c>
      <c r="AK156" s="41">
        <f t="shared" si="236"/>
        <v>40725</v>
      </c>
      <c r="AL156" s="43">
        <f t="shared" si="255"/>
        <v>0</v>
      </c>
      <c r="AM156" s="43">
        <f t="shared" si="255"/>
        <v>0</v>
      </c>
      <c r="AN156" s="43">
        <f t="shared" si="255"/>
        <v>0</v>
      </c>
      <c r="AO156" s="43">
        <f t="shared" si="255"/>
        <v>0</v>
      </c>
      <c r="AP156" s="44">
        <f t="shared" si="255"/>
        <v>0</v>
      </c>
      <c r="AQ156" s="44">
        <f t="shared" si="255"/>
        <v>0</v>
      </c>
      <c r="AR156" s="41">
        <f t="shared" si="237"/>
        <v>40725</v>
      </c>
      <c r="AS156" s="44">
        <f t="shared" si="241"/>
        <v>0</v>
      </c>
    </row>
    <row r="157" spans="1:45" ht="12" customHeight="1" x14ac:dyDescent="0.25">
      <c r="A157" s="395" t="s">
        <v>282</v>
      </c>
      <c r="B157" t="s">
        <v>253</v>
      </c>
      <c r="C157" t="s">
        <v>314</v>
      </c>
      <c r="D157" s="4" t="s">
        <v>7</v>
      </c>
      <c r="E157" t="s">
        <v>20</v>
      </c>
      <c r="F157" t="s">
        <v>21</v>
      </c>
      <c r="G157" s="5">
        <v>36831</v>
      </c>
      <c r="H157" s="130">
        <v>-250000</v>
      </c>
      <c r="I157">
        <v>1.1499999999999999</v>
      </c>
      <c r="J157" s="53">
        <f t="shared" ref="J157:J166" si="256">VLOOKUP(G157,NGPrices,2,FALSE)</f>
        <v>3.2650000000000001</v>
      </c>
      <c r="K157" s="7">
        <f t="shared" ref="K157:K166" si="257">HLOOKUP(D157,Prices,VLOOKUP(G157,move_down,2,FALSE),FALSE)</f>
        <v>0.70750000000000002</v>
      </c>
      <c r="L157" s="4">
        <f t="shared" si="244"/>
        <v>3.9725000000000001</v>
      </c>
      <c r="M157" s="159">
        <f t="shared" ref="M157:M166" si="258">VLOOKUP(G157,NGPrices,4,FALSE)</f>
        <v>6.6244373635737999E-2</v>
      </c>
      <c r="N157" s="4">
        <f t="shared" ref="N157:N166" si="259">VLOOKUP(G157,NGPrices,3,FALSE)</f>
        <v>0.42749999999999999</v>
      </c>
      <c r="O157" s="4">
        <f t="shared" ref="O157:O166" si="260">HLOOKUP(D157,VOLS,VLOOKUP(G157,move_down,2,FALSE),FALSE)</f>
        <v>0.42799999999999999</v>
      </c>
      <c r="P157" s="9">
        <f t="shared" ref="P157:P166" si="261">HLOOKUP(D157,Correllate,VLOOKUP(G157,CorMove,2,FALSE),FALSE)</f>
        <v>0.95</v>
      </c>
      <c r="Q157" s="5">
        <f t="shared" si="229"/>
        <v>36829</v>
      </c>
      <c r="R157" s="4">
        <f t="shared" si="249"/>
        <v>1</v>
      </c>
      <c r="S157" s="160">
        <f>_xll.xSPRDOPT($L157,$J157,$I157,$M157,$O157,$N157,$P157,$Q157-$C$3,$R157,0)</f>
        <v>4.6131080179801491E-2</v>
      </c>
      <c r="T157" s="161">
        <f>_xll.xSPRDOPT($L157,$J157,$I157,$M157,$O157,$N157,$P157,$Q157-$C$3,$R157,1)*H157</f>
        <v>-48870.755625603197</v>
      </c>
      <c r="U157" s="162">
        <f t="shared" si="250"/>
        <v>-11532.770044950374</v>
      </c>
      <c r="V157" s="161">
        <f>_xll.xSPRDOPT($L157,$J157,$I157,$M157,$O157,$N157,$P157,$Q157-$C$3,$R157,2)*H157</f>
        <v>43786.654259227958</v>
      </c>
      <c r="W157" s="161">
        <f t="shared" si="251"/>
        <v>-5084.1013663752383</v>
      </c>
      <c r="X157" s="51" t="str">
        <f t="shared" si="252"/>
        <v>36831IF-TRANSCO/Z6</v>
      </c>
      <c r="Y157" s="431">
        <f t="shared" si="253"/>
        <v>-25</v>
      </c>
      <c r="AA157" s="41">
        <f t="shared" si="234"/>
        <v>40756</v>
      </c>
      <c r="AB157" s="43">
        <f t="shared" ref="AB157:AG167" si="262">SUMIF($X:$X,CONCATENATE($AA157,AB$6),$T:$T)/10000</f>
        <v>0</v>
      </c>
      <c r="AC157" s="43">
        <f t="shared" si="262"/>
        <v>0</v>
      </c>
      <c r="AD157" s="43">
        <f t="shared" si="262"/>
        <v>0</v>
      </c>
      <c r="AE157" s="43">
        <f t="shared" si="262"/>
        <v>0</v>
      </c>
      <c r="AF157" s="44">
        <f t="shared" si="262"/>
        <v>0</v>
      </c>
      <c r="AG157" s="44">
        <f t="shared" si="262"/>
        <v>0</v>
      </c>
      <c r="AH157" s="41">
        <f t="shared" si="235"/>
        <v>40756</v>
      </c>
      <c r="AI157" s="44">
        <f t="shared" si="240"/>
        <v>0</v>
      </c>
      <c r="AK157" s="41">
        <f t="shared" si="236"/>
        <v>40756</v>
      </c>
      <c r="AL157" s="43">
        <f t="shared" ref="AL157:AQ167" si="263">SUMIF($X:$X,CONCATENATE($AA157,AL$6),$W:$W)</f>
        <v>0</v>
      </c>
      <c r="AM157" s="43">
        <f t="shared" si="263"/>
        <v>0</v>
      </c>
      <c r="AN157" s="43">
        <f t="shared" si="263"/>
        <v>0</v>
      </c>
      <c r="AO157" s="43">
        <f t="shared" si="263"/>
        <v>0</v>
      </c>
      <c r="AP157" s="44">
        <f t="shared" si="263"/>
        <v>0</v>
      </c>
      <c r="AQ157" s="44">
        <f t="shared" si="263"/>
        <v>0</v>
      </c>
      <c r="AR157" s="41">
        <f t="shared" si="237"/>
        <v>40756</v>
      </c>
      <c r="AS157" s="44">
        <f t="shared" si="241"/>
        <v>0</v>
      </c>
    </row>
    <row r="158" spans="1:45" ht="12" customHeight="1" x14ac:dyDescent="0.25">
      <c r="A158" s="395" t="s">
        <v>282</v>
      </c>
      <c r="B158" t="s">
        <v>253</v>
      </c>
      <c r="C158" t="s">
        <v>314</v>
      </c>
      <c r="D158" s="4" t="s">
        <v>7</v>
      </c>
      <c r="E158" t="s">
        <v>20</v>
      </c>
      <c r="F158" t="s">
        <v>21</v>
      </c>
      <c r="G158" s="5">
        <v>36861</v>
      </c>
      <c r="H158" s="130">
        <v>-250000</v>
      </c>
      <c r="I158">
        <v>1.1499999999999999</v>
      </c>
      <c r="J158" s="53">
        <f t="shared" si="256"/>
        <v>3.3519999999999999</v>
      </c>
      <c r="K158" s="7">
        <f t="shared" si="257"/>
        <v>1.27</v>
      </c>
      <c r="L158" s="4">
        <f t="shared" si="244"/>
        <v>4.6219999999999999</v>
      </c>
      <c r="M158" s="159">
        <f t="shared" si="258"/>
        <v>6.6657003312999993E-2</v>
      </c>
      <c r="N158" s="4">
        <f t="shared" si="259"/>
        <v>0.43</v>
      </c>
      <c r="O158" s="4">
        <f t="shared" si="260"/>
        <v>0.47299999999999998</v>
      </c>
      <c r="P158" s="9">
        <f t="shared" si="261"/>
        <v>0.95</v>
      </c>
      <c r="Q158" s="5">
        <f t="shared" si="229"/>
        <v>36859</v>
      </c>
      <c r="R158" s="4">
        <f t="shared" si="249"/>
        <v>1</v>
      </c>
      <c r="S158" s="160">
        <f>_xll.xSPRDOPT($L158,$J158,$I158,$M158,$O158,$N158,$P158,$Q158-$C$3,$R158,0)</f>
        <v>0.33176622731616323</v>
      </c>
      <c r="T158" s="161">
        <f>_xll.xSPRDOPT($L158,$J158,$I158,$M158,$O158,$N158,$P158,$Q158-$C$3,$R158,1)*H158</f>
        <v>-146225.97258490871</v>
      </c>
      <c r="U158" s="162">
        <f t="shared" si="250"/>
        <v>-82941.556829040812</v>
      </c>
      <c r="V158" s="161">
        <f>_xll.xSPRDOPT($L158,$J158,$I158,$M158,$O158,$N158,$P158,$Q158-$C$3,$R158,2)*H158</f>
        <v>137138.30145618416</v>
      </c>
      <c r="W158" s="161">
        <f t="shared" si="251"/>
        <v>-9087.6711287245562</v>
      </c>
      <c r="X158" s="51" t="str">
        <f t="shared" si="252"/>
        <v>36861IF-TRANSCO/Z6</v>
      </c>
      <c r="Y158" s="431">
        <f t="shared" si="253"/>
        <v>-25</v>
      </c>
      <c r="AA158" s="41">
        <f t="shared" si="234"/>
        <v>40787</v>
      </c>
      <c r="AB158" s="43">
        <f t="shared" si="262"/>
        <v>0</v>
      </c>
      <c r="AC158" s="43">
        <f t="shared" si="262"/>
        <v>0</v>
      </c>
      <c r="AD158" s="43">
        <f t="shared" si="262"/>
        <v>0</v>
      </c>
      <c r="AE158" s="43">
        <f t="shared" si="262"/>
        <v>0</v>
      </c>
      <c r="AF158" s="44">
        <f t="shared" si="262"/>
        <v>0</v>
      </c>
      <c r="AG158" s="44">
        <f t="shared" si="262"/>
        <v>0</v>
      </c>
      <c r="AH158" s="41">
        <f t="shared" si="235"/>
        <v>40787</v>
      </c>
      <c r="AI158" s="44">
        <f t="shared" si="240"/>
        <v>0</v>
      </c>
      <c r="AK158" s="41">
        <f t="shared" si="236"/>
        <v>40787</v>
      </c>
      <c r="AL158" s="43">
        <f t="shared" si="263"/>
        <v>0</v>
      </c>
      <c r="AM158" s="43">
        <f t="shared" si="263"/>
        <v>0</v>
      </c>
      <c r="AN158" s="43">
        <f t="shared" si="263"/>
        <v>0</v>
      </c>
      <c r="AO158" s="43">
        <f t="shared" si="263"/>
        <v>0</v>
      </c>
      <c r="AP158" s="44">
        <f t="shared" si="263"/>
        <v>0</v>
      </c>
      <c r="AQ158" s="44">
        <f t="shared" si="263"/>
        <v>0</v>
      </c>
      <c r="AR158" s="41">
        <f t="shared" si="237"/>
        <v>40787</v>
      </c>
      <c r="AS158" s="44">
        <f t="shared" si="241"/>
        <v>0</v>
      </c>
    </row>
    <row r="159" spans="1:45" ht="12" customHeight="1" x14ac:dyDescent="0.25">
      <c r="A159" s="395" t="s">
        <v>282</v>
      </c>
      <c r="B159" t="s">
        <v>253</v>
      </c>
      <c r="C159" t="s">
        <v>314</v>
      </c>
      <c r="D159" s="4" t="s">
        <v>7</v>
      </c>
      <c r="E159" t="s">
        <v>20</v>
      </c>
      <c r="F159" t="s">
        <v>21</v>
      </c>
      <c r="G159" s="5">
        <v>36892</v>
      </c>
      <c r="H159" s="130">
        <v>-250000</v>
      </c>
      <c r="I159">
        <v>1.1499999999999999</v>
      </c>
      <c r="J159" s="53">
        <f t="shared" si="256"/>
        <v>3.3650000000000002</v>
      </c>
      <c r="K159" s="7">
        <f t="shared" si="257"/>
        <v>1.53</v>
      </c>
      <c r="L159" s="4">
        <f t="shared" si="244"/>
        <v>4.8950000000000005</v>
      </c>
      <c r="M159" s="159">
        <f t="shared" si="258"/>
        <v>6.7045194353832993E-2</v>
      </c>
      <c r="N159" s="4">
        <f t="shared" si="259"/>
        <v>0.4325</v>
      </c>
      <c r="O159" s="4">
        <f t="shared" si="260"/>
        <v>0.433</v>
      </c>
      <c r="P159" s="9">
        <f t="shared" si="261"/>
        <v>0.95</v>
      </c>
      <c r="Q159" s="5">
        <f t="shared" si="229"/>
        <v>36888</v>
      </c>
      <c r="R159" s="4">
        <f t="shared" si="249"/>
        <v>1</v>
      </c>
      <c r="S159" s="160">
        <f>_xll.xSPRDOPT($L159,$J159,$I159,$M159,$O159,$N159,$P159,$Q159-$C$3,$R159,0)</f>
        <v>0.46911881140098188</v>
      </c>
      <c r="T159" s="161">
        <f>_xll.xSPRDOPT($L159,$J159,$I159,$M159,$O159,$N159,$P159,$Q159-$C$3,$R159,1)*H159</f>
        <v>-179855.70971007837</v>
      </c>
      <c r="U159" s="162">
        <f t="shared" si="250"/>
        <v>-117279.70285024548</v>
      </c>
      <c r="V159" s="161">
        <f>_xll.xSPRDOPT($L159,$J159,$I159,$M159,$O159,$N159,$P159,$Q159-$C$3,$R159,2)*H159</f>
        <v>173512.27207260765</v>
      </c>
      <c r="W159" s="161">
        <f t="shared" si="251"/>
        <v>-6343.4376374707208</v>
      </c>
      <c r="X159" s="51" t="str">
        <f t="shared" si="252"/>
        <v>36892IF-TRANSCO/Z6</v>
      </c>
      <c r="Y159" s="431">
        <f t="shared" si="253"/>
        <v>-25</v>
      </c>
      <c r="AA159" s="41">
        <f t="shared" si="234"/>
        <v>40817</v>
      </c>
      <c r="AB159" s="43">
        <f t="shared" si="262"/>
        <v>0</v>
      </c>
      <c r="AC159" s="43">
        <f t="shared" si="262"/>
        <v>0</v>
      </c>
      <c r="AD159" s="43">
        <f t="shared" si="262"/>
        <v>0</v>
      </c>
      <c r="AE159" s="43">
        <f t="shared" si="262"/>
        <v>0</v>
      </c>
      <c r="AF159" s="44">
        <f t="shared" si="262"/>
        <v>0</v>
      </c>
      <c r="AG159" s="44">
        <f t="shared" si="262"/>
        <v>0</v>
      </c>
      <c r="AH159" s="41">
        <f t="shared" si="235"/>
        <v>40817</v>
      </c>
      <c r="AI159" s="44">
        <f t="shared" si="240"/>
        <v>0</v>
      </c>
      <c r="AK159" s="41">
        <f t="shared" si="236"/>
        <v>40817</v>
      </c>
      <c r="AL159" s="43">
        <f t="shared" si="263"/>
        <v>0</v>
      </c>
      <c r="AM159" s="43">
        <f t="shared" si="263"/>
        <v>0</v>
      </c>
      <c r="AN159" s="43">
        <f t="shared" si="263"/>
        <v>0</v>
      </c>
      <c r="AO159" s="43">
        <f t="shared" si="263"/>
        <v>0</v>
      </c>
      <c r="AP159" s="44">
        <f t="shared" si="263"/>
        <v>0</v>
      </c>
      <c r="AQ159" s="44">
        <f t="shared" si="263"/>
        <v>0</v>
      </c>
      <c r="AR159" s="41">
        <f t="shared" si="237"/>
        <v>40817</v>
      </c>
      <c r="AS159" s="44">
        <f t="shared" si="241"/>
        <v>0</v>
      </c>
    </row>
    <row r="160" spans="1:45" ht="12" customHeight="1" x14ac:dyDescent="0.25">
      <c r="A160" s="395" t="s">
        <v>282</v>
      </c>
      <c r="B160" t="s">
        <v>253</v>
      </c>
      <c r="C160" t="s">
        <v>314</v>
      </c>
      <c r="D160" s="4" t="s">
        <v>7</v>
      </c>
      <c r="E160" t="s">
        <v>20</v>
      </c>
      <c r="F160" t="s">
        <v>21</v>
      </c>
      <c r="G160" s="5">
        <v>36923</v>
      </c>
      <c r="H160" s="130">
        <v>-250000</v>
      </c>
      <c r="I160">
        <v>1.1499999999999999</v>
      </c>
      <c r="J160" s="53">
        <f t="shared" si="256"/>
        <v>3.1909999999999998</v>
      </c>
      <c r="K160" s="7">
        <f t="shared" si="257"/>
        <v>1.49</v>
      </c>
      <c r="L160" s="4">
        <f t="shared" si="244"/>
        <v>4.681</v>
      </c>
      <c r="M160" s="159">
        <f t="shared" si="258"/>
        <v>6.7372913158926004E-2</v>
      </c>
      <c r="N160" s="4">
        <f t="shared" si="259"/>
        <v>0.42249999999999999</v>
      </c>
      <c r="O160" s="4">
        <f t="shared" si="260"/>
        <v>0.46500000000000002</v>
      </c>
      <c r="P160" s="9">
        <f t="shared" si="261"/>
        <v>0.95</v>
      </c>
      <c r="Q160" s="5">
        <f t="shared" si="229"/>
        <v>36921</v>
      </c>
      <c r="R160" s="4">
        <f t="shared" si="249"/>
        <v>1</v>
      </c>
      <c r="S160" s="160">
        <f>_xll.xSPRDOPT($L160,$J160,$I160,$M160,$O160,$N160,$P160,$Q160-$C$3,$R160,0)</f>
        <v>0.48838503117584009</v>
      </c>
      <c r="T160" s="161">
        <f>_xll.xSPRDOPT($L160,$J160,$I160,$M160,$O160,$N160,$P160,$Q160-$C$3,$R160,1)*H160</f>
        <v>-168344.38464583276</v>
      </c>
      <c r="U160" s="162">
        <f t="shared" si="250"/>
        <v>-122096.25779396002</v>
      </c>
      <c r="V160" s="161">
        <f>_xll.xSPRDOPT($L160,$J160,$I160,$M160,$O160,$N160,$P160,$Q160-$C$3,$R160,2)*H160</f>
        <v>159523.03635614522</v>
      </c>
      <c r="W160" s="161">
        <f t="shared" si="251"/>
        <v>-8821.3482896875357</v>
      </c>
      <c r="X160" s="51" t="str">
        <f t="shared" si="252"/>
        <v>36923IF-TRANSCO/Z6</v>
      </c>
      <c r="Y160" s="431">
        <f t="shared" si="253"/>
        <v>-25</v>
      </c>
      <c r="AA160" s="41">
        <f t="shared" si="234"/>
        <v>40848</v>
      </c>
      <c r="AB160" s="43">
        <f t="shared" si="262"/>
        <v>0</v>
      </c>
      <c r="AC160" s="43">
        <f t="shared" si="262"/>
        <v>0</v>
      </c>
      <c r="AD160" s="43">
        <f t="shared" si="262"/>
        <v>0</v>
      </c>
      <c r="AE160" s="43">
        <f t="shared" si="262"/>
        <v>0</v>
      </c>
      <c r="AF160" s="44">
        <f t="shared" si="262"/>
        <v>0</v>
      </c>
      <c r="AG160" s="44">
        <f t="shared" si="262"/>
        <v>0</v>
      </c>
      <c r="AH160" s="41">
        <f t="shared" si="235"/>
        <v>40848</v>
      </c>
      <c r="AI160" s="44">
        <f t="shared" si="240"/>
        <v>0</v>
      </c>
      <c r="AK160" s="41">
        <f t="shared" si="236"/>
        <v>40848</v>
      </c>
      <c r="AL160" s="43">
        <f t="shared" si="263"/>
        <v>0</v>
      </c>
      <c r="AM160" s="43">
        <f t="shared" si="263"/>
        <v>0</v>
      </c>
      <c r="AN160" s="43">
        <f t="shared" si="263"/>
        <v>0</v>
      </c>
      <c r="AO160" s="43">
        <f t="shared" si="263"/>
        <v>0</v>
      </c>
      <c r="AP160" s="44">
        <f t="shared" si="263"/>
        <v>0</v>
      </c>
      <c r="AQ160" s="44">
        <f t="shared" si="263"/>
        <v>0</v>
      </c>
      <c r="AR160" s="41">
        <f t="shared" si="237"/>
        <v>40848</v>
      </c>
      <c r="AS160" s="44">
        <f t="shared" si="241"/>
        <v>0</v>
      </c>
    </row>
    <row r="161" spans="1:45" ht="12" customHeight="1" x14ac:dyDescent="0.25">
      <c r="A161" s="395" t="s">
        <v>282</v>
      </c>
      <c r="B161" t="s">
        <v>253</v>
      </c>
      <c r="C161" t="s">
        <v>314</v>
      </c>
      <c r="D161" s="4" t="s">
        <v>7</v>
      </c>
      <c r="E161" t="s">
        <v>20</v>
      </c>
      <c r="F161" t="s">
        <v>21</v>
      </c>
      <c r="G161" s="5">
        <v>36951</v>
      </c>
      <c r="H161" s="130">
        <v>-250000</v>
      </c>
      <c r="I161">
        <v>1.1499999999999999</v>
      </c>
      <c r="J161" s="53">
        <f t="shared" si="256"/>
        <v>3.0169999999999999</v>
      </c>
      <c r="K161" s="7">
        <f t="shared" si="257"/>
        <v>0.86</v>
      </c>
      <c r="L161" s="4">
        <f t="shared" si="244"/>
        <v>3.8769999999999998</v>
      </c>
      <c r="M161" s="159">
        <f t="shared" si="258"/>
        <v>6.7668917271508006E-2</v>
      </c>
      <c r="N161" s="4">
        <f t="shared" si="259"/>
        <v>0.375</v>
      </c>
      <c r="O161" s="4">
        <f t="shared" si="260"/>
        <v>0.41299999999999998</v>
      </c>
      <c r="P161" s="9">
        <f t="shared" si="261"/>
        <v>0.95</v>
      </c>
      <c r="Q161" s="5">
        <f t="shared" si="229"/>
        <v>36949</v>
      </c>
      <c r="R161" s="4">
        <f t="shared" si="249"/>
        <v>1</v>
      </c>
      <c r="S161" s="160">
        <f>_xll.xSPRDOPT($L161,$J161,$I161,$M161,$O161,$N161,$P161,$Q161-$C$3,$R161,0)</f>
        <v>0.13157179147692905</v>
      </c>
      <c r="T161" s="161">
        <f>_xll.xSPRDOPT($L161,$J161,$I161,$M161,$O161,$N161,$P161,$Q161-$C$3,$R161,1)*H161</f>
        <v>-87053.401154821942</v>
      </c>
      <c r="U161" s="162">
        <f t="shared" si="250"/>
        <v>-32892.947869232259</v>
      </c>
      <c r="V161" s="161">
        <f>_xll.xSPRDOPT($L161,$J161,$I161,$M161,$O161,$N161,$P161,$Q161-$C$3,$R161,2)*H161</f>
        <v>78181.77491218537</v>
      </c>
      <c r="W161" s="161">
        <f t="shared" si="251"/>
        <v>-8871.626242636572</v>
      </c>
      <c r="X161" s="51" t="str">
        <f t="shared" si="252"/>
        <v>36951IF-TRANSCO/Z6</v>
      </c>
      <c r="Y161" s="431">
        <f t="shared" si="253"/>
        <v>-25</v>
      </c>
      <c r="Z161" s="51"/>
      <c r="AA161" s="41">
        <f t="shared" si="234"/>
        <v>40878</v>
      </c>
      <c r="AB161" s="43">
        <f t="shared" si="262"/>
        <v>0</v>
      </c>
      <c r="AC161" s="43">
        <f t="shared" si="262"/>
        <v>0</v>
      </c>
      <c r="AD161" s="43">
        <f t="shared" si="262"/>
        <v>0</v>
      </c>
      <c r="AE161" s="43">
        <f t="shared" si="262"/>
        <v>0</v>
      </c>
      <c r="AF161" s="44">
        <f t="shared" si="262"/>
        <v>0</v>
      </c>
      <c r="AG161" s="44">
        <f t="shared" si="262"/>
        <v>0</v>
      </c>
      <c r="AH161" s="41">
        <f t="shared" si="235"/>
        <v>40878</v>
      </c>
      <c r="AI161" s="44">
        <f t="shared" si="240"/>
        <v>0</v>
      </c>
      <c r="AK161" s="41">
        <f t="shared" si="236"/>
        <v>40878</v>
      </c>
      <c r="AL161" s="43">
        <f t="shared" si="263"/>
        <v>0</v>
      </c>
      <c r="AM161" s="43">
        <f t="shared" si="263"/>
        <v>0</v>
      </c>
      <c r="AN161" s="43">
        <f t="shared" si="263"/>
        <v>0</v>
      </c>
      <c r="AO161" s="43">
        <f t="shared" si="263"/>
        <v>0</v>
      </c>
      <c r="AP161" s="44">
        <f t="shared" si="263"/>
        <v>0</v>
      </c>
      <c r="AQ161" s="44">
        <f t="shared" si="263"/>
        <v>0</v>
      </c>
      <c r="AR161" s="41">
        <f t="shared" si="237"/>
        <v>40878</v>
      </c>
      <c r="AS161" s="44">
        <f t="shared" si="241"/>
        <v>0</v>
      </c>
    </row>
    <row r="162" spans="1:45" ht="12" customHeight="1" x14ac:dyDescent="0.25">
      <c r="A162" s="395" t="s">
        <v>282</v>
      </c>
      <c r="B162" t="s">
        <v>253</v>
      </c>
      <c r="C162" t="s">
        <v>315</v>
      </c>
      <c r="D162" s="4" t="s">
        <v>7</v>
      </c>
      <c r="E162" t="s">
        <v>20</v>
      </c>
      <c r="F162" t="s">
        <v>1</v>
      </c>
      <c r="G162" s="5">
        <v>36831</v>
      </c>
      <c r="H162" s="130">
        <v>-250000</v>
      </c>
      <c r="I162">
        <v>1.1499999999999999</v>
      </c>
      <c r="J162" s="53">
        <f t="shared" si="256"/>
        <v>3.2650000000000001</v>
      </c>
      <c r="K162" s="7">
        <f t="shared" si="257"/>
        <v>0.70750000000000002</v>
      </c>
      <c r="L162" s="4">
        <f t="shared" si="244"/>
        <v>3.9725000000000001</v>
      </c>
      <c r="M162" s="159">
        <f t="shared" si="258"/>
        <v>6.6244373635737999E-2</v>
      </c>
      <c r="N162" s="4">
        <f t="shared" si="259"/>
        <v>0.42749999999999999</v>
      </c>
      <c r="O162" s="4">
        <f t="shared" si="260"/>
        <v>0.42799999999999999</v>
      </c>
      <c r="P162" s="9">
        <f t="shared" si="261"/>
        <v>0.95</v>
      </c>
      <c r="Q162" s="5">
        <f t="shared" si="229"/>
        <v>36829</v>
      </c>
      <c r="R162" s="4">
        <f t="shared" si="249"/>
        <v>0</v>
      </c>
      <c r="S162" s="160">
        <f>_xll.xSPRDOPT($L162,$J162,$I162,$M162,$O162,$N162,$P162,$Q162-$C$3,$R162,0)</f>
        <v>0.47317740278160647</v>
      </c>
      <c r="T162" s="161">
        <f>_xll.xSPRDOPT($L162,$J162,$I162,$M162,$O162,$N162,$P162,$Q162-$C$3,$R162,1)*H162</f>
        <v>192398.35318897609</v>
      </c>
      <c r="U162" s="162">
        <f t="shared" si="250"/>
        <v>-118294.35069540162</v>
      </c>
      <c r="V162" s="161">
        <f>_xll.xSPRDOPT($L162,$J162,$I162,$M162,$O162,$N162,$P162,$Q162-$C$3,$R162,2)*H162</f>
        <v>-197482.45455535135</v>
      </c>
      <c r="W162" s="161">
        <f t="shared" si="251"/>
        <v>-5084.1013663752528</v>
      </c>
      <c r="X162" s="51" t="str">
        <f t="shared" si="252"/>
        <v>36831IF-TRANSCO/Z6</v>
      </c>
      <c r="Y162" s="431">
        <f t="shared" si="253"/>
        <v>-25</v>
      </c>
      <c r="Z162" s="51"/>
      <c r="AA162" s="41">
        <f t="shared" si="234"/>
        <v>40909</v>
      </c>
      <c r="AB162" s="43">
        <f t="shared" si="262"/>
        <v>0</v>
      </c>
      <c r="AC162" s="43">
        <f t="shared" si="262"/>
        <v>0</v>
      </c>
      <c r="AD162" s="43">
        <f t="shared" si="262"/>
        <v>0</v>
      </c>
      <c r="AE162" s="43">
        <f t="shared" si="262"/>
        <v>0</v>
      </c>
      <c r="AF162" s="44">
        <f t="shared" si="262"/>
        <v>0</v>
      </c>
      <c r="AG162" s="44">
        <f t="shared" si="262"/>
        <v>0</v>
      </c>
      <c r="AH162" s="41">
        <f t="shared" si="235"/>
        <v>40909</v>
      </c>
      <c r="AI162" s="44">
        <f t="shared" si="240"/>
        <v>0</v>
      </c>
      <c r="AK162" s="41">
        <f t="shared" si="236"/>
        <v>40909</v>
      </c>
      <c r="AL162" s="43">
        <f t="shared" si="263"/>
        <v>0</v>
      </c>
      <c r="AM162" s="43">
        <f t="shared" si="263"/>
        <v>0</v>
      </c>
      <c r="AN162" s="43">
        <f t="shared" si="263"/>
        <v>0</v>
      </c>
      <c r="AO162" s="43">
        <f t="shared" si="263"/>
        <v>0</v>
      </c>
      <c r="AP162" s="44">
        <f t="shared" si="263"/>
        <v>0</v>
      </c>
      <c r="AQ162" s="44">
        <f t="shared" si="263"/>
        <v>0</v>
      </c>
      <c r="AR162" s="41">
        <f t="shared" si="237"/>
        <v>40909</v>
      </c>
      <c r="AS162" s="44">
        <f t="shared" si="241"/>
        <v>0</v>
      </c>
    </row>
    <row r="163" spans="1:45" ht="12" customHeight="1" x14ac:dyDescent="0.25">
      <c r="A163" s="395" t="s">
        <v>282</v>
      </c>
      <c r="B163" t="s">
        <v>253</v>
      </c>
      <c r="C163" t="s">
        <v>315</v>
      </c>
      <c r="D163" s="4" t="s">
        <v>7</v>
      </c>
      <c r="E163" t="s">
        <v>20</v>
      </c>
      <c r="F163" t="s">
        <v>1</v>
      </c>
      <c r="G163" s="5">
        <v>36861</v>
      </c>
      <c r="H163" s="130">
        <v>-250000</v>
      </c>
      <c r="I163">
        <v>1.1499999999999999</v>
      </c>
      <c r="J163" s="53">
        <f t="shared" si="256"/>
        <v>3.3519999999999999</v>
      </c>
      <c r="K163" s="7">
        <f t="shared" si="257"/>
        <v>1.27</v>
      </c>
      <c r="L163" s="4">
        <f t="shared" si="244"/>
        <v>4.6219999999999999</v>
      </c>
      <c r="M163" s="159">
        <f t="shared" si="258"/>
        <v>6.6657003312999993E-2</v>
      </c>
      <c r="N163" s="4">
        <f t="shared" si="259"/>
        <v>0.43</v>
      </c>
      <c r="O163" s="4">
        <f t="shared" si="260"/>
        <v>0.47299999999999998</v>
      </c>
      <c r="P163" s="9">
        <f t="shared" si="261"/>
        <v>0.95</v>
      </c>
      <c r="Q163" s="5">
        <f t="shared" si="229"/>
        <v>36859</v>
      </c>
      <c r="R163" s="4">
        <f t="shared" si="249"/>
        <v>0</v>
      </c>
      <c r="S163" s="160">
        <f>_xll.xSPRDOPT($L163,$J163,$I163,$M163,$O163,$N163,$P163,$Q163-$C$3,$R163,0)</f>
        <v>0.21661486732168944</v>
      </c>
      <c r="T163" s="161">
        <f>_xll.xSPRDOPT($L163,$J163,$I163,$M163,$O163,$N163,$P163,$Q163-$C$3,$R163,1)*H163</f>
        <v>93672.694070244615</v>
      </c>
      <c r="U163" s="162">
        <f t="shared" si="250"/>
        <v>-54153.71683042236</v>
      </c>
      <c r="V163" s="161">
        <f>_xll.xSPRDOPT($L163,$J163,$I163,$M163,$O163,$N163,$P163,$Q163-$C$3,$R163,2)*H163</f>
        <v>-102760.36519896917</v>
      </c>
      <c r="W163" s="161">
        <f t="shared" si="251"/>
        <v>-9087.6711287245562</v>
      </c>
      <c r="X163" s="51" t="str">
        <f t="shared" si="252"/>
        <v>36861IF-TRANSCO/Z6</v>
      </c>
      <c r="Y163" s="431">
        <f t="shared" si="253"/>
        <v>-25</v>
      </c>
      <c r="Z163" s="51"/>
      <c r="AA163" s="41">
        <f t="shared" si="234"/>
        <v>40940</v>
      </c>
      <c r="AB163" s="43">
        <f t="shared" si="262"/>
        <v>0</v>
      </c>
      <c r="AC163" s="43">
        <f t="shared" si="262"/>
        <v>0</v>
      </c>
      <c r="AD163" s="43">
        <f t="shared" si="262"/>
        <v>0</v>
      </c>
      <c r="AE163" s="43">
        <f t="shared" si="262"/>
        <v>0</v>
      </c>
      <c r="AF163" s="44">
        <f t="shared" si="262"/>
        <v>0</v>
      </c>
      <c r="AG163" s="44">
        <f t="shared" si="262"/>
        <v>0</v>
      </c>
      <c r="AH163" s="41">
        <f t="shared" si="235"/>
        <v>40940</v>
      </c>
      <c r="AI163" s="44">
        <f t="shared" si="240"/>
        <v>0</v>
      </c>
      <c r="AK163" s="41">
        <f t="shared" si="236"/>
        <v>40940</v>
      </c>
      <c r="AL163" s="43">
        <f t="shared" si="263"/>
        <v>0</v>
      </c>
      <c r="AM163" s="43">
        <f t="shared" si="263"/>
        <v>0</v>
      </c>
      <c r="AN163" s="43">
        <f t="shared" si="263"/>
        <v>0</v>
      </c>
      <c r="AO163" s="43">
        <f t="shared" si="263"/>
        <v>0</v>
      </c>
      <c r="AP163" s="44">
        <f t="shared" si="263"/>
        <v>0</v>
      </c>
      <c r="AQ163" s="44">
        <f t="shared" si="263"/>
        <v>0</v>
      </c>
      <c r="AR163" s="41">
        <f t="shared" si="237"/>
        <v>40940</v>
      </c>
      <c r="AS163" s="44">
        <f t="shared" si="241"/>
        <v>0</v>
      </c>
    </row>
    <row r="164" spans="1:45" ht="12" customHeight="1" x14ac:dyDescent="0.25">
      <c r="A164" s="395" t="s">
        <v>282</v>
      </c>
      <c r="B164" t="s">
        <v>253</v>
      </c>
      <c r="C164" t="s">
        <v>315</v>
      </c>
      <c r="D164" s="4" t="s">
        <v>7</v>
      </c>
      <c r="E164" t="s">
        <v>20</v>
      </c>
      <c r="F164" t="s">
        <v>1</v>
      </c>
      <c r="G164" s="5">
        <v>36892</v>
      </c>
      <c r="H164" s="130">
        <v>-250000</v>
      </c>
      <c r="I164">
        <v>1.1499999999999999</v>
      </c>
      <c r="J164" s="53">
        <f t="shared" si="256"/>
        <v>3.3650000000000002</v>
      </c>
      <c r="K164" s="7">
        <f t="shared" si="257"/>
        <v>1.53</v>
      </c>
      <c r="L164" s="4">
        <f t="shared" si="244"/>
        <v>4.8950000000000005</v>
      </c>
      <c r="M164" s="159">
        <f t="shared" si="258"/>
        <v>6.7045194353832993E-2</v>
      </c>
      <c r="N164" s="4">
        <f t="shared" si="259"/>
        <v>0.4325</v>
      </c>
      <c r="O164" s="4">
        <f t="shared" si="260"/>
        <v>0.433</v>
      </c>
      <c r="P164" s="9">
        <f t="shared" si="261"/>
        <v>0.95</v>
      </c>
      <c r="Q164" s="5">
        <f t="shared" si="229"/>
        <v>36888</v>
      </c>
      <c r="R164" s="4">
        <f t="shared" si="249"/>
        <v>0</v>
      </c>
      <c r="S164" s="160">
        <f>_xll.xSPRDOPT($L164,$J164,$I164,$M164,$O164,$N164,$P164,$Q164-$C$3,$R164,0)</f>
        <v>0.1064958866781831</v>
      </c>
      <c r="T164" s="161">
        <f>_xll.xSPRDOPT($L164,$J164,$I164,$M164,$O164,$N164,$P164,$Q164-$C$3,$R164,1)*H164</f>
        <v>58712.003923341334</v>
      </c>
      <c r="U164" s="162">
        <f t="shared" si="250"/>
        <v>-26623.971669545776</v>
      </c>
      <c r="V164" s="161">
        <f>_xll.xSPRDOPT($L164,$J164,$I164,$M164,$O164,$N164,$P164,$Q164-$C$3,$R164,2)*H164</f>
        <v>-65055.441560812054</v>
      </c>
      <c r="W164" s="161">
        <f t="shared" si="251"/>
        <v>-6343.4376374707208</v>
      </c>
      <c r="X164" s="51" t="str">
        <f t="shared" si="252"/>
        <v>36892IF-TRANSCO/Z6</v>
      </c>
      <c r="Y164" s="431">
        <f t="shared" si="253"/>
        <v>-25</v>
      </c>
      <c r="AA164" s="41">
        <f t="shared" si="234"/>
        <v>40969</v>
      </c>
      <c r="AB164" s="43">
        <f t="shared" si="262"/>
        <v>0</v>
      </c>
      <c r="AC164" s="43">
        <f t="shared" si="262"/>
        <v>0</v>
      </c>
      <c r="AD164" s="43">
        <f t="shared" si="262"/>
        <v>0</v>
      </c>
      <c r="AE164" s="43">
        <f t="shared" si="262"/>
        <v>0</v>
      </c>
      <c r="AF164" s="44">
        <f t="shared" si="262"/>
        <v>0</v>
      </c>
      <c r="AG164" s="44">
        <f t="shared" si="262"/>
        <v>0</v>
      </c>
      <c r="AH164" s="41">
        <f t="shared" si="235"/>
        <v>40969</v>
      </c>
      <c r="AI164" s="44">
        <f t="shared" si="240"/>
        <v>0</v>
      </c>
      <c r="AK164" s="41">
        <f t="shared" si="236"/>
        <v>40969</v>
      </c>
      <c r="AL164" s="43">
        <f t="shared" si="263"/>
        <v>0</v>
      </c>
      <c r="AM164" s="43">
        <f t="shared" si="263"/>
        <v>0</v>
      </c>
      <c r="AN164" s="43">
        <f t="shared" si="263"/>
        <v>0</v>
      </c>
      <c r="AO164" s="43">
        <f t="shared" si="263"/>
        <v>0</v>
      </c>
      <c r="AP164" s="44">
        <f t="shared" si="263"/>
        <v>0</v>
      </c>
      <c r="AQ164" s="44">
        <f t="shared" si="263"/>
        <v>0</v>
      </c>
      <c r="AR164" s="41">
        <f t="shared" si="237"/>
        <v>40969</v>
      </c>
      <c r="AS164" s="44">
        <f t="shared" si="241"/>
        <v>0</v>
      </c>
    </row>
    <row r="165" spans="1:45" ht="12" customHeight="1" x14ac:dyDescent="0.25">
      <c r="A165" s="395" t="s">
        <v>282</v>
      </c>
      <c r="B165" t="s">
        <v>253</v>
      </c>
      <c r="C165" t="s">
        <v>315</v>
      </c>
      <c r="D165" s="4" t="s">
        <v>7</v>
      </c>
      <c r="E165" t="s">
        <v>20</v>
      </c>
      <c r="F165" t="s">
        <v>1</v>
      </c>
      <c r="G165" s="5">
        <v>36923</v>
      </c>
      <c r="H165" s="130">
        <v>-250000</v>
      </c>
      <c r="I165">
        <v>1.1499999999999999</v>
      </c>
      <c r="J165" s="53">
        <f t="shared" si="256"/>
        <v>3.1909999999999998</v>
      </c>
      <c r="K165" s="7">
        <f t="shared" si="257"/>
        <v>1.49</v>
      </c>
      <c r="L165" s="4">
        <f t="shared" si="244"/>
        <v>4.681</v>
      </c>
      <c r="M165" s="159">
        <f t="shared" si="258"/>
        <v>6.7372913158926004E-2</v>
      </c>
      <c r="N165" s="4">
        <f t="shared" si="259"/>
        <v>0.42249999999999999</v>
      </c>
      <c r="O165" s="4">
        <f t="shared" si="260"/>
        <v>0.46500000000000002</v>
      </c>
      <c r="P165" s="9">
        <f t="shared" si="261"/>
        <v>0.95</v>
      </c>
      <c r="Q165" s="5">
        <f t="shared" si="229"/>
        <v>36921</v>
      </c>
      <c r="R165" s="4">
        <f t="shared" si="249"/>
        <v>0</v>
      </c>
      <c r="S165" s="160">
        <f>_xll.xSPRDOPT($L165,$J165,$I165,$M165,$O165,$N165,$P165,$Q165-$C$3,$R165,0)</f>
        <v>0.16597568280065866</v>
      </c>
      <c r="T165" s="161">
        <f>_xll.xSPRDOPT($L165,$J165,$I165,$M165,$O165,$N165,$P165,$Q165-$C$3,$R165,1)*H165</f>
        <v>68721.312688859136</v>
      </c>
      <c r="U165" s="162">
        <f t="shared" si="250"/>
        <v>-41493.920700164665</v>
      </c>
      <c r="V165" s="161">
        <f>_xll.xSPRDOPT($L165,$J165,$I165,$M165,$O165,$N165,$P165,$Q165-$C$3,$R165,2)*H165</f>
        <v>-77542.660978546672</v>
      </c>
      <c r="W165" s="161">
        <f t="shared" si="251"/>
        <v>-8821.3482896875357</v>
      </c>
      <c r="X165" s="51" t="str">
        <f t="shared" si="252"/>
        <v>36923IF-TRANSCO/Z6</v>
      </c>
      <c r="Y165" s="431">
        <f t="shared" si="253"/>
        <v>-25</v>
      </c>
      <c r="AA165" s="41">
        <f t="shared" si="234"/>
        <v>41000</v>
      </c>
      <c r="AB165" s="43">
        <f t="shared" si="262"/>
        <v>0</v>
      </c>
      <c r="AC165" s="43">
        <f t="shared" si="262"/>
        <v>0</v>
      </c>
      <c r="AD165" s="43">
        <f t="shared" si="262"/>
        <v>0</v>
      </c>
      <c r="AE165" s="43">
        <f t="shared" si="262"/>
        <v>0</v>
      </c>
      <c r="AF165" s="44">
        <f t="shared" si="262"/>
        <v>0</v>
      </c>
      <c r="AG165" s="44">
        <f t="shared" si="262"/>
        <v>0</v>
      </c>
      <c r="AH165" s="41">
        <f t="shared" si="235"/>
        <v>41000</v>
      </c>
      <c r="AI165" s="44">
        <f t="shared" si="240"/>
        <v>0</v>
      </c>
      <c r="AK165" s="41">
        <f t="shared" si="236"/>
        <v>41000</v>
      </c>
      <c r="AL165" s="43">
        <f t="shared" si="263"/>
        <v>0</v>
      </c>
      <c r="AM165" s="43">
        <f t="shared" si="263"/>
        <v>0</v>
      </c>
      <c r="AN165" s="43">
        <f t="shared" si="263"/>
        <v>0</v>
      </c>
      <c r="AO165" s="43">
        <f t="shared" si="263"/>
        <v>0</v>
      </c>
      <c r="AP165" s="44">
        <f t="shared" si="263"/>
        <v>0</v>
      </c>
      <c r="AQ165" s="44">
        <f t="shared" si="263"/>
        <v>0</v>
      </c>
      <c r="AR165" s="41">
        <f t="shared" si="237"/>
        <v>41000</v>
      </c>
      <c r="AS165" s="44">
        <f t="shared" si="241"/>
        <v>0</v>
      </c>
    </row>
    <row r="166" spans="1:45" ht="12" customHeight="1" x14ac:dyDescent="0.25">
      <c r="A166" s="395" t="s">
        <v>282</v>
      </c>
      <c r="B166" t="s">
        <v>253</v>
      </c>
      <c r="C166" t="s">
        <v>315</v>
      </c>
      <c r="D166" s="4" t="s">
        <v>7</v>
      </c>
      <c r="E166" t="s">
        <v>20</v>
      </c>
      <c r="F166" t="s">
        <v>1</v>
      </c>
      <c r="G166" s="5">
        <v>36951</v>
      </c>
      <c r="H166" s="130">
        <v>-250000</v>
      </c>
      <c r="I166">
        <v>1.1499999999999999</v>
      </c>
      <c r="J166" s="53">
        <f t="shared" si="256"/>
        <v>3.0169999999999999</v>
      </c>
      <c r="K166" s="7">
        <f t="shared" si="257"/>
        <v>0.86</v>
      </c>
      <c r="L166" s="4">
        <f t="shared" si="244"/>
        <v>3.8769999999999998</v>
      </c>
      <c r="M166" s="159">
        <f t="shared" si="258"/>
        <v>6.7668917271508006E-2</v>
      </c>
      <c r="N166" s="4">
        <f t="shared" si="259"/>
        <v>0.375</v>
      </c>
      <c r="O166" s="4">
        <f t="shared" si="260"/>
        <v>0.41299999999999998</v>
      </c>
      <c r="P166" s="9">
        <f t="shared" si="261"/>
        <v>0.95</v>
      </c>
      <c r="Q166" s="5">
        <f t="shared" si="229"/>
        <v>36949</v>
      </c>
      <c r="R166" s="4">
        <f t="shared" si="249"/>
        <v>0</v>
      </c>
      <c r="S166" s="160">
        <f>_xll.xSPRDOPT($L166,$J166,$I166,$M166,$O166,$N166,$P166,$Q166-$C$3,$R166,0)</f>
        <v>0.40508131032296024</v>
      </c>
      <c r="T166" s="161">
        <f>_xll.xSPRDOPT($L166,$J166,$I166,$M166,$O166,$N166,$P166,$Q166-$C$3,$R166,1)*H166</f>
        <v>148730.66681589463</v>
      </c>
      <c r="U166" s="162">
        <f t="shared" si="250"/>
        <v>-101270.32758074006</v>
      </c>
      <c r="V166" s="161">
        <f>_xll.xSPRDOPT($L166,$J166,$I166,$M166,$O166,$N166,$P166,$Q166-$C$3,$R166,2)*H166</f>
        <v>-157602.29305853121</v>
      </c>
      <c r="W166" s="161">
        <f t="shared" si="251"/>
        <v>-8871.6262426365865</v>
      </c>
      <c r="X166" s="51" t="str">
        <f t="shared" si="252"/>
        <v>36951IF-TRANSCO/Z6</v>
      </c>
      <c r="Y166" s="431">
        <f t="shared" si="253"/>
        <v>-25</v>
      </c>
      <c r="AA166" s="41">
        <f t="shared" si="234"/>
        <v>41030</v>
      </c>
      <c r="AB166" s="43">
        <f t="shared" si="262"/>
        <v>0</v>
      </c>
      <c r="AC166" s="43">
        <f t="shared" si="262"/>
        <v>0</v>
      </c>
      <c r="AD166" s="43">
        <f t="shared" si="262"/>
        <v>0</v>
      </c>
      <c r="AE166" s="43">
        <f t="shared" si="262"/>
        <v>0</v>
      </c>
      <c r="AF166" s="44">
        <f t="shared" si="262"/>
        <v>0</v>
      </c>
      <c r="AG166" s="44">
        <f t="shared" si="262"/>
        <v>0</v>
      </c>
      <c r="AH166" s="41">
        <f t="shared" si="235"/>
        <v>41030</v>
      </c>
      <c r="AI166" s="44">
        <f t="shared" si="240"/>
        <v>0</v>
      </c>
      <c r="AK166" s="41">
        <f t="shared" si="236"/>
        <v>41030</v>
      </c>
      <c r="AL166" s="43">
        <f t="shared" si="263"/>
        <v>0</v>
      </c>
      <c r="AM166" s="43">
        <f t="shared" si="263"/>
        <v>0</v>
      </c>
      <c r="AN166" s="43">
        <f t="shared" si="263"/>
        <v>0</v>
      </c>
      <c r="AO166" s="43">
        <f t="shared" si="263"/>
        <v>0</v>
      </c>
      <c r="AP166" s="44">
        <f t="shared" si="263"/>
        <v>0</v>
      </c>
      <c r="AQ166" s="44">
        <f t="shared" si="263"/>
        <v>0</v>
      </c>
      <c r="AR166" s="41">
        <f t="shared" si="237"/>
        <v>41030</v>
      </c>
      <c r="AS166" s="44">
        <f t="shared" si="241"/>
        <v>0</v>
      </c>
    </row>
    <row r="167" spans="1:45" ht="12" customHeight="1" thickBot="1" x14ac:dyDescent="0.3">
      <c r="A167" s="395" t="s">
        <v>282</v>
      </c>
      <c r="B167" t="s">
        <v>253</v>
      </c>
      <c r="C167" t="s">
        <v>316</v>
      </c>
      <c r="D167" s="4" t="s">
        <v>9</v>
      </c>
      <c r="E167" t="s">
        <v>20</v>
      </c>
      <c r="F167" t="s">
        <v>21</v>
      </c>
      <c r="G167" s="5">
        <v>36647</v>
      </c>
      <c r="H167" s="130">
        <v>-500000</v>
      </c>
      <c r="I167">
        <v>-0.32</v>
      </c>
      <c r="J167" s="53">
        <f t="shared" ref="J167:J178" si="264">VLOOKUP(G167,NGPrices,2,FALSE)</f>
        <v>3.1579999999999999</v>
      </c>
      <c r="K167" s="7">
        <f t="shared" ref="K167:K178" si="265">HLOOKUP(D167,Prices,VLOOKUP(G167,move_down,2,FALSE),FALSE)</f>
        <v>-0.34499999999999997</v>
      </c>
      <c r="L167" s="4">
        <f t="shared" si="244"/>
        <v>2.8129999999999997</v>
      </c>
      <c r="M167" s="159">
        <f t="shared" ref="M167:M178" si="266">VLOOKUP(G167,NGPrices,4,FALSE)</f>
        <v>6.2683518517613002E-2</v>
      </c>
      <c r="N167" s="4">
        <f t="shared" ref="N167:N178" si="267">VLOOKUP(G167,NGPrices,3,FALSE)</f>
        <v>0.41</v>
      </c>
      <c r="O167" s="4">
        <f t="shared" ref="O167:O178" si="268">HLOOKUP(D167,VOLS,VLOOKUP(G167,move_down,2,FALSE),FALSE)</f>
        <v>0.377</v>
      </c>
      <c r="P167" s="9">
        <f t="shared" ref="P167:P178" si="269">HLOOKUP(D167,Correllate,VLOOKUP(G167,CorMove,2,FALSE),FALSE)</f>
        <v>0.96</v>
      </c>
      <c r="Q167" s="5">
        <f t="shared" ref="Q167:Q178" si="270">WORKDAY(G167,-2)</f>
        <v>36643</v>
      </c>
      <c r="R167" s="4">
        <f t="shared" si="249"/>
        <v>1</v>
      </c>
      <c r="S167" s="160">
        <f>_xll.xSPRDOPT($L167,$J167,$I167,$M167,$O167,$N167,$P167,$Q167-$C$3,$R167,0)</f>
        <v>1.578739605507451E-2</v>
      </c>
      <c r="T167" s="161">
        <f>_xll.xSPRDOPT($L167,$J167,$I167,$M167,$O167,$N167,$P167,$Q167-$C$3,$R167,1)*H167</f>
        <v>-177387.36053493409</v>
      </c>
      <c r="U167" s="162">
        <f t="shared" si="250"/>
        <v>-7893.6980275372553</v>
      </c>
      <c r="V167" s="161">
        <f>_xll.xSPRDOPT($L167,$J167,$I167,$M167,$O167,$N167,$P167,$Q167-$C$3,$R167,2)*H167</f>
        <v>173997.25637310659</v>
      </c>
      <c r="W167" s="161">
        <f t="shared" si="251"/>
        <v>-3390.1041618275049</v>
      </c>
      <c r="X167" s="51" t="str">
        <f t="shared" si="252"/>
        <v>36647IF-NWPL_ROCKY_M</v>
      </c>
      <c r="Y167" s="431">
        <f t="shared" si="253"/>
        <v>-50</v>
      </c>
      <c r="Z167" s="51"/>
      <c r="AA167" s="42">
        <f t="shared" si="234"/>
        <v>41061</v>
      </c>
      <c r="AB167" s="43">
        <f t="shared" si="262"/>
        <v>0</v>
      </c>
      <c r="AC167" s="43">
        <f t="shared" si="262"/>
        <v>0</v>
      </c>
      <c r="AD167" s="43">
        <f t="shared" si="262"/>
        <v>0</v>
      </c>
      <c r="AE167" s="43">
        <f t="shared" si="262"/>
        <v>0</v>
      </c>
      <c r="AF167" s="44">
        <f t="shared" si="262"/>
        <v>0</v>
      </c>
      <c r="AG167" s="44">
        <f t="shared" si="262"/>
        <v>0</v>
      </c>
      <c r="AH167" s="42">
        <f t="shared" si="235"/>
        <v>41061</v>
      </c>
      <c r="AI167" s="44">
        <f t="shared" si="240"/>
        <v>0</v>
      </c>
      <c r="AK167" s="42">
        <f t="shared" si="236"/>
        <v>41061</v>
      </c>
      <c r="AL167" s="45">
        <f t="shared" si="263"/>
        <v>0</v>
      </c>
      <c r="AM167" s="45">
        <f t="shared" si="263"/>
        <v>0</v>
      </c>
      <c r="AN167" s="45">
        <f t="shared" si="263"/>
        <v>0</v>
      </c>
      <c r="AO167" s="45">
        <f t="shared" si="263"/>
        <v>0</v>
      </c>
      <c r="AP167" s="46">
        <f t="shared" si="263"/>
        <v>0</v>
      </c>
      <c r="AQ167" s="44">
        <f t="shared" si="263"/>
        <v>0</v>
      </c>
      <c r="AR167" s="42">
        <f t="shared" si="237"/>
        <v>41061</v>
      </c>
      <c r="AS167" s="44">
        <f t="shared" si="241"/>
        <v>0</v>
      </c>
    </row>
    <row r="168" spans="1:45" ht="12" customHeight="1" x14ac:dyDescent="0.25">
      <c r="A168" s="395" t="s">
        <v>282</v>
      </c>
      <c r="B168" t="s">
        <v>253</v>
      </c>
      <c r="C168" t="s">
        <v>316</v>
      </c>
      <c r="D168" s="4" t="s">
        <v>9</v>
      </c>
      <c r="E168" t="s">
        <v>20</v>
      </c>
      <c r="F168" t="s">
        <v>21</v>
      </c>
      <c r="G168" s="5">
        <v>36678</v>
      </c>
      <c r="H168" s="130">
        <v>-500000</v>
      </c>
      <c r="I168">
        <v>-0.32</v>
      </c>
      <c r="J168" s="53">
        <f t="shared" si="264"/>
        <v>3.1720000000000002</v>
      </c>
      <c r="K168" s="7">
        <f t="shared" si="265"/>
        <v>-0.34</v>
      </c>
      <c r="L168" s="4">
        <f t="shared" si="244"/>
        <v>2.8320000000000003</v>
      </c>
      <c r="M168" s="159">
        <f t="shared" si="266"/>
        <v>6.3039999833066004E-2</v>
      </c>
      <c r="N168" s="4">
        <f t="shared" si="267"/>
        <v>0.38250000000000001</v>
      </c>
      <c r="O168" s="4">
        <f t="shared" si="268"/>
        <v>0.375</v>
      </c>
      <c r="P168" s="9">
        <f t="shared" si="269"/>
        <v>0.96</v>
      </c>
      <c r="Q168" s="5">
        <f t="shared" si="270"/>
        <v>36676</v>
      </c>
      <c r="R168" s="4">
        <f t="shared" si="249"/>
        <v>1</v>
      </c>
      <c r="S168" s="160">
        <f>_xll.xSPRDOPT($L168,$J168,$I168,$M168,$O168,$N168,$P168,$Q168-$C$3,$R168,0)</f>
        <v>3.8566083010680985E-2</v>
      </c>
      <c r="T168" s="161">
        <f>_xll.xSPRDOPT($L168,$J168,$I168,$M168,$O168,$N168,$P168,$Q168-$C$3,$R168,1)*H168</f>
        <v>-218261.79777635442</v>
      </c>
      <c r="U168" s="162">
        <f t="shared" si="250"/>
        <v>-19283.041505340494</v>
      </c>
      <c r="V168" s="161">
        <f>_xll.xSPRDOPT($L168,$J168,$I168,$M168,$O168,$N168,$P168,$Q168-$C$3,$R168,2)*H168</f>
        <v>211505.90500456502</v>
      </c>
      <c r="W168" s="161">
        <f t="shared" si="251"/>
        <v>-6755.8927717893966</v>
      </c>
      <c r="X168" s="51" t="str">
        <f t="shared" si="252"/>
        <v>36678IF-NWPL_ROCKY_M</v>
      </c>
      <c r="Y168" s="431">
        <f t="shared" si="253"/>
        <v>-50</v>
      </c>
      <c r="Z168" s="51"/>
    </row>
    <row r="169" spans="1:45" ht="12" customHeight="1" x14ac:dyDescent="0.25">
      <c r="A169" s="395" t="s">
        <v>282</v>
      </c>
      <c r="B169" t="s">
        <v>253</v>
      </c>
      <c r="C169" t="s">
        <v>316</v>
      </c>
      <c r="D169" s="4" t="s">
        <v>9</v>
      </c>
      <c r="E169" t="s">
        <v>20</v>
      </c>
      <c r="F169" t="s">
        <v>21</v>
      </c>
      <c r="G169" s="5">
        <v>36708</v>
      </c>
      <c r="H169" s="130">
        <v>-500000</v>
      </c>
      <c r="I169">
        <v>-0.32</v>
      </c>
      <c r="J169" s="53">
        <f t="shared" si="264"/>
        <v>3.181</v>
      </c>
      <c r="K169" s="7">
        <f t="shared" si="265"/>
        <v>-0.32250000000000001</v>
      </c>
      <c r="L169" s="4">
        <f t="shared" si="244"/>
        <v>2.8585000000000003</v>
      </c>
      <c r="M169" s="159">
        <f t="shared" si="266"/>
        <v>6.3695649345076003E-2</v>
      </c>
      <c r="N169" s="4">
        <f t="shared" si="267"/>
        <v>0.39500000000000002</v>
      </c>
      <c r="O169" s="4">
        <f t="shared" si="268"/>
        <v>0.38700000000000001</v>
      </c>
      <c r="P169" s="9">
        <f t="shared" si="269"/>
        <v>0.96</v>
      </c>
      <c r="Q169" s="5">
        <f t="shared" si="270"/>
        <v>36706</v>
      </c>
      <c r="R169" s="4">
        <f t="shared" si="249"/>
        <v>1</v>
      </c>
      <c r="S169" s="160">
        <f>_xll.xSPRDOPT($L169,$J169,$I169,$M169,$O169,$N169,$P169,$Q169-$C$3,$R169,0)</f>
        <v>6.3142152782796557E-2</v>
      </c>
      <c r="T169" s="161">
        <f>_xll.xSPRDOPT($L169,$J169,$I169,$M169,$O169,$N169,$P169,$Q169-$C$3,$R169,1)*H169</f>
        <v>-247558.90264526103</v>
      </c>
      <c r="U169" s="162">
        <f t="shared" si="250"/>
        <v>-31571.076391398277</v>
      </c>
      <c r="V169" s="161">
        <f>_xll.xSPRDOPT($L169,$J169,$I169,$M169,$O169,$N169,$P169,$Q169-$C$3,$R169,2)*H169</f>
        <v>238375.20804454709</v>
      </c>
      <c r="W169" s="161">
        <f t="shared" si="251"/>
        <v>-9183.6946007139341</v>
      </c>
      <c r="X169" s="51" t="str">
        <f t="shared" si="252"/>
        <v>36708IF-NWPL_ROCKY_M</v>
      </c>
      <c r="Y169" s="431">
        <f t="shared" si="253"/>
        <v>-50</v>
      </c>
      <c r="Z169" s="51"/>
    </row>
    <row r="170" spans="1:45" ht="12" customHeight="1" x14ac:dyDescent="0.25">
      <c r="A170" s="395" t="s">
        <v>282</v>
      </c>
      <c r="B170" t="s">
        <v>253</v>
      </c>
      <c r="C170" t="s">
        <v>316</v>
      </c>
      <c r="D170" s="4" t="s">
        <v>9</v>
      </c>
      <c r="E170" t="s">
        <v>20</v>
      </c>
      <c r="F170" t="s">
        <v>21</v>
      </c>
      <c r="G170" s="5">
        <v>36739</v>
      </c>
      <c r="H170" s="130">
        <v>-500000</v>
      </c>
      <c r="I170">
        <v>-0.32</v>
      </c>
      <c r="J170" s="53">
        <f t="shared" si="264"/>
        <v>3.1829999999999998</v>
      </c>
      <c r="K170" s="7">
        <f t="shared" si="265"/>
        <v>-0.32250000000000001</v>
      </c>
      <c r="L170" s="4">
        <f t="shared" si="244"/>
        <v>2.8605</v>
      </c>
      <c r="M170" s="159">
        <f t="shared" si="266"/>
        <v>6.4500399973534003E-2</v>
      </c>
      <c r="N170" s="4">
        <f t="shared" si="267"/>
        <v>0.41249999999999998</v>
      </c>
      <c r="O170" s="4">
        <f t="shared" si="268"/>
        <v>0.40400000000000003</v>
      </c>
      <c r="P170" s="9">
        <f t="shared" si="269"/>
        <v>0.96</v>
      </c>
      <c r="Q170" s="5">
        <f t="shared" si="270"/>
        <v>36735</v>
      </c>
      <c r="R170" s="4">
        <f t="shared" si="249"/>
        <v>1</v>
      </c>
      <c r="S170" s="160">
        <f>_xll.xSPRDOPT($L170,$J170,$I170,$M170,$O170,$N170,$P170,$Q170-$C$3,$R170,0)</f>
        <v>7.7903439049721079E-2</v>
      </c>
      <c r="T170" s="161">
        <f>_xll.xSPRDOPT($L170,$J170,$I170,$M170,$O170,$N170,$P170,$Q170-$C$3,$R170,1)*H170</f>
        <v>-247687.95080129532</v>
      </c>
      <c r="U170" s="162">
        <f t="shared" si="250"/>
        <v>-38951.719524860542</v>
      </c>
      <c r="V170" s="161">
        <f>_xll.xSPRDOPT($L170,$J170,$I170,$M170,$O170,$N170,$P170,$Q170-$C$3,$R170,2)*H170</f>
        <v>236410.35016827629</v>
      </c>
      <c r="W170" s="161">
        <f t="shared" si="251"/>
        <v>-11277.600633019028</v>
      </c>
      <c r="X170" s="51" t="str">
        <f t="shared" si="252"/>
        <v>36739IF-NWPL_ROCKY_M</v>
      </c>
      <c r="Y170" s="431">
        <f t="shared" si="253"/>
        <v>-50</v>
      </c>
      <c r="Z170" s="51"/>
    </row>
    <row r="171" spans="1:45" ht="12" customHeight="1" x14ac:dyDescent="0.25">
      <c r="A171" s="395" t="s">
        <v>282</v>
      </c>
      <c r="B171" t="s">
        <v>253</v>
      </c>
      <c r="C171" t="s">
        <v>316</v>
      </c>
      <c r="D171" s="4" t="s">
        <v>9</v>
      </c>
      <c r="E171" t="s">
        <v>20</v>
      </c>
      <c r="F171" t="s">
        <v>21</v>
      </c>
      <c r="G171" s="5">
        <v>36770</v>
      </c>
      <c r="H171" s="130">
        <v>-500000</v>
      </c>
      <c r="I171">
        <v>-0.32</v>
      </c>
      <c r="J171" s="53">
        <f t="shared" si="264"/>
        <v>3.173</v>
      </c>
      <c r="K171" s="7">
        <f t="shared" si="265"/>
        <v>-0.32250000000000001</v>
      </c>
      <c r="L171" s="4">
        <f t="shared" si="244"/>
        <v>2.8505000000000003</v>
      </c>
      <c r="M171" s="159">
        <f t="shared" si="266"/>
        <v>6.5221012015626995E-2</v>
      </c>
      <c r="N171" s="4">
        <f t="shared" si="267"/>
        <v>0.42</v>
      </c>
      <c r="O171" s="4">
        <f t="shared" si="268"/>
        <v>0.41199999999999998</v>
      </c>
      <c r="P171" s="9">
        <f t="shared" si="269"/>
        <v>0.96</v>
      </c>
      <c r="Q171" s="5">
        <f t="shared" si="270"/>
        <v>36768</v>
      </c>
      <c r="R171" s="4">
        <f t="shared" si="249"/>
        <v>1</v>
      </c>
      <c r="S171" s="160">
        <f>_xll.xSPRDOPT($L171,$J171,$I171,$M171,$O171,$N171,$P171,$Q171-$C$3,$R171,0)</f>
        <v>9.0546705422620555E-2</v>
      </c>
      <c r="T171" s="161">
        <f>_xll.xSPRDOPT($L171,$J171,$I171,$M171,$O171,$N171,$P171,$Q171-$C$3,$R171,1)*H171</f>
        <v>-247311.82346232116</v>
      </c>
      <c r="U171" s="162">
        <f t="shared" si="250"/>
        <v>-45273.352711310275</v>
      </c>
      <c r="V171" s="161">
        <f>_xll.xSPRDOPT($L171,$J171,$I171,$M171,$O171,$N171,$P171,$Q171-$C$3,$R171,2)*H171</f>
        <v>234186.09359304004</v>
      </c>
      <c r="W171" s="161">
        <f t="shared" si="251"/>
        <v>-13125.729869281116</v>
      </c>
      <c r="X171" s="51" t="str">
        <f t="shared" si="252"/>
        <v>36770IF-NWPL_ROCKY_M</v>
      </c>
      <c r="Y171" s="431">
        <f t="shared" si="253"/>
        <v>-50</v>
      </c>
      <c r="Z171" s="51"/>
    </row>
    <row r="172" spans="1:45" ht="12" customHeight="1" x14ac:dyDescent="0.25">
      <c r="A172" s="395" t="s">
        <v>282</v>
      </c>
      <c r="B172" t="s">
        <v>253</v>
      </c>
      <c r="C172" t="s">
        <v>316</v>
      </c>
      <c r="D172" s="4" t="s">
        <v>9</v>
      </c>
      <c r="E172" t="s">
        <v>20</v>
      </c>
      <c r="F172" t="s">
        <v>21</v>
      </c>
      <c r="G172" s="5">
        <v>36800</v>
      </c>
      <c r="H172" s="130">
        <v>-500000</v>
      </c>
      <c r="I172">
        <v>-0.32</v>
      </c>
      <c r="J172" s="53">
        <f t="shared" si="264"/>
        <v>3.18</v>
      </c>
      <c r="K172" s="7">
        <f t="shared" si="265"/>
        <v>-0.29749999999999999</v>
      </c>
      <c r="L172" s="4">
        <f t="shared" si="244"/>
        <v>2.8825000000000003</v>
      </c>
      <c r="M172" s="159">
        <f t="shared" si="266"/>
        <v>6.5817989695161006E-2</v>
      </c>
      <c r="N172" s="4">
        <f t="shared" si="267"/>
        <v>0.42249999999999999</v>
      </c>
      <c r="O172" s="4">
        <f t="shared" si="268"/>
        <v>0.41399999999999998</v>
      </c>
      <c r="P172" s="9">
        <f t="shared" si="269"/>
        <v>0.96</v>
      </c>
      <c r="Q172" s="5">
        <f t="shared" si="270"/>
        <v>36797</v>
      </c>
      <c r="R172" s="4">
        <f t="shared" si="249"/>
        <v>1</v>
      </c>
      <c r="S172" s="160">
        <f>_xll.xSPRDOPT($L172,$J172,$I172,$M172,$O172,$N172,$P172,$Q172-$C$3,$R172,0)</f>
        <v>0.11308842639577898</v>
      </c>
      <c r="T172" s="161">
        <f>_xll.xSPRDOPT($L172,$J172,$I172,$M172,$O172,$N172,$P172,$Q172-$C$3,$R172,1)*H172</f>
        <v>-265165.2896801696</v>
      </c>
      <c r="U172" s="162">
        <f t="shared" si="250"/>
        <v>-56544.21319788949</v>
      </c>
      <c r="V172" s="161">
        <f>_xll.xSPRDOPT($L172,$J172,$I172,$M172,$O172,$N172,$P172,$Q172-$C$3,$R172,2)*H172</f>
        <v>250707.70573928836</v>
      </c>
      <c r="W172" s="161">
        <f t="shared" si="251"/>
        <v>-14457.583940881246</v>
      </c>
      <c r="X172" s="51" t="str">
        <f t="shared" si="252"/>
        <v>36800IF-NWPL_ROCKY_M</v>
      </c>
      <c r="Y172" s="431">
        <f t="shared" si="253"/>
        <v>-50</v>
      </c>
    </row>
    <row r="173" spans="1:45" ht="12" customHeight="1" x14ac:dyDescent="0.25">
      <c r="A173" s="395" t="s">
        <v>282</v>
      </c>
      <c r="B173" t="s">
        <v>253</v>
      </c>
      <c r="C173" t="s">
        <v>317</v>
      </c>
      <c r="D173" s="4" t="s">
        <v>9</v>
      </c>
      <c r="E173" t="s">
        <v>20</v>
      </c>
      <c r="F173" t="s">
        <v>1</v>
      </c>
      <c r="G173" s="5">
        <v>36647</v>
      </c>
      <c r="H173" s="130">
        <v>-500000</v>
      </c>
      <c r="I173">
        <v>-0.32</v>
      </c>
      <c r="J173" s="53">
        <f t="shared" si="264"/>
        <v>3.1579999999999999</v>
      </c>
      <c r="K173" s="7">
        <f t="shared" si="265"/>
        <v>-0.34499999999999997</v>
      </c>
      <c r="L173" s="4">
        <f t="shared" si="244"/>
        <v>2.8129999999999997</v>
      </c>
      <c r="M173" s="159">
        <f t="shared" si="266"/>
        <v>6.2683518517613002E-2</v>
      </c>
      <c r="N173" s="4">
        <f t="shared" si="267"/>
        <v>0.41</v>
      </c>
      <c r="O173" s="4">
        <f t="shared" si="268"/>
        <v>0.377</v>
      </c>
      <c r="P173" s="9">
        <f t="shared" si="269"/>
        <v>0.96</v>
      </c>
      <c r="Q173" s="5">
        <f t="shared" si="270"/>
        <v>36643</v>
      </c>
      <c r="R173" s="4">
        <f t="shared" si="249"/>
        <v>0</v>
      </c>
      <c r="S173" s="160">
        <f>_xll.xSPRDOPT($L173,$J173,$I173,$M173,$O173,$N173,$P173,$Q173-$C$3,$R173,0)</f>
        <v>4.0744528319868197E-2</v>
      </c>
      <c r="T173" s="161">
        <f>_xll.xSPRDOPT($L173,$J173,$I173,$M173,$O173,$N173,$P173,$Q173-$C$3,$R173,1)*H173</f>
        <v>321755.28476094129</v>
      </c>
      <c r="U173" s="162">
        <f t="shared" si="250"/>
        <v>-20372.264159934097</v>
      </c>
      <c r="V173" s="161">
        <f>_xll.xSPRDOPT($L173,$J173,$I173,$M173,$O173,$N173,$P173,$Q173-$C$3,$R173,2)*H173</f>
        <v>-325145.38892276876</v>
      </c>
      <c r="W173" s="161">
        <f t="shared" si="251"/>
        <v>-3390.1041618274758</v>
      </c>
      <c r="X173" s="51" t="str">
        <f t="shared" si="252"/>
        <v>36647IF-NWPL_ROCKY_M</v>
      </c>
      <c r="Y173" s="431">
        <f t="shared" si="253"/>
        <v>-50</v>
      </c>
    </row>
    <row r="174" spans="1:45" ht="12" customHeight="1" x14ac:dyDescent="0.25">
      <c r="A174" s="395" t="s">
        <v>282</v>
      </c>
      <c r="B174" t="s">
        <v>253</v>
      </c>
      <c r="C174" t="s">
        <v>317</v>
      </c>
      <c r="D174" s="4" t="s">
        <v>9</v>
      </c>
      <c r="E174" t="s">
        <v>20</v>
      </c>
      <c r="F174" t="s">
        <v>1</v>
      </c>
      <c r="G174" s="5">
        <v>36678</v>
      </c>
      <c r="H174" s="130">
        <v>-500000</v>
      </c>
      <c r="I174">
        <v>-0.32</v>
      </c>
      <c r="J174" s="53">
        <f t="shared" si="264"/>
        <v>3.1720000000000002</v>
      </c>
      <c r="K174" s="7">
        <f t="shared" si="265"/>
        <v>-0.34</v>
      </c>
      <c r="L174" s="4">
        <f t="shared" si="244"/>
        <v>2.8320000000000003</v>
      </c>
      <c r="M174" s="159">
        <f t="shared" si="266"/>
        <v>6.3039999833066004E-2</v>
      </c>
      <c r="N174" s="4">
        <f t="shared" si="267"/>
        <v>0.38250000000000001</v>
      </c>
      <c r="O174" s="4">
        <f t="shared" si="268"/>
        <v>0.375</v>
      </c>
      <c r="P174" s="9">
        <f t="shared" si="269"/>
        <v>0.96</v>
      </c>
      <c r="Q174" s="5">
        <f t="shared" si="270"/>
        <v>36676</v>
      </c>
      <c r="R174" s="4">
        <f t="shared" si="249"/>
        <v>0</v>
      </c>
      <c r="S174" s="160">
        <f>_xll.xSPRDOPT($L174,$J174,$I174,$M174,$O174,$N174,$P174,$Q174-$C$3,$R174,0)</f>
        <v>5.8418201506883018E-2</v>
      </c>
      <c r="T174" s="161">
        <f>_xll.xSPRDOPT($L174,$J174,$I174,$M174,$O174,$N174,$P174,$Q174-$C$3,$R174,1)*H174</f>
        <v>278041.16462870192</v>
      </c>
      <c r="U174" s="162">
        <f t="shared" si="250"/>
        <v>-29209.100753441508</v>
      </c>
      <c r="V174" s="161">
        <f>_xll.xSPRDOPT($L174,$J174,$I174,$M174,$O174,$N174,$P174,$Q174-$C$3,$R174,2)*H174</f>
        <v>-284797.05740049132</v>
      </c>
      <c r="W174" s="161">
        <f t="shared" si="251"/>
        <v>-6755.8927717893966</v>
      </c>
      <c r="X174" s="51" t="str">
        <f t="shared" si="252"/>
        <v>36678IF-NWPL_ROCKY_M</v>
      </c>
      <c r="Y174" s="431">
        <f t="shared" si="253"/>
        <v>-50</v>
      </c>
      <c r="Z174" s="51"/>
    </row>
    <row r="175" spans="1:45" ht="12" customHeight="1" x14ac:dyDescent="0.25">
      <c r="A175" s="395" t="s">
        <v>282</v>
      </c>
      <c r="B175" t="s">
        <v>253</v>
      </c>
      <c r="C175" t="s">
        <v>317</v>
      </c>
      <c r="D175" s="4" t="s">
        <v>9</v>
      </c>
      <c r="E175" t="s">
        <v>20</v>
      </c>
      <c r="F175" t="s">
        <v>1</v>
      </c>
      <c r="G175" s="5">
        <v>36708</v>
      </c>
      <c r="H175" s="130">
        <v>-500000</v>
      </c>
      <c r="I175">
        <v>-0.32</v>
      </c>
      <c r="J175" s="53">
        <f t="shared" si="264"/>
        <v>3.181</v>
      </c>
      <c r="K175" s="7">
        <f t="shared" si="265"/>
        <v>-0.32250000000000001</v>
      </c>
      <c r="L175" s="4">
        <f t="shared" si="244"/>
        <v>2.8585000000000003</v>
      </c>
      <c r="M175" s="159">
        <f t="shared" si="266"/>
        <v>6.3695649345076003E-2</v>
      </c>
      <c r="N175" s="4">
        <f t="shared" si="267"/>
        <v>0.39500000000000002</v>
      </c>
      <c r="O175" s="4">
        <f t="shared" si="268"/>
        <v>0.38700000000000001</v>
      </c>
      <c r="P175" s="9">
        <f t="shared" si="269"/>
        <v>0.96</v>
      </c>
      <c r="Q175" s="5">
        <f t="shared" si="270"/>
        <v>36706</v>
      </c>
      <c r="R175" s="4">
        <f t="shared" si="249"/>
        <v>0</v>
      </c>
      <c r="S175" s="160">
        <f>_xll.xSPRDOPT($L175,$J175,$I175,$M175,$O175,$N175,$P175,$Q175-$C$3,$R175,0)</f>
        <v>6.5610528479048608E-2</v>
      </c>
      <c r="T175" s="161">
        <f>_xll.xSPRDOPT($L175,$J175,$I175,$M175,$O175,$N175,$P175,$Q175-$C$3,$R175,1)*H175</f>
        <v>246116.23660516628</v>
      </c>
      <c r="U175" s="162">
        <f t="shared" si="250"/>
        <v>-32805.264239524302</v>
      </c>
      <c r="V175" s="161">
        <f>_xll.xSPRDOPT($L175,$J175,$I175,$M175,$O175,$N175,$P175,$Q175-$C$3,$R175,2)*H175</f>
        <v>-255299.93120588025</v>
      </c>
      <c r="W175" s="161">
        <f t="shared" si="251"/>
        <v>-9183.6946007139632</v>
      </c>
      <c r="X175" s="51" t="str">
        <f t="shared" si="252"/>
        <v>36708IF-NWPL_ROCKY_M</v>
      </c>
      <c r="Y175" s="431">
        <f t="shared" si="253"/>
        <v>-50</v>
      </c>
      <c r="Z175" s="51"/>
    </row>
    <row r="176" spans="1:45" ht="12" customHeight="1" x14ac:dyDescent="0.25">
      <c r="A176" s="395" t="s">
        <v>282</v>
      </c>
      <c r="B176" t="s">
        <v>253</v>
      </c>
      <c r="C176" t="s">
        <v>317</v>
      </c>
      <c r="D176" s="4" t="s">
        <v>9</v>
      </c>
      <c r="E176" t="s">
        <v>20</v>
      </c>
      <c r="F176" t="s">
        <v>1</v>
      </c>
      <c r="G176" s="5">
        <v>36739</v>
      </c>
      <c r="H176" s="130">
        <v>-500000</v>
      </c>
      <c r="I176">
        <v>-0.32</v>
      </c>
      <c r="J176" s="53">
        <f t="shared" si="264"/>
        <v>3.1829999999999998</v>
      </c>
      <c r="K176" s="7">
        <f t="shared" si="265"/>
        <v>-0.32250000000000001</v>
      </c>
      <c r="L176" s="4">
        <f t="shared" si="244"/>
        <v>2.8605</v>
      </c>
      <c r="M176" s="159">
        <f t="shared" si="266"/>
        <v>6.4500399973534003E-2</v>
      </c>
      <c r="N176" s="4">
        <f t="shared" si="267"/>
        <v>0.41249999999999998</v>
      </c>
      <c r="O176" s="4">
        <f t="shared" si="268"/>
        <v>0.40400000000000003</v>
      </c>
      <c r="P176" s="9">
        <f t="shared" si="269"/>
        <v>0.96</v>
      </c>
      <c r="Q176" s="5">
        <f t="shared" si="270"/>
        <v>36735</v>
      </c>
      <c r="R176" s="4">
        <f t="shared" si="249"/>
        <v>0</v>
      </c>
      <c r="S176" s="160">
        <f>_xll.xSPRDOPT($L176,$J176,$I176,$M176,$O176,$N176,$P176,$Q176-$C$3,$R176,0)</f>
        <v>8.0358811105179145E-2</v>
      </c>
      <c r="T176" s="161">
        <f>_xll.xSPRDOPT($L176,$J176,$I176,$M176,$O176,$N176,$P176,$Q176-$C$3,$R176,1)*H176</f>
        <v>243386.46029032278</v>
      </c>
      <c r="U176" s="162">
        <f t="shared" si="250"/>
        <v>-40179.405552589575</v>
      </c>
      <c r="V176" s="161">
        <f>_xll.xSPRDOPT($L176,$J176,$I176,$M176,$O176,$N176,$P176,$Q176-$C$3,$R176,2)*H176</f>
        <v>-254664.06092334181</v>
      </c>
      <c r="W176" s="161">
        <f t="shared" si="251"/>
        <v>-11277.600633019028</v>
      </c>
      <c r="X176" s="51" t="str">
        <f t="shared" si="252"/>
        <v>36739IF-NWPL_ROCKY_M</v>
      </c>
      <c r="Y176" s="431">
        <f t="shared" si="253"/>
        <v>-50</v>
      </c>
      <c r="Z176" s="51"/>
    </row>
    <row r="177" spans="1:26" ht="12" customHeight="1" x14ac:dyDescent="0.25">
      <c r="A177" s="395" t="s">
        <v>282</v>
      </c>
      <c r="B177" t="s">
        <v>253</v>
      </c>
      <c r="C177" t="s">
        <v>317</v>
      </c>
      <c r="D177" s="4" t="s">
        <v>9</v>
      </c>
      <c r="E177" t="s">
        <v>20</v>
      </c>
      <c r="F177" t="s">
        <v>1</v>
      </c>
      <c r="G177" s="5">
        <v>36770</v>
      </c>
      <c r="H177" s="130">
        <v>-500000</v>
      </c>
      <c r="I177">
        <v>-0.32</v>
      </c>
      <c r="J177" s="53">
        <f t="shared" si="264"/>
        <v>3.173</v>
      </c>
      <c r="K177" s="7">
        <f t="shared" si="265"/>
        <v>-0.32250000000000001</v>
      </c>
      <c r="L177" s="4">
        <f t="shared" si="244"/>
        <v>2.8505000000000003</v>
      </c>
      <c r="M177" s="159">
        <f t="shared" si="266"/>
        <v>6.5221012015626995E-2</v>
      </c>
      <c r="N177" s="4">
        <f t="shared" si="267"/>
        <v>0.42</v>
      </c>
      <c r="O177" s="4">
        <f t="shared" si="268"/>
        <v>0.41199999999999998</v>
      </c>
      <c r="P177" s="9">
        <f t="shared" si="269"/>
        <v>0.96</v>
      </c>
      <c r="Q177" s="5">
        <f t="shared" si="270"/>
        <v>36768</v>
      </c>
      <c r="R177" s="4">
        <f t="shared" si="249"/>
        <v>0</v>
      </c>
      <c r="S177" s="160">
        <f>_xll.xSPRDOPT($L177,$J177,$I177,$M177,$O177,$N177,$P177,$Q177-$C$3,$R177,0)</f>
        <v>9.2987160192405424E-2</v>
      </c>
      <c r="T177" s="161">
        <f>_xll.xSPRDOPT($L177,$J177,$I177,$M177,$O177,$N177,$P177,$Q177-$C$3,$R177,1)*H177</f>
        <v>240779.13049467769</v>
      </c>
      <c r="U177" s="162">
        <f t="shared" si="250"/>
        <v>-46493.580096202713</v>
      </c>
      <c r="V177" s="161">
        <f>_xll.xSPRDOPT($L177,$J177,$I177,$M177,$O177,$N177,$P177,$Q177-$C$3,$R177,2)*H177</f>
        <v>-253904.86036395881</v>
      </c>
      <c r="W177" s="161">
        <f t="shared" si="251"/>
        <v>-13125.729869281116</v>
      </c>
      <c r="X177" s="51" t="str">
        <f t="shared" si="252"/>
        <v>36770IF-NWPL_ROCKY_M</v>
      </c>
      <c r="Y177" s="431">
        <f t="shared" si="253"/>
        <v>-50</v>
      </c>
      <c r="Z177" s="51"/>
    </row>
    <row r="178" spans="1:26" ht="12" customHeight="1" x14ac:dyDescent="0.25">
      <c r="A178" s="395" t="s">
        <v>282</v>
      </c>
      <c r="B178" t="s">
        <v>253</v>
      </c>
      <c r="C178" t="s">
        <v>317</v>
      </c>
      <c r="D178" s="4" t="s">
        <v>9</v>
      </c>
      <c r="E178" t="s">
        <v>20</v>
      </c>
      <c r="F178" t="s">
        <v>1</v>
      </c>
      <c r="G178" s="5">
        <v>36800</v>
      </c>
      <c r="H178" s="130">
        <v>-500000</v>
      </c>
      <c r="I178">
        <v>-0.32</v>
      </c>
      <c r="J178" s="53">
        <f t="shared" si="264"/>
        <v>3.18</v>
      </c>
      <c r="K178" s="7">
        <f t="shared" si="265"/>
        <v>-0.29749999999999999</v>
      </c>
      <c r="L178" s="4">
        <f t="shared" si="244"/>
        <v>2.8825000000000003</v>
      </c>
      <c r="M178" s="159">
        <f t="shared" si="266"/>
        <v>6.5817989695161006E-2</v>
      </c>
      <c r="N178" s="4">
        <f t="shared" si="267"/>
        <v>0.42249999999999999</v>
      </c>
      <c r="O178" s="4">
        <f t="shared" si="268"/>
        <v>0.41399999999999998</v>
      </c>
      <c r="P178" s="9">
        <f t="shared" si="269"/>
        <v>0.96</v>
      </c>
      <c r="Q178" s="5">
        <f t="shared" si="270"/>
        <v>36797</v>
      </c>
      <c r="R178" s="4">
        <f t="shared" si="249"/>
        <v>0</v>
      </c>
      <c r="S178" s="160">
        <f>_xll.xSPRDOPT($L178,$J178,$I178,$M178,$O178,$N178,$P178,$Q178-$C$3,$R178,0)</f>
        <v>9.1243634492784956E-2</v>
      </c>
      <c r="T178" s="161">
        <f>_xll.xSPRDOPT($L178,$J178,$I178,$M178,$O178,$N178,$P178,$Q178-$C$3,$R178,1)*H178</f>
        <v>220274.53038635832</v>
      </c>
      <c r="U178" s="162">
        <f t="shared" si="250"/>
        <v>-45621.817246392478</v>
      </c>
      <c r="V178" s="161">
        <f>_xll.xSPRDOPT($L178,$J178,$I178,$M178,$O178,$N178,$P178,$Q178-$C$3,$R178,2)*H178</f>
        <v>-234732.11432723954</v>
      </c>
      <c r="W178" s="161">
        <f t="shared" si="251"/>
        <v>-14457.583940881217</v>
      </c>
      <c r="X178" s="51" t="str">
        <f t="shared" si="252"/>
        <v>36800IF-NWPL_ROCKY_M</v>
      </c>
      <c r="Y178" s="431">
        <f t="shared" si="253"/>
        <v>-50</v>
      </c>
    </row>
    <row r="179" spans="1:26" ht="12" customHeight="1" x14ac:dyDescent="0.25">
      <c r="X179" s="51" t="str">
        <f t="shared" ref="X179:X197" si="271">CONCATENATE(G180,D180)</f>
        <v/>
      </c>
      <c r="Y179" s="51"/>
    </row>
    <row r="180" spans="1:26" ht="12" customHeight="1" x14ac:dyDescent="0.25">
      <c r="X180" s="51" t="str">
        <f t="shared" si="271"/>
        <v/>
      </c>
      <c r="Y180" s="51"/>
    </row>
    <row r="181" spans="1:26" ht="12" customHeight="1" x14ac:dyDescent="0.25">
      <c r="X181" s="51" t="str">
        <f t="shared" si="271"/>
        <v/>
      </c>
      <c r="Y181" s="51"/>
    </row>
    <row r="182" spans="1:26" ht="12" customHeight="1" x14ac:dyDescent="0.25">
      <c r="X182" s="51" t="str">
        <f t="shared" si="271"/>
        <v/>
      </c>
      <c r="Y182" s="51"/>
    </row>
    <row r="183" spans="1:26" ht="12" customHeight="1" x14ac:dyDescent="0.25">
      <c r="X183" s="51" t="str">
        <f t="shared" si="271"/>
        <v/>
      </c>
      <c r="Y183" s="51"/>
    </row>
    <row r="184" spans="1:26" ht="12" customHeight="1" x14ac:dyDescent="0.25">
      <c r="X184" s="51" t="str">
        <f t="shared" si="271"/>
        <v/>
      </c>
      <c r="Y184" s="51"/>
      <c r="Z184" s="51"/>
    </row>
    <row r="185" spans="1:26" ht="12" customHeight="1" x14ac:dyDescent="0.25">
      <c r="X185" s="51" t="str">
        <f t="shared" si="271"/>
        <v/>
      </c>
      <c r="Y185" s="51"/>
      <c r="Z185" s="51"/>
    </row>
    <row r="186" spans="1:26" ht="12" customHeight="1" x14ac:dyDescent="0.25">
      <c r="X186" s="51" t="str">
        <f t="shared" si="271"/>
        <v/>
      </c>
      <c r="Y186" s="51"/>
      <c r="Z186" s="51"/>
    </row>
    <row r="187" spans="1:26" ht="12" customHeight="1" x14ac:dyDescent="0.25">
      <c r="X187" s="51" t="str">
        <f t="shared" si="271"/>
        <v/>
      </c>
      <c r="Y187" s="51"/>
      <c r="Z187" s="51"/>
    </row>
    <row r="188" spans="1:26" ht="12" customHeight="1" x14ac:dyDescent="0.25">
      <c r="X188" s="51" t="str">
        <f t="shared" si="271"/>
        <v/>
      </c>
      <c r="Y188" s="51"/>
    </row>
    <row r="189" spans="1:26" ht="12" customHeight="1" x14ac:dyDescent="0.25">
      <c r="X189" s="51" t="str">
        <f t="shared" si="271"/>
        <v/>
      </c>
      <c r="Y189" s="51"/>
    </row>
    <row r="190" spans="1:26" ht="12" customHeight="1" x14ac:dyDescent="0.25">
      <c r="X190" s="51" t="str">
        <f t="shared" si="271"/>
        <v/>
      </c>
      <c r="Y190" s="51"/>
    </row>
    <row r="191" spans="1:26" ht="12" customHeight="1" x14ac:dyDescent="0.25">
      <c r="X191" s="51" t="str">
        <f t="shared" si="271"/>
        <v/>
      </c>
      <c r="Y191" s="51"/>
      <c r="Z191" s="51"/>
    </row>
    <row r="192" spans="1:26" ht="12" customHeight="1" x14ac:dyDescent="0.25">
      <c r="X192" s="51" t="str">
        <f t="shared" si="271"/>
        <v/>
      </c>
      <c r="Y192" s="51"/>
      <c r="Z192" s="51"/>
    </row>
    <row r="193" spans="24:26" ht="12" customHeight="1" x14ac:dyDescent="0.25">
      <c r="X193" s="51" t="str">
        <f t="shared" si="271"/>
        <v/>
      </c>
      <c r="Y193" s="51"/>
      <c r="Z193" s="51"/>
    </row>
    <row r="194" spans="24:26" ht="12" customHeight="1" x14ac:dyDescent="0.25">
      <c r="X194" s="51" t="str">
        <f t="shared" si="271"/>
        <v/>
      </c>
      <c r="Y194" s="51"/>
      <c r="Z194" s="51"/>
    </row>
    <row r="195" spans="24:26" ht="12" customHeight="1" x14ac:dyDescent="0.25">
      <c r="X195" s="51" t="str">
        <f t="shared" si="271"/>
        <v/>
      </c>
      <c r="Y195" s="51"/>
      <c r="Z195" s="51"/>
    </row>
    <row r="196" spans="24:26" ht="12" customHeight="1" x14ac:dyDescent="0.25">
      <c r="X196" s="51" t="str">
        <f t="shared" si="271"/>
        <v/>
      </c>
      <c r="Y196" s="51"/>
      <c r="Z196" s="51"/>
    </row>
    <row r="197" spans="24:26" ht="12" customHeight="1" x14ac:dyDescent="0.25">
      <c r="X197" s="51" t="str">
        <f t="shared" si="271"/>
        <v/>
      </c>
      <c r="Y197" s="51"/>
      <c r="Z197" s="51"/>
    </row>
    <row r="198" spans="24:26" ht="12" customHeight="1" x14ac:dyDescent="0.25">
      <c r="X198" s="51"/>
      <c r="Y198" s="51"/>
    </row>
    <row r="199" spans="24:26" ht="12" customHeight="1" x14ac:dyDescent="0.25">
      <c r="X199" s="51"/>
      <c r="Y199" s="51"/>
    </row>
    <row r="200" spans="24:26" ht="12" customHeight="1" x14ac:dyDescent="0.25">
      <c r="X200" s="51"/>
      <c r="Y200" s="51"/>
    </row>
    <row r="201" spans="24:26" ht="12" customHeight="1" x14ac:dyDescent="0.25">
      <c r="X201" s="51"/>
      <c r="Y201" s="51"/>
    </row>
    <row r="202" spans="24:26" ht="12" customHeight="1" x14ac:dyDescent="0.25">
      <c r="X202" s="51"/>
      <c r="Y202" s="51"/>
      <c r="Z202" s="51"/>
    </row>
    <row r="203" spans="24:26" ht="12" customHeight="1" x14ac:dyDescent="0.25">
      <c r="X203" s="51"/>
      <c r="Y203" s="51"/>
      <c r="Z203" s="51"/>
    </row>
    <row r="204" spans="24:26" ht="12" customHeight="1" x14ac:dyDescent="0.25">
      <c r="X204" s="51" t="e">
        <f>CONCATENATE(#REF!,#REF!)</f>
        <v>#REF!</v>
      </c>
      <c r="Y204" s="51"/>
      <c r="Z204" s="51"/>
    </row>
    <row r="205" spans="24:26" ht="12" customHeight="1" x14ac:dyDescent="0.25">
      <c r="X205" s="51" t="e">
        <f>CONCATENATE(#REF!,#REF!)</f>
        <v>#REF!</v>
      </c>
      <c r="Y205" s="51"/>
      <c r="Z205" s="51"/>
    </row>
    <row r="206" spans="24:26" ht="12" customHeight="1" x14ac:dyDescent="0.25">
      <c r="X206" s="51" t="e">
        <f>CONCATENATE(#REF!,#REF!)</f>
        <v>#REF!</v>
      </c>
      <c r="Y206" s="51"/>
      <c r="Z206" s="51"/>
    </row>
    <row r="207" spans="24:26" ht="12" customHeight="1" x14ac:dyDescent="0.25">
      <c r="X207" s="51" t="e">
        <f>CONCATENATE(#REF!,#REF!)</f>
        <v>#REF!</v>
      </c>
      <c r="Y207" s="51"/>
      <c r="Z207" s="51"/>
    </row>
    <row r="208" spans="24:26" ht="12" customHeight="1" x14ac:dyDescent="0.25">
      <c r="X208" s="51" t="e">
        <f>CONCATENATE(#REF!,#REF!)</f>
        <v>#REF!</v>
      </c>
      <c r="Y208" s="51"/>
      <c r="Z208" s="51"/>
    </row>
    <row r="209" spans="24:26" ht="12" customHeight="1" x14ac:dyDescent="0.25">
      <c r="X209" s="51" t="e">
        <f>CONCATENATE(#REF!,#REF!)</f>
        <v>#REF!</v>
      </c>
      <c r="Y209" s="51"/>
    </row>
    <row r="210" spans="24:26" ht="12" customHeight="1" x14ac:dyDescent="0.25">
      <c r="X210" s="51" t="e">
        <f>CONCATENATE(#REF!,#REF!)</f>
        <v>#REF!</v>
      </c>
      <c r="Y210" s="51"/>
    </row>
    <row r="211" spans="24:26" ht="12" customHeight="1" x14ac:dyDescent="0.25">
      <c r="X211" s="51" t="e">
        <f>CONCATENATE(#REF!,#REF!)</f>
        <v>#REF!</v>
      </c>
      <c r="Y211" s="51"/>
    </row>
    <row r="212" spans="24:26" ht="12" customHeight="1" x14ac:dyDescent="0.25">
      <c r="X212" s="51" t="e">
        <f>CONCATENATE(#REF!,#REF!)</f>
        <v>#REF!</v>
      </c>
      <c r="Y212" s="51"/>
      <c r="Z212" s="51"/>
    </row>
    <row r="213" spans="24:26" ht="12" customHeight="1" x14ac:dyDescent="0.25">
      <c r="X213" s="51" t="e">
        <f>CONCATENATE(#REF!,#REF!)</f>
        <v>#REF!</v>
      </c>
      <c r="Y213" s="51"/>
      <c r="Z213" s="51"/>
    </row>
    <row r="214" spans="24:26" ht="12" customHeight="1" x14ac:dyDescent="0.25">
      <c r="X214" s="51" t="e">
        <f>CONCATENATE(#REF!,#REF!)</f>
        <v>#REF!</v>
      </c>
      <c r="Y214" s="51"/>
      <c r="Z214" s="51"/>
    </row>
    <row r="215" spans="24:26" ht="12" customHeight="1" x14ac:dyDescent="0.25">
      <c r="X215" s="51" t="e">
        <f>CONCATENATE(#REF!,#REF!)</f>
        <v>#REF!</v>
      </c>
      <c r="Y215" s="51"/>
      <c r="Z215" s="51"/>
    </row>
    <row r="216" spans="24:26" ht="12" customHeight="1" x14ac:dyDescent="0.25">
      <c r="X216" s="51" t="e">
        <f>CONCATENATE(#REF!,#REF!)</f>
        <v>#REF!</v>
      </c>
      <c r="Y216" s="51"/>
      <c r="Z216" s="51"/>
    </row>
    <row r="217" spans="24:26" ht="12" customHeight="1" x14ac:dyDescent="0.25">
      <c r="X217" s="51" t="e">
        <f>CONCATENATE(#REF!,#REF!)</f>
        <v>#REF!</v>
      </c>
      <c r="Y217" s="51"/>
    </row>
    <row r="218" spans="24:26" ht="12" customHeight="1" x14ac:dyDescent="0.25">
      <c r="X218" s="51" t="e">
        <f>CONCATENATE(#REF!,#REF!)</f>
        <v>#REF!</v>
      </c>
      <c r="Y218" s="51"/>
    </row>
    <row r="219" spans="24:26" ht="12" customHeight="1" x14ac:dyDescent="0.25">
      <c r="X219" s="51" t="e">
        <f>CONCATENATE(#REF!,#REF!)</f>
        <v>#REF!</v>
      </c>
      <c r="Y219" s="51"/>
      <c r="Z219" s="51"/>
    </row>
    <row r="220" spans="24:26" ht="12" customHeight="1" x14ac:dyDescent="0.25">
      <c r="X220" s="51" t="e">
        <f>CONCATENATE(#REF!,#REF!)</f>
        <v>#REF!</v>
      </c>
      <c r="Y220" s="51"/>
      <c r="Z220" s="51"/>
    </row>
    <row r="221" spans="24:26" ht="12" customHeight="1" x14ac:dyDescent="0.25">
      <c r="X221" s="51" t="e">
        <f>CONCATENATE(#REF!,#REF!)</f>
        <v>#REF!</v>
      </c>
      <c r="Y221" s="51"/>
      <c r="Z221" s="51"/>
    </row>
    <row r="222" spans="24:26" ht="12" customHeight="1" x14ac:dyDescent="0.25">
      <c r="X222" s="51" t="e">
        <f>CONCATENATE(#REF!,#REF!)</f>
        <v>#REF!</v>
      </c>
      <c r="Y222" s="51"/>
      <c r="Z222" s="51"/>
    </row>
    <row r="223" spans="24:26" ht="12" customHeight="1" x14ac:dyDescent="0.25">
      <c r="X223" s="51" t="e">
        <f>CONCATENATE(#REF!,#REF!)</f>
        <v>#REF!</v>
      </c>
      <c r="Y223" s="51"/>
    </row>
    <row r="224" spans="24:26" ht="12" customHeight="1" x14ac:dyDescent="0.25">
      <c r="X224" s="51" t="e">
        <f>CONCATENATE(#REF!,#REF!)</f>
        <v>#REF!</v>
      </c>
      <c r="Y224" s="51"/>
    </row>
    <row r="225" spans="24:26" ht="12" customHeight="1" x14ac:dyDescent="0.25">
      <c r="X225" s="51" t="e">
        <f>CONCATENATE(#REF!,#REF!)</f>
        <v>#REF!</v>
      </c>
      <c r="Y225" s="51"/>
    </row>
    <row r="226" spans="24:26" ht="12" customHeight="1" x14ac:dyDescent="0.25">
      <c r="X226" s="51" t="e">
        <f>CONCATENATE(#REF!,#REF!)</f>
        <v>#REF!</v>
      </c>
      <c r="Y226" s="51"/>
    </row>
    <row r="227" spans="24:26" ht="12" customHeight="1" x14ac:dyDescent="0.25">
      <c r="X227" s="51" t="e">
        <f>CONCATENATE(#REF!,#REF!)</f>
        <v>#REF!</v>
      </c>
      <c r="Y227" s="51"/>
      <c r="Z227" s="51"/>
    </row>
    <row r="228" spans="24:26" ht="12" customHeight="1" x14ac:dyDescent="0.25">
      <c r="X228" s="51" t="e">
        <f>CONCATENATE(#REF!,#REF!)</f>
        <v>#REF!</v>
      </c>
      <c r="Y228" s="51"/>
      <c r="Z228" s="51"/>
    </row>
    <row r="229" spans="24:26" ht="12" customHeight="1" x14ac:dyDescent="0.25">
      <c r="X229" s="51" t="e">
        <f>CONCATENATE(#REF!,#REF!)</f>
        <v>#REF!</v>
      </c>
      <c r="Y229" s="51"/>
      <c r="Z229" s="51"/>
    </row>
    <row r="230" spans="24:26" ht="12" customHeight="1" x14ac:dyDescent="0.25">
      <c r="X230" s="51" t="e">
        <f>CONCATENATE(#REF!,#REF!)</f>
        <v>#REF!</v>
      </c>
      <c r="Y230" s="51"/>
      <c r="Z230" s="51"/>
    </row>
    <row r="231" spans="24:26" ht="12" customHeight="1" x14ac:dyDescent="0.25">
      <c r="X231" s="51" t="e">
        <f>CONCATENATE(#REF!,#REF!)</f>
        <v>#REF!</v>
      </c>
      <c r="Y231" s="51"/>
      <c r="Z231" s="51"/>
    </row>
    <row r="232" spans="24:26" ht="12" customHeight="1" x14ac:dyDescent="0.25">
      <c r="X232" s="51" t="e">
        <f>CONCATENATE(#REF!,#REF!)</f>
        <v>#REF!</v>
      </c>
      <c r="Y232" s="51"/>
    </row>
    <row r="233" spans="24:26" ht="12" customHeight="1" x14ac:dyDescent="0.25">
      <c r="X233" s="51" t="e">
        <f>CONCATENATE(#REF!,#REF!)</f>
        <v>#REF!</v>
      </c>
      <c r="Y233" s="51"/>
    </row>
    <row r="234" spans="24:26" ht="12" customHeight="1" x14ac:dyDescent="0.25">
      <c r="X234" s="51" t="e">
        <f>CONCATENATE(#REF!,#REF!)</f>
        <v>#REF!</v>
      </c>
      <c r="Y234" s="51"/>
    </row>
    <row r="235" spans="24:26" ht="12" customHeight="1" x14ac:dyDescent="0.25">
      <c r="X235" s="51" t="e">
        <f>CONCATENATE(#REF!,#REF!)</f>
        <v>#REF!</v>
      </c>
      <c r="Y235" s="51"/>
    </row>
    <row r="236" spans="24:26" ht="12" customHeight="1" x14ac:dyDescent="0.25">
      <c r="X236" s="51" t="e">
        <f>CONCATENATE(#REF!,#REF!)</f>
        <v>#REF!</v>
      </c>
      <c r="Y236" s="51"/>
    </row>
    <row r="237" spans="24:26" ht="12" customHeight="1" x14ac:dyDescent="0.25">
      <c r="X237" s="51" t="e">
        <f>CONCATENATE(#REF!,#REF!)</f>
        <v>#REF!</v>
      </c>
      <c r="Y237" s="51"/>
      <c r="Z237" s="51"/>
    </row>
    <row r="238" spans="24:26" ht="12" customHeight="1" x14ac:dyDescent="0.25">
      <c r="X238" s="51" t="e">
        <f>CONCATENATE(#REF!,#REF!)</f>
        <v>#REF!</v>
      </c>
      <c r="Y238" s="51"/>
    </row>
    <row r="239" spans="24:26" ht="12" customHeight="1" x14ac:dyDescent="0.25">
      <c r="X239" s="51" t="e">
        <f>CONCATENATE(#REF!,#REF!)</f>
        <v>#REF!</v>
      </c>
      <c r="Y239" s="51"/>
    </row>
    <row r="240" spans="24:26" ht="12" customHeight="1" x14ac:dyDescent="0.25">
      <c r="X240" s="51" t="e">
        <f>CONCATENATE(#REF!,#REF!)</f>
        <v>#REF!</v>
      </c>
      <c r="Y240" s="51"/>
    </row>
    <row r="241" spans="24:25" ht="12" customHeight="1" x14ac:dyDescent="0.25">
      <c r="X241" s="51" t="e">
        <f>CONCATENATE(#REF!,#REF!)</f>
        <v>#REF!</v>
      </c>
      <c r="Y241" s="51"/>
    </row>
    <row r="242" spans="24:25" ht="12" customHeight="1" x14ac:dyDescent="0.25">
      <c r="X242" s="51"/>
      <c r="Y242" s="51"/>
    </row>
    <row r="243" spans="24:25" ht="12" customHeight="1" x14ac:dyDescent="0.25">
      <c r="X243" s="51"/>
      <c r="Y243" s="51"/>
    </row>
    <row r="244" spans="24:25" ht="12" customHeight="1" x14ac:dyDescent="0.25">
      <c r="X244" s="51"/>
      <c r="Y244" s="51"/>
    </row>
    <row r="245" spans="24:25" ht="12" customHeight="1" x14ac:dyDescent="0.25">
      <c r="X245" s="51"/>
      <c r="Y245" s="51"/>
    </row>
    <row r="246" spans="24:25" ht="12" customHeight="1" x14ac:dyDescent="0.25">
      <c r="X246" s="51"/>
      <c r="Y246" s="51"/>
    </row>
    <row r="247" spans="24:25" x14ac:dyDescent="0.25">
      <c r="X247" s="51"/>
      <c r="Y247" s="51"/>
    </row>
    <row r="248" spans="24:25" x14ac:dyDescent="0.25">
      <c r="X248" s="51"/>
      <c r="Y248" s="51"/>
    </row>
    <row r="249" spans="24:25" x14ac:dyDescent="0.25">
      <c r="X249" s="51"/>
      <c r="Y249" s="51"/>
    </row>
    <row r="250" spans="24:25" x14ac:dyDescent="0.25">
      <c r="X250" t="e">
        <f>CONCATENATE(#REF!,#REF!)</f>
        <v>#REF!</v>
      </c>
      <c r="Y250" s="51"/>
    </row>
    <row r="251" spans="24:25" x14ac:dyDescent="0.25">
      <c r="X251" t="e">
        <f>CONCATENATE(#REF!,#REF!)</f>
        <v>#REF!</v>
      </c>
      <c r="Y251" s="51"/>
    </row>
    <row r="252" spans="24:25" x14ac:dyDescent="0.25">
      <c r="X252" t="e">
        <f>CONCATENATE(#REF!,#REF!)</f>
        <v>#REF!</v>
      </c>
      <c r="Y252" s="51"/>
    </row>
    <row r="253" spans="24:25" x14ac:dyDescent="0.25">
      <c r="X253" t="e">
        <f>CONCATENATE(#REF!,#REF!)</f>
        <v>#REF!</v>
      </c>
      <c r="Y253" s="51"/>
    </row>
    <row r="254" spans="24:25" x14ac:dyDescent="0.25">
      <c r="X254" t="e">
        <f>CONCATENATE(#REF!,#REF!)</f>
        <v>#REF!</v>
      </c>
      <c r="Y254" s="51"/>
    </row>
    <row r="255" spans="24:25" x14ac:dyDescent="0.25">
      <c r="X255" t="e">
        <f>CONCATENATE(#REF!,#REF!)</f>
        <v>#REF!</v>
      </c>
      <c r="Y255" s="51"/>
    </row>
    <row r="256" spans="24:25" x14ac:dyDescent="0.25">
      <c r="X256" t="e">
        <f>CONCATENATE(#REF!,#REF!)</f>
        <v>#REF!</v>
      </c>
      <c r="Y256" s="51"/>
    </row>
    <row r="257" spans="24:25" x14ac:dyDescent="0.25">
      <c r="X257" t="e">
        <f>CONCATENATE(#REF!,#REF!)</f>
        <v>#REF!</v>
      </c>
      <c r="Y257" s="51"/>
    </row>
    <row r="258" spans="24:25" x14ac:dyDescent="0.25">
      <c r="X258" t="e">
        <f>CONCATENATE(#REF!,#REF!)</f>
        <v>#REF!</v>
      </c>
      <c r="Y258" s="51"/>
    </row>
    <row r="259" spans="24:25" x14ac:dyDescent="0.25">
      <c r="X259" t="e">
        <f>CONCATENATE(#REF!,#REF!)</f>
        <v>#REF!</v>
      </c>
      <c r="Y259" s="51"/>
    </row>
    <row r="260" spans="24:25" x14ac:dyDescent="0.25">
      <c r="X260" t="e">
        <f>CONCATENATE(#REF!,#REF!)</f>
        <v>#REF!</v>
      </c>
      <c r="Y260" s="51"/>
    </row>
    <row r="261" spans="24:25" x14ac:dyDescent="0.25">
      <c r="X261" t="e">
        <f>CONCATENATE(#REF!,#REF!)</f>
        <v>#REF!</v>
      </c>
      <c r="Y261" s="51"/>
    </row>
    <row r="262" spans="24:25" x14ac:dyDescent="0.25">
      <c r="X262" t="e">
        <f>CONCATENATE(#REF!,#REF!)</f>
        <v>#REF!</v>
      </c>
      <c r="Y262" s="51"/>
    </row>
    <row r="263" spans="24:25" x14ac:dyDescent="0.25">
      <c r="X263" t="e">
        <f>CONCATENATE(#REF!,#REF!)</f>
        <v>#REF!</v>
      </c>
    </row>
    <row r="264" spans="24:25" x14ac:dyDescent="0.25">
      <c r="X264" t="e">
        <f>CONCATENATE(#REF!,#REF!)</f>
        <v>#REF!</v>
      </c>
    </row>
    <row r="265" spans="24:25" x14ac:dyDescent="0.25">
      <c r="X265" t="e">
        <f>CONCATENATE(#REF!,#REF!)</f>
        <v>#REF!</v>
      </c>
    </row>
    <row r="266" spans="24:25" x14ac:dyDescent="0.25">
      <c r="X266" t="e">
        <f>CONCATENATE(#REF!,#REF!)</f>
        <v>#REF!</v>
      </c>
    </row>
    <row r="267" spans="24:25" x14ac:dyDescent="0.25">
      <c r="X267" t="e">
        <f>CONCATENATE(#REF!,#REF!)</f>
        <v>#REF!</v>
      </c>
    </row>
    <row r="268" spans="24:25" x14ac:dyDescent="0.25">
      <c r="X268" t="e">
        <f>CONCATENATE(#REF!,#REF!)</f>
        <v>#REF!</v>
      </c>
    </row>
    <row r="269" spans="24:25" x14ac:dyDescent="0.25">
      <c r="X269" t="e">
        <f>CONCATENATE(#REF!,#REF!)</f>
        <v>#REF!</v>
      </c>
    </row>
    <row r="270" spans="24:25" x14ac:dyDescent="0.25">
      <c r="X270" t="e">
        <f>CONCATENATE(#REF!,#REF!)</f>
        <v>#REF!</v>
      </c>
    </row>
    <row r="271" spans="24:25" x14ac:dyDescent="0.25">
      <c r="X271" t="e">
        <f>CONCATENATE(#REF!,#REF!)</f>
        <v>#REF!</v>
      </c>
    </row>
    <row r="272" spans="24:25" x14ac:dyDescent="0.25">
      <c r="X272" t="e">
        <f>CONCATENATE(#REF!,#REF!)</f>
        <v>#REF!</v>
      </c>
    </row>
    <row r="273" spans="24:24" x14ac:dyDescent="0.25">
      <c r="X273" t="e">
        <f>CONCATENATE(#REF!,#REF!)</f>
        <v>#REF!</v>
      </c>
    </row>
    <row r="274" spans="24:24" x14ac:dyDescent="0.25">
      <c r="X274" t="e">
        <f>CONCATENATE(#REF!,#REF!)</f>
        <v>#REF!</v>
      </c>
    </row>
    <row r="275" spans="24:24" x14ac:dyDescent="0.25">
      <c r="X275" t="e">
        <f>CONCATENATE(#REF!,#REF!)</f>
        <v>#REF!</v>
      </c>
    </row>
    <row r="276" spans="24:24" x14ac:dyDescent="0.25">
      <c r="X276" t="e">
        <f>CONCATENATE(#REF!,#REF!)</f>
        <v>#REF!</v>
      </c>
    </row>
    <row r="277" spans="24:24" x14ac:dyDescent="0.25">
      <c r="X277" t="e">
        <f>CONCATENATE(#REF!,#REF!)</f>
        <v>#REF!</v>
      </c>
    </row>
    <row r="278" spans="24:24" x14ac:dyDescent="0.25">
      <c r="X278" t="e">
        <f>CONCATENATE(#REF!,#REF!)</f>
        <v>#REF!</v>
      </c>
    </row>
    <row r="279" spans="24:24" x14ac:dyDescent="0.25">
      <c r="X279" t="e">
        <f>CONCATENATE(#REF!,#REF!)</f>
        <v>#REF!</v>
      </c>
    </row>
    <row r="280" spans="24:24" x14ac:dyDescent="0.25">
      <c r="X280" t="e">
        <f>CONCATENATE(#REF!,#REF!)</f>
        <v>#REF!</v>
      </c>
    </row>
    <row r="281" spans="24:24" x14ac:dyDescent="0.25">
      <c r="X281" t="e">
        <f>CONCATENATE(#REF!,#REF!)</f>
        <v>#REF!</v>
      </c>
    </row>
    <row r="282" spans="24:24" x14ac:dyDescent="0.25">
      <c r="X282" t="e">
        <f>CONCATENATE(#REF!,#REF!)</f>
        <v>#REF!</v>
      </c>
    </row>
    <row r="283" spans="24:24" x14ac:dyDescent="0.25">
      <c r="X283" t="e">
        <f>CONCATENATE(#REF!,#REF!)</f>
        <v>#REF!</v>
      </c>
    </row>
    <row r="284" spans="24:24" x14ac:dyDescent="0.25">
      <c r="X284" t="e">
        <f>CONCATENATE(#REF!,#REF!)</f>
        <v>#REF!</v>
      </c>
    </row>
    <row r="285" spans="24:24" x14ac:dyDescent="0.25">
      <c r="X285" t="e">
        <f>CONCATENATE(#REF!,#REF!)</f>
        <v>#REF!</v>
      </c>
    </row>
    <row r="286" spans="24:24" x14ac:dyDescent="0.25">
      <c r="X286" t="e">
        <f>CONCATENATE(#REF!,#REF!)</f>
        <v>#REF!</v>
      </c>
    </row>
    <row r="287" spans="24:24" x14ac:dyDescent="0.25">
      <c r="X287" t="e">
        <f>CONCATENATE(#REF!,#REF!)</f>
        <v>#REF!</v>
      </c>
    </row>
    <row r="288" spans="24:24" x14ac:dyDescent="0.25">
      <c r="X288" t="e">
        <f>CONCATENATE(#REF!,#REF!)</f>
        <v>#REF!</v>
      </c>
    </row>
    <row r="289" spans="24:24" x14ac:dyDescent="0.25">
      <c r="X289" t="e">
        <f>CONCATENATE(#REF!,#REF!)</f>
        <v>#REF!</v>
      </c>
    </row>
    <row r="290" spans="24:24" x14ac:dyDescent="0.25">
      <c r="X290" t="e">
        <f>CONCATENATE(#REF!,#REF!)</f>
        <v>#REF!</v>
      </c>
    </row>
    <row r="291" spans="24:24" x14ac:dyDescent="0.25">
      <c r="X291" t="e">
        <f>CONCATENATE(#REF!,#REF!)</f>
        <v>#REF!</v>
      </c>
    </row>
    <row r="292" spans="24:24" x14ac:dyDescent="0.25">
      <c r="X292" t="e">
        <f>CONCATENATE(#REF!,#REF!)</f>
        <v>#REF!</v>
      </c>
    </row>
    <row r="293" spans="24:24" x14ac:dyDescent="0.25">
      <c r="X293" t="e">
        <f>CONCATENATE(#REF!,#REF!)</f>
        <v>#REF!</v>
      </c>
    </row>
    <row r="294" spans="24:24" x14ac:dyDescent="0.25">
      <c r="X294" t="e">
        <f>CONCATENATE(#REF!,#REF!)</f>
        <v>#REF!</v>
      </c>
    </row>
    <row r="295" spans="24:24" x14ac:dyDescent="0.25">
      <c r="X295" t="e">
        <f>CONCATENATE(#REF!,#REF!)</f>
        <v>#REF!</v>
      </c>
    </row>
    <row r="296" spans="24:24" x14ac:dyDescent="0.25">
      <c r="X296" t="e">
        <f>CONCATENATE(#REF!,#REF!)</f>
        <v>#REF!</v>
      </c>
    </row>
    <row r="297" spans="24:24" x14ac:dyDescent="0.25">
      <c r="X297" t="e">
        <f>CONCATENATE(#REF!,#REF!)</f>
        <v>#REF!</v>
      </c>
    </row>
    <row r="298" spans="24:24" x14ac:dyDescent="0.25">
      <c r="X298" t="e">
        <f>CONCATENATE(#REF!,#REF!)</f>
        <v>#REF!</v>
      </c>
    </row>
    <row r="299" spans="24:24" x14ac:dyDescent="0.25">
      <c r="X299" t="e">
        <f>CONCATENATE(#REF!,#REF!)</f>
        <v>#REF!</v>
      </c>
    </row>
    <row r="300" spans="24:24" x14ac:dyDescent="0.25">
      <c r="X300" t="e">
        <f>CONCATENATE(#REF!,#REF!)</f>
        <v>#REF!</v>
      </c>
    </row>
    <row r="301" spans="24:24" x14ac:dyDescent="0.25">
      <c r="X301" t="e">
        <f>CONCATENATE(#REF!,#REF!)</f>
        <v>#REF!</v>
      </c>
    </row>
    <row r="302" spans="24:24" x14ac:dyDescent="0.25">
      <c r="X302" t="e">
        <f>CONCATENATE(#REF!,#REF!)</f>
        <v>#REF!</v>
      </c>
    </row>
    <row r="303" spans="24:24" x14ac:dyDescent="0.25">
      <c r="X303" t="e">
        <f>CONCATENATE(#REF!,#REF!)</f>
        <v>#REF!</v>
      </c>
    </row>
    <row r="304" spans="24:24" x14ac:dyDescent="0.25">
      <c r="X304" t="str">
        <f t="shared" ref="X304:X330" si="272">CONCATENATE(G7,D7)</f>
        <v>36647IF-TRANSCO/Z6</v>
      </c>
    </row>
    <row r="305" spans="24:24" x14ac:dyDescent="0.25">
      <c r="X305" t="str">
        <f t="shared" si="272"/>
        <v>36647IF-CGT/APPALAC</v>
      </c>
    </row>
    <row r="306" spans="24:24" x14ac:dyDescent="0.25">
      <c r="X306" t="str">
        <f t="shared" si="272"/>
        <v>36647IF-NWPL_ROCKY_M</v>
      </c>
    </row>
    <row r="307" spans="24:24" x14ac:dyDescent="0.25">
      <c r="X307" t="str">
        <f t="shared" si="272"/>
        <v>36647IF-CGT/APPALAC</v>
      </c>
    </row>
    <row r="308" spans="24:24" x14ac:dyDescent="0.25">
      <c r="X308" t="str">
        <f t="shared" si="272"/>
        <v>36647IF-TRANSCO/Z6</v>
      </c>
    </row>
    <row r="309" spans="24:24" x14ac:dyDescent="0.25">
      <c r="X309" t="str">
        <f t="shared" si="272"/>
        <v>36678IF-TRANSCO/Z6</v>
      </c>
    </row>
    <row r="310" spans="24:24" x14ac:dyDescent="0.25">
      <c r="X310" t="str">
        <f t="shared" si="272"/>
        <v>36678IF-CGT/APPALAC</v>
      </c>
    </row>
    <row r="311" spans="24:24" x14ac:dyDescent="0.25">
      <c r="X311" t="str">
        <f t="shared" si="272"/>
        <v>36678IF-NWPL_ROCKY_M</v>
      </c>
    </row>
    <row r="312" spans="24:24" x14ac:dyDescent="0.25">
      <c r="X312" t="str">
        <f t="shared" si="272"/>
        <v>36678IF-CGT/APPALAC</v>
      </c>
    </row>
    <row r="313" spans="24:24" x14ac:dyDescent="0.25">
      <c r="X313" t="str">
        <f t="shared" si="272"/>
        <v>36678IF-TRANSCO/Z6</v>
      </c>
    </row>
    <row r="314" spans="24:24" x14ac:dyDescent="0.25">
      <c r="X314" t="str">
        <f t="shared" si="272"/>
        <v>36708IF-TRANSCO/Z6</v>
      </c>
    </row>
    <row r="315" spans="24:24" x14ac:dyDescent="0.25">
      <c r="X315" t="str">
        <f t="shared" si="272"/>
        <v>36708IF-CGT/APPALAC</v>
      </c>
    </row>
    <row r="316" spans="24:24" x14ac:dyDescent="0.25">
      <c r="X316" t="str">
        <f t="shared" si="272"/>
        <v>36708IF-NWPL_ROCKY_M</v>
      </c>
    </row>
    <row r="317" spans="24:24" x14ac:dyDescent="0.25">
      <c r="X317" t="str">
        <f t="shared" si="272"/>
        <v>36708IF-CGT/APPALAC</v>
      </c>
    </row>
    <row r="318" spans="24:24" x14ac:dyDescent="0.25">
      <c r="X318" t="str">
        <f t="shared" si="272"/>
        <v>36708IF-TRANSCO/Z6</v>
      </c>
    </row>
    <row r="319" spans="24:24" x14ac:dyDescent="0.25">
      <c r="X319" t="str">
        <f t="shared" si="272"/>
        <v>36739IF-TRANSCO/Z6</v>
      </c>
    </row>
    <row r="320" spans="24:24" x14ac:dyDescent="0.25">
      <c r="X320" t="str">
        <f t="shared" si="272"/>
        <v>36739IF-CGT/APPALAC</v>
      </c>
    </row>
    <row r="321" spans="24:24" x14ac:dyDescent="0.25">
      <c r="X321" t="str">
        <f t="shared" si="272"/>
        <v>36739IF-NWPL_ROCKY_M</v>
      </c>
    </row>
    <row r="322" spans="24:24" x14ac:dyDescent="0.25">
      <c r="X322" t="str">
        <f t="shared" si="272"/>
        <v>36739IF-CGT/APPALAC</v>
      </c>
    </row>
    <row r="323" spans="24:24" x14ac:dyDescent="0.25">
      <c r="X323" t="str">
        <f t="shared" si="272"/>
        <v>36739IF-TRANSCO/Z6</v>
      </c>
    </row>
    <row r="324" spans="24:24" x14ac:dyDescent="0.25">
      <c r="X324" t="str">
        <f t="shared" si="272"/>
        <v>36770IF-TRANSCO/Z6</v>
      </c>
    </row>
    <row r="325" spans="24:24" x14ac:dyDescent="0.25">
      <c r="X325" t="str">
        <f t="shared" si="272"/>
        <v>36770IF-CGT/APPALAC</v>
      </c>
    </row>
    <row r="326" spans="24:24" x14ac:dyDescent="0.25">
      <c r="X326" t="str">
        <f t="shared" si="272"/>
        <v>36770IF-NWPL_ROCKY_M</v>
      </c>
    </row>
    <row r="327" spans="24:24" x14ac:dyDescent="0.25">
      <c r="X327" t="str">
        <f t="shared" si="272"/>
        <v>36770IF-CGT/APPALAC</v>
      </c>
    </row>
    <row r="328" spans="24:24" x14ac:dyDescent="0.25">
      <c r="X328" t="str">
        <f t="shared" si="272"/>
        <v>36770IF-TRANSCO/Z6</v>
      </c>
    </row>
    <row r="329" spans="24:24" x14ac:dyDescent="0.25">
      <c r="X329" t="str">
        <f t="shared" si="272"/>
        <v>36800IF-TRANSCO/Z6</v>
      </c>
    </row>
    <row r="330" spans="24:24" x14ac:dyDescent="0.25">
      <c r="X330" t="str">
        <f t="shared" si="272"/>
        <v>36800IF-CGT/APPALAC</v>
      </c>
    </row>
    <row r="331" spans="24:24" x14ac:dyDescent="0.25">
      <c r="X331" t="str">
        <f t="shared" ref="X331:X351" si="273">CONCATENATE(G34,D34)</f>
        <v>36800IF-NWPL_ROCKY_M</v>
      </c>
    </row>
    <row r="332" spans="24:24" x14ac:dyDescent="0.25">
      <c r="X332" t="str">
        <f t="shared" si="273"/>
        <v>36800IF-CGT/APPALAC</v>
      </c>
    </row>
    <row r="333" spans="24:24" x14ac:dyDescent="0.25">
      <c r="X333" t="str">
        <f t="shared" si="273"/>
        <v>36800IF-TRANSCO/Z6</v>
      </c>
    </row>
    <row r="334" spans="24:24" x14ac:dyDescent="0.25">
      <c r="X334" t="str">
        <f t="shared" si="273"/>
        <v>36831IF-CGT/APPALAC</v>
      </c>
    </row>
    <row r="335" spans="24:24" x14ac:dyDescent="0.25">
      <c r="X335" t="str">
        <f t="shared" si="273"/>
        <v>36861IF-CGT/APPALAC</v>
      </c>
    </row>
    <row r="336" spans="24:24" x14ac:dyDescent="0.25">
      <c r="X336" t="str">
        <f t="shared" si="273"/>
        <v>36892IF-CGT/APPALAC</v>
      </c>
    </row>
    <row r="337" spans="24:24" x14ac:dyDescent="0.25">
      <c r="X337" t="str">
        <f t="shared" si="273"/>
        <v>36923IF-CGT/APPALAC</v>
      </c>
    </row>
    <row r="338" spans="24:24" x14ac:dyDescent="0.25">
      <c r="X338" t="str">
        <f t="shared" si="273"/>
        <v>36951IF-CGT/APPALAC</v>
      </c>
    </row>
    <row r="339" spans="24:24" x14ac:dyDescent="0.25">
      <c r="X339" t="str">
        <f t="shared" si="273"/>
        <v>36982IF-TRANSCO/Z6</v>
      </c>
    </row>
    <row r="340" spans="24:24" x14ac:dyDescent="0.25">
      <c r="X340" t="str">
        <f t="shared" si="273"/>
        <v>37012IF-TRANSCO/Z6</v>
      </c>
    </row>
    <row r="341" spans="24:24" x14ac:dyDescent="0.25">
      <c r="X341" t="str">
        <f t="shared" si="273"/>
        <v>37043IF-TRANSCO/Z6</v>
      </c>
    </row>
    <row r="342" spans="24:24" x14ac:dyDescent="0.25">
      <c r="X342" t="str">
        <f t="shared" si="273"/>
        <v>37073IF-TRANSCO/Z6</v>
      </c>
    </row>
    <row r="343" spans="24:24" x14ac:dyDescent="0.25">
      <c r="X343" t="str">
        <f t="shared" si="273"/>
        <v>37104IF-TRANSCO/Z6</v>
      </c>
    </row>
    <row r="344" spans="24:24" x14ac:dyDescent="0.25">
      <c r="X344" t="str">
        <f t="shared" si="273"/>
        <v>37135IF-TRANSCO/Z6</v>
      </c>
    </row>
    <row r="345" spans="24:24" x14ac:dyDescent="0.25">
      <c r="X345" t="str">
        <f t="shared" si="273"/>
        <v>37165IF-TRANSCO/Z6</v>
      </c>
    </row>
    <row r="346" spans="24:24" x14ac:dyDescent="0.25">
      <c r="X346" t="str">
        <f t="shared" si="273"/>
        <v>37196IF-TRANSCO/Z6</v>
      </c>
    </row>
    <row r="347" spans="24:24" x14ac:dyDescent="0.25">
      <c r="X347" t="str">
        <f t="shared" si="273"/>
        <v>37226IF-TRANSCO/Z6</v>
      </c>
    </row>
    <row r="348" spans="24:24" x14ac:dyDescent="0.25">
      <c r="X348" t="str">
        <f t="shared" si="273"/>
        <v>37257IF-TRANSCO/Z6</v>
      </c>
    </row>
    <row r="349" spans="24:24" x14ac:dyDescent="0.25">
      <c r="X349" t="str">
        <f t="shared" si="273"/>
        <v>37288IF-TRANSCO/Z6</v>
      </c>
    </row>
    <row r="350" spans="24:24" x14ac:dyDescent="0.25">
      <c r="X350" t="str">
        <f t="shared" si="273"/>
        <v>37316IF-TRANSCO/Z6</v>
      </c>
    </row>
    <row r="351" spans="24:24" x14ac:dyDescent="0.25">
      <c r="X351" t="str">
        <f t="shared" si="273"/>
        <v>36831IF-TRANSCO/Z6</v>
      </c>
    </row>
    <row r="352" spans="24:24" x14ac:dyDescent="0.25">
      <c r="X352" t="str">
        <f t="shared" ref="X352:X363" si="274">CONCATENATE(G55,D55)</f>
        <v>36831IF-TRANSCO/Z6</v>
      </c>
    </row>
    <row r="353" spans="24:24" x14ac:dyDescent="0.25">
      <c r="X353" t="str">
        <f t="shared" si="274"/>
        <v>36831IF-TRANSCO/Z6</v>
      </c>
    </row>
    <row r="354" spans="24:24" x14ac:dyDescent="0.25">
      <c r="X354" t="str">
        <f t="shared" si="274"/>
        <v>36831IF-TRANSCO/Z6</v>
      </c>
    </row>
    <row r="355" spans="24:24" x14ac:dyDescent="0.25">
      <c r="X355" t="str">
        <f t="shared" si="274"/>
        <v>36951IF-TRANSCO/Z6</v>
      </c>
    </row>
    <row r="356" spans="24:24" x14ac:dyDescent="0.25">
      <c r="X356" t="str">
        <f t="shared" si="274"/>
        <v>36951IF-TRANSCO/Z6</v>
      </c>
    </row>
    <row r="357" spans="24:24" x14ac:dyDescent="0.25">
      <c r="X357" t="str">
        <f t="shared" si="274"/>
        <v>36647IF-NWPL_ROCKY_M</v>
      </c>
    </row>
    <row r="358" spans="24:24" x14ac:dyDescent="0.25">
      <c r="X358" t="str">
        <f t="shared" si="274"/>
        <v>36678IF-NWPL_ROCKY_M</v>
      </c>
    </row>
    <row r="359" spans="24:24" x14ac:dyDescent="0.25">
      <c r="X359" t="str">
        <f t="shared" si="274"/>
        <v>36708IF-NWPL_ROCKY_M</v>
      </c>
    </row>
    <row r="360" spans="24:24" x14ac:dyDescent="0.25">
      <c r="X360" t="str">
        <f t="shared" si="274"/>
        <v>36739IF-NWPL_ROCKY_M</v>
      </c>
    </row>
    <row r="361" spans="24:24" x14ac:dyDescent="0.25">
      <c r="X361" t="str">
        <f t="shared" si="274"/>
        <v>36770IF-NWPL_ROCKY_M</v>
      </c>
    </row>
    <row r="362" spans="24:24" x14ac:dyDescent="0.25">
      <c r="X362" t="str">
        <f t="shared" si="274"/>
        <v>36800IF-NWPL_ROCKY_M</v>
      </c>
    </row>
    <row r="363" spans="24:24" x14ac:dyDescent="0.25">
      <c r="X363" t="str">
        <f t="shared" si="274"/>
        <v>36647IF-NWPL_ROCKY_M</v>
      </c>
    </row>
    <row r="364" spans="24:24" x14ac:dyDescent="0.25">
      <c r="X364" t="str">
        <f>CONCATENATE(G67,D67)</f>
        <v>36678IF-NWPL_ROCKY_M</v>
      </c>
    </row>
    <row r="365" spans="24:24" x14ac:dyDescent="0.25">
      <c r="X365" t="str">
        <f>CONCATENATE(G68,D68)</f>
        <v>36708IF-NWPL_ROCKY_M</v>
      </c>
    </row>
    <row r="366" spans="24:24" x14ac:dyDescent="0.25">
      <c r="X366" t="str">
        <f>CONCATENATE(G69,D69)</f>
        <v>36739IF-NWPL_ROCKY_M</v>
      </c>
    </row>
    <row r="367" spans="24:24" x14ac:dyDescent="0.25">
      <c r="X367" t="str">
        <f>CONCATENATE(G70,D70)</f>
        <v>36770IF-NWPL_ROCKY_M</v>
      </c>
    </row>
    <row r="368" spans="24:24" x14ac:dyDescent="0.25">
      <c r="X368" t="str">
        <f>CONCATENATE(G71,D71)</f>
        <v>36800IF-NWPL_ROCKY_M</v>
      </c>
    </row>
    <row r="369" spans="24:24" x14ac:dyDescent="0.25">
      <c r="X369" t="str">
        <f t="shared" ref="X369:X392" si="275">CONCATENATE(G73,D73)</f>
        <v>36678IF-NWPL_ROCKY_M</v>
      </c>
    </row>
    <row r="370" spans="24:24" x14ac:dyDescent="0.25">
      <c r="X370" t="str">
        <f t="shared" si="275"/>
        <v>36708IF-NWPL_ROCKY_M</v>
      </c>
    </row>
    <row r="371" spans="24:24" x14ac:dyDescent="0.25">
      <c r="X371" t="str">
        <f t="shared" si="275"/>
        <v>36739IF-NWPL_ROCKY_M</v>
      </c>
    </row>
    <row r="372" spans="24:24" x14ac:dyDescent="0.25">
      <c r="X372" t="str">
        <f t="shared" si="275"/>
        <v>36770IF-NWPL_ROCKY_M</v>
      </c>
    </row>
    <row r="373" spans="24:24" x14ac:dyDescent="0.25">
      <c r="X373" t="str">
        <f t="shared" si="275"/>
        <v>36800IF-NWPL_ROCKY_M</v>
      </c>
    </row>
    <row r="374" spans="24:24" x14ac:dyDescent="0.25">
      <c r="X374" t="str">
        <f t="shared" si="275"/>
        <v>36647IF-NWPL_ROCKY_M</v>
      </c>
    </row>
    <row r="375" spans="24:24" x14ac:dyDescent="0.25">
      <c r="X375" t="str">
        <f t="shared" si="275"/>
        <v>36678IF-NWPL_ROCKY_M</v>
      </c>
    </row>
    <row r="376" spans="24:24" x14ac:dyDescent="0.25">
      <c r="X376" t="str">
        <f t="shared" si="275"/>
        <v>36708IF-NWPL_ROCKY_M</v>
      </c>
    </row>
    <row r="377" spans="24:24" x14ac:dyDescent="0.25">
      <c r="X377" t="str">
        <f t="shared" si="275"/>
        <v>36739IF-NWPL_ROCKY_M</v>
      </c>
    </row>
    <row r="378" spans="24:24" x14ac:dyDescent="0.25">
      <c r="X378" t="str">
        <f t="shared" si="275"/>
        <v>36770IF-NWPL_ROCKY_M</v>
      </c>
    </row>
    <row r="379" spans="24:24" x14ac:dyDescent="0.25">
      <c r="X379" t="str">
        <f t="shared" si="275"/>
        <v>36800IF-NWPL_ROCKY_M</v>
      </c>
    </row>
    <row r="380" spans="24:24" x14ac:dyDescent="0.25">
      <c r="X380" t="str">
        <f t="shared" si="275"/>
        <v>36647IF-NWPL_ROCKY_M</v>
      </c>
    </row>
    <row r="381" spans="24:24" x14ac:dyDescent="0.25">
      <c r="X381" t="str">
        <f t="shared" si="275"/>
        <v>36678IF-NWPL_ROCKY_M</v>
      </c>
    </row>
    <row r="382" spans="24:24" x14ac:dyDescent="0.25">
      <c r="X382" t="str">
        <f t="shared" si="275"/>
        <v>36708IF-NWPL_ROCKY_M</v>
      </c>
    </row>
    <row r="383" spans="24:24" x14ac:dyDescent="0.25">
      <c r="X383" t="str">
        <f t="shared" si="275"/>
        <v>36739IF-NWPL_ROCKY_M</v>
      </c>
    </row>
    <row r="384" spans="24:24" x14ac:dyDescent="0.25">
      <c r="X384" t="str">
        <f t="shared" si="275"/>
        <v>36770IF-NWPL_ROCKY_M</v>
      </c>
    </row>
    <row r="385" spans="24:24" x14ac:dyDescent="0.25">
      <c r="X385" t="str">
        <f t="shared" si="275"/>
        <v>36800IF-NWPL_ROCKY_M</v>
      </c>
    </row>
    <row r="386" spans="24:24" x14ac:dyDescent="0.25">
      <c r="X386" t="str">
        <f t="shared" si="275"/>
        <v>36647IF-NWPL_ROCKY_M</v>
      </c>
    </row>
    <row r="387" spans="24:24" x14ac:dyDescent="0.25">
      <c r="X387" t="str">
        <f t="shared" si="275"/>
        <v>36678IF-NWPL_ROCKY_M</v>
      </c>
    </row>
    <row r="388" spans="24:24" x14ac:dyDescent="0.25">
      <c r="X388" t="str">
        <f t="shared" si="275"/>
        <v>36708IF-NWPL_ROCKY_M</v>
      </c>
    </row>
    <row r="389" spans="24:24" x14ac:dyDescent="0.25">
      <c r="X389" t="str">
        <f t="shared" si="275"/>
        <v>36739IF-NWPL_ROCKY_M</v>
      </c>
    </row>
    <row r="390" spans="24:24" x14ac:dyDescent="0.25">
      <c r="X390" t="str">
        <f t="shared" si="275"/>
        <v>36770IF-NWPL_ROCKY_M</v>
      </c>
    </row>
    <row r="391" spans="24:24" x14ac:dyDescent="0.25">
      <c r="X391" t="str">
        <f t="shared" si="275"/>
        <v>36800IF-NWPL_ROCKY_M</v>
      </c>
    </row>
    <row r="392" spans="24:24" x14ac:dyDescent="0.25">
      <c r="X392" t="str">
        <f t="shared" si="275"/>
        <v>36861IF-TRANSCO/Z6</v>
      </c>
    </row>
    <row r="407" spans="24:24" x14ac:dyDescent="0.25">
      <c r="X407" s="141"/>
    </row>
    <row r="408" spans="24:24" x14ac:dyDescent="0.25">
      <c r="X408" s="141"/>
    </row>
    <row r="409" spans="24:24" x14ac:dyDescent="0.25">
      <c r="X409" s="141"/>
    </row>
    <row r="410" spans="24:24" x14ac:dyDescent="0.25">
      <c r="X410" s="141"/>
    </row>
    <row r="411" spans="24:24" x14ac:dyDescent="0.25">
      <c r="X411" s="141"/>
    </row>
    <row r="412" spans="24:24" x14ac:dyDescent="0.25">
      <c r="X412" s="141"/>
    </row>
    <row r="413" spans="24:24" x14ac:dyDescent="0.25">
      <c r="X413" s="141"/>
    </row>
    <row r="414" spans="24:24" x14ac:dyDescent="0.25">
      <c r="X414" s="141"/>
    </row>
    <row r="415" spans="24:24" x14ac:dyDescent="0.25">
      <c r="X415" s="141"/>
    </row>
    <row r="416" spans="24:24" x14ac:dyDescent="0.25">
      <c r="X416" s="141"/>
    </row>
    <row r="417" spans="24:24" x14ac:dyDescent="0.25">
      <c r="X417" s="141"/>
    </row>
  </sheetData>
  <sheetCalcPr fullCalcOnLoad="1"/>
  <pageMargins left="0.2" right="0.33" top="0.84" bottom="1" header="0.5" footer="0.5"/>
  <pageSetup paperSize="5" scale="1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20"/>
  <sheetViews>
    <sheetView topLeftCell="A2" workbookViewId="0">
      <selection activeCell="A35" sqref="A35"/>
    </sheetView>
  </sheetViews>
  <sheetFormatPr defaultRowHeight="13.2" x14ac:dyDescent="0.25"/>
  <cols>
    <col min="1" max="1" width="14.5546875" customWidth="1"/>
    <col min="2" max="2" width="9.33203125" bestFit="1" customWidth="1"/>
    <col min="3" max="3" width="11" customWidth="1"/>
    <col min="5" max="7" width="9.33203125" bestFit="1" customWidth="1"/>
    <col min="8" max="8" width="11.6640625" customWidth="1"/>
    <col min="9" max="17" width="9.33203125" bestFit="1" customWidth="1"/>
    <col min="18" max="18" width="10.5546875" customWidth="1"/>
    <col min="19" max="19" width="13.6640625" customWidth="1"/>
    <col min="24" max="24" width="10.33203125" bestFit="1" customWidth="1"/>
    <col min="25" max="25" width="9.33203125" bestFit="1" customWidth="1"/>
    <col min="26" max="26" width="9.33203125" customWidth="1"/>
    <col min="28" max="28" width="10.33203125" bestFit="1" customWidth="1"/>
  </cols>
  <sheetData>
    <row r="1" spans="1:28" ht="15.6" x14ac:dyDescent="0.3">
      <c r="A1" s="342" t="s">
        <v>246</v>
      </c>
      <c r="B1" s="343"/>
    </row>
    <row r="3" spans="1:28" x14ac:dyDescent="0.25">
      <c r="A3" s="144" t="s">
        <v>35</v>
      </c>
      <c r="B3" s="341">
        <f>Summary!P1</f>
        <v>36633</v>
      </c>
      <c r="R3" t="s">
        <v>247</v>
      </c>
      <c r="S3" s="10">
        <f>SUM(S7:S191)</f>
        <v>-4.0533677180971051</v>
      </c>
    </row>
    <row r="4" spans="1:28" ht="15.6" x14ac:dyDescent="0.3">
      <c r="A4" s="13" t="s">
        <v>61</v>
      </c>
      <c r="B4" s="14"/>
      <c r="C4" s="15"/>
      <c r="D4" s="15"/>
      <c r="E4" s="15"/>
      <c r="F4" s="15"/>
      <c r="G4" s="15"/>
      <c r="H4" s="15"/>
      <c r="I4" s="73"/>
      <c r="J4" s="70" t="s">
        <v>62</v>
      </c>
      <c r="K4" s="16"/>
      <c r="L4" s="16"/>
      <c r="M4" s="16"/>
      <c r="N4" s="16"/>
      <c r="O4" s="16"/>
      <c r="P4" s="16"/>
      <c r="Q4" s="16"/>
      <c r="R4" s="16"/>
      <c r="S4" s="340"/>
    </row>
    <row r="5" spans="1:28" x14ac:dyDescent="0.25">
      <c r="A5" s="69"/>
      <c r="B5" s="69"/>
      <c r="C5" s="69"/>
      <c r="D5" s="69" t="s">
        <v>12</v>
      </c>
      <c r="E5" s="69"/>
      <c r="F5" s="69" t="s">
        <v>13</v>
      </c>
      <c r="G5" s="69" t="s">
        <v>242</v>
      </c>
      <c r="H5" s="69" t="s">
        <v>242</v>
      </c>
      <c r="I5" s="68" t="s">
        <v>241</v>
      </c>
      <c r="J5" s="48" t="s">
        <v>25</v>
      </c>
      <c r="K5" s="48"/>
      <c r="L5" s="48" t="s">
        <v>27</v>
      </c>
      <c r="M5" s="48" t="s">
        <v>28</v>
      </c>
      <c r="N5" s="48" t="s">
        <v>63</v>
      </c>
      <c r="O5" s="48" t="s">
        <v>31</v>
      </c>
      <c r="P5" s="48" t="s">
        <v>244</v>
      </c>
      <c r="Q5" s="48"/>
      <c r="R5" s="48"/>
      <c r="S5" s="69"/>
      <c r="T5" t="s">
        <v>252</v>
      </c>
      <c r="W5" s="362" t="s">
        <v>114</v>
      </c>
      <c r="X5" s="358"/>
      <c r="Y5" s="358"/>
      <c r="Z5" s="358"/>
      <c r="AA5" s="358"/>
      <c r="AB5" s="358"/>
    </row>
    <row r="6" spans="1:28" ht="14.25" customHeight="1" thickBot="1" x14ac:dyDescent="0.3">
      <c r="A6" s="3" t="s">
        <v>15</v>
      </c>
      <c r="B6" s="3" t="s">
        <v>16</v>
      </c>
      <c r="C6" s="3" t="s">
        <v>2</v>
      </c>
      <c r="D6" s="3" t="s">
        <v>18</v>
      </c>
      <c r="E6" s="3" t="s">
        <v>3</v>
      </c>
      <c r="F6" s="3" t="s">
        <v>19</v>
      </c>
      <c r="G6" s="3" t="s">
        <v>29</v>
      </c>
      <c r="H6" s="3" t="s">
        <v>243</v>
      </c>
      <c r="I6" s="3" t="s">
        <v>5</v>
      </c>
      <c r="J6" s="3" t="s">
        <v>5</v>
      </c>
      <c r="K6" s="3" t="s">
        <v>26</v>
      </c>
      <c r="L6" s="3" t="s">
        <v>5</v>
      </c>
      <c r="M6" s="3" t="s">
        <v>29</v>
      </c>
      <c r="N6" s="3" t="s">
        <v>32</v>
      </c>
      <c r="O6" s="3" t="s">
        <v>30</v>
      </c>
      <c r="P6" s="3" t="s">
        <v>125</v>
      </c>
      <c r="Q6" s="3" t="s">
        <v>23</v>
      </c>
      <c r="R6" s="3" t="s">
        <v>22</v>
      </c>
      <c r="S6" s="3" t="s">
        <v>24</v>
      </c>
      <c r="T6" t="s">
        <v>87</v>
      </c>
      <c r="W6" s="358"/>
      <c r="X6" s="362" t="s">
        <v>240</v>
      </c>
      <c r="Y6" s="362" t="s">
        <v>251</v>
      </c>
      <c r="Z6" s="221" t="s">
        <v>100</v>
      </c>
      <c r="AA6" s="362"/>
      <c r="AB6" s="362" t="s">
        <v>116</v>
      </c>
    </row>
    <row r="7" spans="1:28" x14ac:dyDescent="0.25">
      <c r="A7" t="s">
        <v>249</v>
      </c>
      <c r="B7" t="s">
        <v>250</v>
      </c>
      <c r="C7" t="s">
        <v>251</v>
      </c>
      <c r="D7" t="s">
        <v>194</v>
      </c>
      <c r="E7" s="264">
        <v>36647</v>
      </c>
      <c r="F7">
        <v>-77500</v>
      </c>
      <c r="G7">
        <v>0.13500000000000001</v>
      </c>
      <c r="H7">
        <v>0.13500000000000001</v>
      </c>
      <c r="I7">
        <v>2.4500000000000002</v>
      </c>
      <c r="J7" s="53">
        <f>VLOOKUP(E7,NGPrices,2,FALSE)</f>
        <v>3.1579999999999999</v>
      </c>
      <c r="K7" s="7">
        <f>HLOOKUP(C7,Prices,VLOOKUP(E7,move_down,2,FALSE),FALSE)</f>
        <v>-0.11</v>
      </c>
      <c r="L7" s="7">
        <f>K7+J7</f>
        <v>3.048</v>
      </c>
      <c r="M7" s="52">
        <f>VLOOKUP(E7,NGPrices,4,FALSE)</f>
        <v>6.2683518517613002E-2</v>
      </c>
      <c r="N7" s="75">
        <f>WORKDAY(E7,-3)-B$3</f>
        <v>9</v>
      </c>
      <c r="O7" s="4">
        <f>HLOOKUP(C7,VOLS,VLOOKUP(E7,move_down,2,FALSE),FALSE)</f>
        <v>0.41</v>
      </c>
      <c r="P7" s="4">
        <f>IF(D7="C",1,0)</f>
        <v>0</v>
      </c>
      <c r="Q7">
        <f>_xll.xDIGITAL(H7,L7,I7,M7,M7,O7,N7,P7,0)</f>
        <v>5.2301518943188449E-5</v>
      </c>
      <c r="R7">
        <f>_xll.xDIGITAL(H7,L7,I7,M7,M7,O7,N7,P7,1)</f>
        <v>-9.6270925860180475E-4</v>
      </c>
      <c r="S7" s="10">
        <f>Q7*F7</f>
        <v>-4.0533677180971051</v>
      </c>
      <c r="T7">
        <f>R7*F7</f>
        <v>74.609967541639875</v>
      </c>
      <c r="U7" t="str">
        <f>E7&amp;C7</f>
        <v>36647IF-ANR/OK</v>
      </c>
      <c r="W7" s="359">
        <f>EOMONTH(B3,0)+1</f>
        <v>36647</v>
      </c>
      <c r="X7" s="350">
        <f t="shared" ref="X7:X20" si="0">SUMIF($U$7:$U$92,$W7&amp;$X$6,$T$7:$T$91)</f>
        <v>0</v>
      </c>
      <c r="Y7" s="351">
        <f t="shared" ref="Y7:Y20" si="1">SUMIF($U$7:$U$92,$W7&amp;$Y$6,$T$7:$T$91)</f>
        <v>74.609967541639875</v>
      </c>
      <c r="Z7" s="351">
        <f t="shared" ref="Z7:Z20" si="2">SUMIF($U$7:$U$92,$W7&amp;$Z$6,$T$7:$T$91)</f>
        <v>0</v>
      </c>
      <c r="AA7" s="351"/>
      <c r="AB7" s="352">
        <f>SUM(X7:AA7)</f>
        <v>74.609967541639875</v>
      </c>
    </row>
    <row r="8" spans="1:28" x14ac:dyDescent="0.25">
      <c r="E8" s="264"/>
      <c r="J8" s="53"/>
      <c r="K8" s="7"/>
      <c r="L8" s="7"/>
      <c r="M8" s="52"/>
      <c r="N8" s="75"/>
      <c r="O8" s="4"/>
      <c r="P8" s="4"/>
      <c r="S8" s="10"/>
      <c r="W8" s="360">
        <f t="shared" ref="W8:W20" si="3">EOMONTH(W7,0)+1</f>
        <v>36678</v>
      </c>
      <c r="X8" s="353">
        <f t="shared" si="0"/>
        <v>0</v>
      </c>
      <c r="Y8" s="200">
        <f t="shared" si="1"/>
        <v>0</v>
      </c>
      <c r="Z8" s="200">
        <f t="shared" si="2"/>
        <v>0</v>
      </c>
      <c r="AA8" s="200"/>
      <c r="AB8" s="354">
        <f t="shared" ref="AB8:AB20" si="4">SUM(X8:AA8)</f>
        <v>0</v>
      </c>
    </row>
    <row r="9" spans="1:28" x14ac:dyDescent="0.25">
      <c r="E9" s="264"/>
      <c r="J9" s="53"/>
      <c r="K9" s="7"/>
      <c r="L9" s="7"/>
      <c r="M9" s="52"/>
      <c r="N9" s="75"/>
      <c r="O9" s="4"/>
      <c r="P9" s="4"/>
      <c r="S9" s="10"/>
      <c r="U9" t="str">
        <f>E8&amp;C8</f>
        <v/>
      </c>
      <c r="W9" s="360">
        <f t="shared" si="3"/>
        <v>36708</v>
      </c>
      <c r="X9" s="353">
        <f t="shared" si="0"/>
        <v>0</v>
      </c>
      <c r="Y9" s="200">
        <f t="shared" si="1"/>
        <v>0</v>
      </c>
      <c r="Z9" s="200">
        <f t="shared" si="2"/>
        <v>0</v>
      </c>
      <c r="AA9" s="200"/>
      <c r="AB9" s="354">
        <f t="shared" si="4"/>
        <v>0</v>
      </c>
    </row>
    <row r="10" spans="1:28" x14ac:dyDescent="0.25">
      <c r="E10" s="264"/>
      <c r="J10" s="53"/>
      <c r="K10" s="7"/>
      <c r="L10" s="7"/>
      <c r="M10" s="52"/>
      <c r="N10" s="75"/>
      <c r="O10" s="4"/>
      <c r="P10" s="4"/>
      <c r="S10" s="10"/>
      <c r="U10" t="str">
        <f>E9&amp;C9</f>
        <v/>
      </c>
      <c r="W10" s="360">
        <f t="shared" si="3"/>
        <v>36739</v>
      </c>
      <c r="X10" s="353">
        <f t="shared" si="0"/>
        <v>0</v>
      </c>
      <c r="Y10" s="200">
        <f t="shared" si="1"/>
        <v>0</v>
      </c>
      <c r="Z10" s="200">
        <f t="shared" si="2"/>
        <v>0</v>
      </c>
      <c r="AA10" s="200"/>
      <c r="AB10" s="354">
        <f t="shared" si="4"/>
        <v>0</v>
      </c>
    </row>
    <row r="11" spans="1:28" x14ac:dyDescent="0.25">
      <c r="U11" t="str">
        <f>E10&amp;C10</f>
        <v/>
      </c>
      <c r="W11" s="360">
        <f t="shared" si="3"/>
        <v>36770</v>
      </c>
      <c r="X11" s="353">
        <f t="shared" si="0"/>
        <v>0</v>
      </c>
      <c r="Y11" s="200">
        <f t="shared" si="1"/>
        <v>0</v>
      </c>
      <c r="Z11" s="200">
        <f t="shared" si="2"/>
        <v>0</v>
      </c>
      <c r="AA11" s="200"/>
      <c r="AB11" s="354">
        <f t="shared" si="4"/>
        <v>0</v>
      </c>
    </row>
    <row r="12" spans="1:28" x14ac:dyDescent="0.25">
      <c r="W12" s="360">
        <f t="shared" si="3"/>
        <v>36800</v>
      </c>
      <c r="X12" s="353">
        <f t="shared" si="0"/>
        <v>0</v>
      </c>
      <c r="Y12" s="200">
        <f t="shared" si="1"/>
        <v>0</v>
      </c>
      <c r="Z12" s="200">
        <f t="shared" si="2"/>
        <v>0</v>
      </c>
      <c r="AA12" s="200"/>
      <c r="AB12" s="354">
        <f t="shared" si="4"/>
        <v>0</v>
      </c>
    </row>
    <row r="13" spans="1:28" x14ac:dyDescent="0.25">
      <c r="W13" s="360">
        <f t="shared" si="3"/>
        <v>36831</v>
      </c>
      <c r="X13" s="353">
        <f t="shared" si="0"/>
        <v>0</v>
      </c>
      <c r="Y13" s="200">
        <f t="shared" si="1"/>
        <v>0</v>
      </c>
      <c r="Z13" s="200">
        <f t="shared" si="2"/>
        <v>0</v>
      </c>
      <c r="AA13" s="200"/>
      <c r="AB13" s="354">
        <f t="shared" si="4"/>
        <v>0</v>
      </c>
    </row>
    <row r="14" spans="1:28" x14ac:dyDescent="0.25">
      <c r="W14" s="360">
        <f t="shared" si="3"/>
        <v>36861</v>
      </c>
      <c r="X14" s="353">
        <f t="shared" si="0"/>
        <v>0</v>
      </c>
      <c r="Y14" s="200">
        <f t="shared" si="1"/>
        <v>0</v>
      </c>
      <c r="Z14" s="200">
        <f t="shared" si="2"/>
        <v>0</v>
      </c>
      <c r="AA14" s="200"/>
      <c r="AB14" s="354">
        <f t="shared" si="4"/>
        <v>0</v>
      </c>
    </row>
    <row r="15" spans="1:28" x14ac:dyDescent="0.25">
      <c r="W15" s="360">
        <f t="shared" si="3"/>
        <v>36892</v>
      </c>
      <c r="X15" s="353">
        <f t="shared" si="0"/>
        <v>0</v>
      </c>
      <c r="Y15" s="200">
        <f t="shared" si="1"/>
        <v>0</v>
      </c>
      <c r="Z15" s="200">
        <f t="shared" si="2"/>
        <v>0</v>
      </c>
      <c r="AA15" s="200"/>
      <c r="AB15" s="354">
        <f t="shared" si="4"/>
        <v>0</v>
      </c>
    </row>
    <row r="16" spans="1:28" x14ac:dyDescent="0.25">
      <c r="W16" s="360">
        <f t="shared" si="3"/>
        <v>36923</v>
      </c>
      <c r="X16" s="353">
        <f t="shared" si="0"/>
        <v>0</v>
      </c>
      <c r="Y16" s="200">
        <f t="shared" si="1"/>
        <v>0</v>
      </c>
      <c r="Z16" s="200">
        <f t="shared" si="2"/>
        <v>0</v>
      </c>
      <c r="AA16" s="200"/>
      <c r="AB16" s="354">
        <f t="shared" si="4"/>
        <v>0</v>
      </c>
    </row>
    <row r="17" spans="23:28" x14ac:dyDescent="0.25">
      <c r="W17" s="360">
        <f t="shared" si="3"/>
        <v>36951</v>
      </c>
      <c r="X17" s="353">
        <f t="shared" si="0"/>
        <v>0</v>
      </c>
      <c r="Y17" s="200">
        <f t="shared" si="1"/>
        <v>0</v>
      </c>
      <c r="Z17" s="200">
        <f t="shared" si="2"/>
        <v>0</v>
      </c>
      <c r="AA17" s="200"/>
      <c r="AB17" s="354">
        <f t="shared" si="4"/>
        <v>0</v>
      </c>
    </row>
    <row r="18" spans="23:28" x14ac:dyDescent="0.25">
      <c r="W18" s="360">
        <f t="shared" si="3"/>
        <v>36982</v>
      </c>
      <c r="X18" s="353">
        <f t="shared" si="0"/>
        <v>0</v>
      </c>
      <c r="Y18" s="200">
        <f t="shared" si="1"/>
        <v>0</v>
      </c>
      <c r="Z18" s="200">
        <f t="shared" si="2"/>
        <v>0</v>
      </c>
      <c r="AA18" s="200"/>
      <c r="AB18" s="354">
        <f t="shared" si="4"/>
        <v>0</v>
      </c>
    </row>
    <row r="19" spans="23:28" x14ac:dyDescent="0.25">
      <c r="W19" s="360">
        <f t="shared" si="3"/>
        <v>37012</v>
      </c>
      <c r="X19" s="353">
        <f t="shared" si="0"/>
        <v>0</v>
      </c>
      <c r="Y19" s="200">
        <f t="shared" si="1"/>
        <v>0</v>
      </c>
      <c r="Z19" s="200">
        <f t="shared" si="2"/>
        <v>0</v>
      </c>
      <c r="AA19" s="200"/>
      <c r="AB19" s="354">
        <f t="shared" si="4"/>
        <v>0</v>
      </c>
    </row>
    <row r="20" spans="23:28" ht="13.8" thickBot="1" x14ac:dyDescent="0.3">
      <c r="W20" s="361">
        <f t="shared" si="3"/>
        <v>37043</v>
      </c>
      <c r="X20" s="355">
        <f t="shared" si="0"/>
        <v>0</v>
      </c>
      <c r="Y20" s="356">
        <f t="shared" si="1"/>
        <v>0</v>
      </c>
      <c r="Z20" s="356">
        <f t="shared" si="2"/>
        <v>0</v>
      </c>
      <c r="AA20" s="356"/>
      <c r="AB20" s="357">
        <f t="shared" si="4"/>
        <v>0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39"/>
  <sheetViews>
    <sheetView workbookViewId="0">
      <selection activeCell="I2" sqref="I2"/>
    </sheetView>
  </sheetViews>
  <sheetFormatPr defaultRowHeight="13.2" x14ac:dyDescent="0.25"/>
  <cols>
    <col min="1" max="1" width="3.5546875" style="358" customWidth="1"/>
    <col min="3" max="3" width="11.33203125" customWidth="1"/>
    <col min="4" max="5" width="11.33203125" bestFit="1" customWidth="1"/>
    <col min="6" max="6" width="12.88671875" bestFit="1" customWidth="1"/>
    <col min="7" max="7" width="1.33203125" style="358" customWidth="1"/>
    <col min="9" max="9" width="10.88671875" bestFit="1" customWidth="1"/>
    <col min="10" max="10" width="10.44140625" customWidth="1"/>
    <col min="11" max="11" width="10.33203125" customWidth="1"/>
    <col min="13" max="13" width="12.6640625" customWidth="1"/>
    <col min="14" max="14" width="9.109375" style="358" customWidth="1"/>
  </cols>
  <sheetData>
    <row r="1" spans="2:13" x14ac:dyDescent="0.25">
      <c r="B1" s="358"/>
      <c r="C1" s="358"/>
      <c r="D1" s="358"/>
      <c r="E1" s="358"/>
      <c r="F1" s="358"/>
      <c r="H1" s="358"/>
      <c r="I1" s="358"/>
      <c r="J1" s="358"/>
      <c r="K1" s="358"/>
      <c r="L1" s="358"/>
      <c r="M1" s="358"/>
    </row>
    <row r="2" spans="2:13" ht="13.8" thickBot="1" x14ac:dyDescent="0.3">
      <c r="B2" s="358"/>
      <c r="C2" s="358"/>
      <c r="D2" s="358"/>
      <c r="E2" s="358"/>
      <c r="F2" s="358"/>
      <c r="H2" s="358"/>
      <c r="I2" s="358"/>
      <c r="J2" s="358"/>
      <c r="K2" s="358"/>
      <c r="L2" s="358"/>
      <c r="M2" s="358"/>
    </row>
    <row r="3" spans="2:13" ht="34.5" customHeight="1" thickBot="1" x14ac:dyDescent="0.3">
      <c r="B3" s="404" t="s">
        <v>68</v>
      </c>
      <c r="C3" s="405"/>
      <c r="D3" s="405"/>
      <c r="E3" s="405"/>
      <c r="F3" s="406"/>
      <c r="H3" s="403" t="s">
        <v>275</v>
      </c>
      <c r="I3" s="422"/>
      <c r="J3" s="414"/>
      <c r="K3" s="415" t="s">
        <v>276</v>
      </c>
      <c r="L3" s="416" t="s">
        <v>277</v>
      </c>
      <c r="M3" s="417" t="s">
        <v>278</v>
      </c>
    </row>
    <row r="4" spans="2:13" ht="13.8" thickBot="1" x14ac:dyDescent="0.3">
      <c r="B4" s="178"/>
      <c r="C4" s="412" t="s">
        <v>7</v>
      </c>
      <c r="D4" s="412" t="s">
        <v>10</v>
      </c>
      <c r="E4" s="412" t="s">
        <v>9</v>
      </c>
      <c r="F4" s="421" t="s">
        <v>72</v>
      </c>
      <c r="H4" s="414"/>
      <c r="I4" s="180" t="s">
        <v>251</v>
      </c>
      <c r="J4" s="404"/>
      <c r="K4" s="405"/>
      <c r="L4" s="405"/>
      <c r="M4" s="406"/>
    </row>
    <row r="5" spans="2:13" x14ac:dyDescent="0.25">
      <c r="B5" s="423">
        <v>36647</v>
      </c>
      <c r="C5" s="424">
        <f>SUMIF('Basis Options'!$X$7:$X$197,CONCATENATE(CashFlows!$B5,CashFlows!C$4),'Basis Options'!$U$7:$U$197)</f>
        <v>-8519.4748826140894</v>
      </c>
      <c r="D5" s="424">
        <f>SUMIF('Basis Options'!$X$7:$X$197,CONCATENATE(CashFlows!$B5,CashFlows!D$4),'Basis Options'!$U$7:$U$197)</f>
        <v>10700.505602968384</v>
      </c>
      <c r="E5" s="424">
        <f>SUMIF('Basis Options'!$X$7:$X$197,CONCATENATE(CashFlows!$B5,CashFlows!E$4),'Basis Options'!$U$7:$U$197)</f>
        <v>21292.644492341959</v>
      </c>
      <c r="F5" s="425">
        <f>SUM(C5:E5)</f>
        <v>23473.675212696253</v>
      </c>
      <c r="H5" s="407">
        <v>36617</v>
      </c>
      <c r="I5" s="418">
        <f>SUMIF(Digital!U7:U11,CONCATENATE(CashFlows!H5,CashFlows!I4),Digital!S7:S10)</f>
        <v>0</v>
      </c>
      <c r="J5" s="407">
        <f>B5</f>
        <v>36647</v>
      </c>
      <c r="K5" s="408">
        <f>F5+I5</f>
        <v>23473.675212696253</v>
      </c>
      <c r="L5" s="210">
        <f>INDEX(discount,MATCH(B5,discountmonths,0),3)</f>
        <v>0.99764063207686926</v>
      </c>
      <c r="M5" s="409">
        <f>K5/L5</f>
        <v>23529.189227015748</v>
      </c>
    </row>
    <row r="6" spans="2:13" x14ac:dyDescent="0.25">
      <c r="B6" s="407">
        <f t="shared" ref="B6:B37" si="0">EOMONTH(B5,0)+1</f>
        <v>36678</v>
      </c>
      <c r="C6" s="426">
        <f>SUMIF('Basis Options'!$X$7:$X$197,CONCATENATE(CashFlows!$B6,CashFlows!C$4),'Basis Options'!$U$7:$U$197)</f>
        <v>-19772.773927531853</v>
      </c>
      <c r="D6" s="426">
        <f>SUMIF('Basis Options'!$X$7:$X$197,CONCATENATE(CashFlows!$B6,CashFlows!D$4),'Basis Options'!$U$7:$U$197)</f>
        <v>19304.660973646765</v>
      </c>
      <c r="E6" s="426">
        <f>SUMIF('Basis Options'!$X$7:$X$197,CONCATENATE(CashFlows!$B6,CashFlows!E$4),'Basis Options'!$U$7:$U$197)</f>
        <v>40703.640090629313</v>
      </c>
      <c r="F6" s="418">
        <f t="shared" ref="F6:F37" si="1">SUM(C6:E6)</f>
        <v>40235.527136744226</v>
      </c>
      <c r="H6" s="407">
        <f t="shared" ref="H6:H37" si="2">EOMONTH(H5,0)+1</f>
        <v>36647</v>
      </c>
      <c r="I6" s="418">
        <f>SUMIF(Digital!U7:U12,CONCATENATE(CashFlows!H6,CashFlows!I5),Digital!S7:S11)</f>
        <v>0</v>
      </c>
      <c r="J6" s="407">
        <f t="shared" ref="J6:J37" si="3">B6</f>
        <v>36678</v>
      </c>
      <c r="K6" s="408">
        <f t="shared" ref="K6:K37" si="4">F6+I6</f>
        <v>40235.527136744226</v>
      </c>
      <c r="L6" s="210">
        <f t="shared" ref="L6:L37" si="5">INDEX(discount,MATCH(B6,discountmonths,0),3)</f>
        <v>0.99238531730846091</v>
      </c>
      <c r="M6" s="409">
        <f t="shared" ref="M6:M37" si="6">K6/L6</f>
        <v>40544.258802488817</v>
      </c>
    </row>
    <row r="7" spans="2:13" x14ac:dyDescent="0.25">
      <c r="B7" s="407">
        <f t="shared" si="0"/>
        <v>36708</v>
      </c>
      <c r="C7" s="426">
        <f>SUMIF('Basis Options'!$X$7:$X$197,CONCATENATE(CashFlows!$B7,CashFlows!C$4),'Basis Options'!$U$7:$U$197)</f>
        <v>-19916.067036743192</v>
      </c>
      <c r="D7" s="426">
        <f>SUMIF('Basis Options'!$X$7:$X$197,CONCATENATE(CashFlows!$B7,CashFlows!D$4),'Basis Options'!$U$7:$U$197)</f>
        <v>26107.048588901256</v>
      </c>
      <c r="E7" s="426">
        <f>SUMIF('Basis Options'!$X$7:$X$197,CONCATENATE(CashFlows!$B7,CashFlows!E$4),'Basis Options'!$U$7:$U$197)</f>
        <v>49545.942688221301</v>
      </c>
      <c r="F7" s="418">
        <f t="shared" si="1"/>
        <v>55736.924240379361</v>
      </c>
      <c r="H7" s="407">
        <f t="shared" si="2"/>
        <v>36678</v>
      </c>
      <c r="I7" s="418">
        <f>SUMIF(Digital!U7:U13,CONCATENATE(CashFlows!H7,CashFlows!I6),Digital!S7:S12)</f>
        <v>0</v>
      </c>
      <c r="J7" s="407">
        <f t="shared" si="3"/>
        <v>36708</v>
      </c>
      <c r="K7" s="408">
        <f t="shared" si="4"/>
        <v>55736.924240379361</v>
      </c>
      <c r="L7" s="210">
        <f t="shared" si="5"/>
        <v>0.98721629129021171</v>
      </c>
      <c r="M7" s="409">
        <f t="shared" si="6"/>
        <v>56458.675502139165</v>
      </c>
    </row>
    <row r="8" spans="2:13" x14ac:dyDescent="0.25">
      <c r="B8" s="407">
        <f t="shared" si="0"/>
        <v>36739</v>
      </c>
      <c r="C8" s="426">
        <f>SUMIF('Basis Options'!$X$7:$X$197,CONCATENATE(CashFlows!$B8,CashFlows!C$4),'Basis Options'!$U$7:$U$197)</f>
        <v>-29861.783393706493</v>
      </c>
      <c r="D8" s="426">
        <f>SUMIF('Basis Options'!$X$7:$X$197,CONCATENATE(CashFlows!$B8,CashFlows!D$4),'Basis Options'!$U$7:$U$197)</f>
        <v>29651.241035795814</v>
      </c>
      <c r="E8" s="426">
        <f>SUMIF('Basis Options'!$X$7:$X$197,CONCATENATE(CashFlows!$B8,CashFlows!E$4),'Basis Options'!$U$7:$U$197)</f>
        <v>66672.326957458223</v>
      </c>
      <c r="F8" s="418">
        <f t="shared" si="1"/>
        <v>66461.784599547536</v>
      </c>
      <c r="H8" s="407">
        <f t="shared" si="2"/>
        <v>36708</v>
      </c>
      <c r="I8" s="418">
        <f>SUMIF(Digital!U7:U14,CONCATENATE(CashFlows!H8,CashFlows!I7),Digital!S7:S13)</f>
        <v>0</v>
      </c>
      <c r="J8" s="407">
        <f t="shared" si="3"/>
        <v>36739</v>
      </c>
      <c r="K8" s="408">
        <f t="shared" si="4"/>
        <v>66461.784599547536</v>
      </c>
      <c r="L8" s="210">
        <f t="shared" si="5"/>
        <v>0.98175256818087597</v>
      </c>
      <c r="M8" s="409">
        <f t="shared" si="6"/>
        <v>67697.082496760791</v>
      </c>
    </row>
    <row r="9" spans="2:13" x14ac:dyDescent="0.25">
      <c r="B9" s="407">
        <f t="shared" si="0"/>
        <v>36770</v>
      </c>
      <c r="C9" s="426">
        <f>SUMIF('Basis Options'!$X$7:$X$197,CONCATENATE(CashFlows!$B9,CashFlows!C$4),'Basis Options'!$U$7:$U$197)</f>
        <v>-48481.101576473855</v>
      </c>
      <c r="D9" s="426">
        <f>SUMIF('Basis Options'!$X$7:$X$197,CONCATENATE(CashFlows!$B9,CashFlows!D$4),'Basis Options'!$U$7:$U$197)</f>
        <v>33629.014819561082</v>
      </c>
      <c r="E9" s="426">
        <f>SUMIF('Basis Options'!$X$7:$X$197,CONCATENATE(CashFlows!$B9,CashFlows!E$4),'Basis Options'!$U$7:$U$197)</f>
        <v>76219.150954840763</v>
      </c>
      <c r="F9" s="418">
        <f t="shared" si="1"/>
        <v>61367.06419792799</v>
      </c>
      <c r="H9" s="407">
        <f t="shared" si="2"/>
        <v>36739</v>
      </c>
      <c r="I9" s="418">
        <f>SUMIF(Digital!U7:U15,CONCATENATE(CashFlows!H9,CashFlows!I8),Digital!S7:S14)</f>
        <v>0</v>
      </c>
      <c r="J9" s="407">
        <f t="shared" si="3"/>
        <v>36770</v>
      </c>
      <c r="K9" s="408">
        <f t="shared" si="4"/>
        <v>61367.06419792799</v>
      </c>
      <c r="L9" s="210">
        <f t="shared" si="5"/>
        <v>0.97621283456597041</v>
      </c>
      <c r="M9" s="409">
        <f t="shared" si="6"/>
        <v>62862.382080043157</v>
      </c>
    </row>
    <row r="10" spans="2:13" x14ac:dyDescent="0.25">
      <c r="B10" s="407">
        <f t="shared" si="0"/>
        <v>36800</v>
      </c>
      <c r="C10" s="426">
        <f>SUMIF('Basis Options'!$X$7:$X$197,CONCATENATE(CashFlows!$B10,CashFlows!C$4),'Basis Options'!$U$7:$U$197)</f>
        <v>-45526.565417145364</v>
      </c>
      <c r="D10" s="426">
        <f>SUMIF('Basis Options'!$X$7:$X$197,CONCATENATE(CashFlows!$B10,CashFlows!D$4),'Basis Options'!$U$7:$U$197)</f>
        <v>35901.32580734379</v>
      </c>
      <c r="E10" s="426">
        <f>SUMIF('Basis Options'!$X$7:$X$197,CONCATENATE(CashFlows!$B10,CashFlows!E$4),'Basis Options'!$U$7:$U$197)</f>
        <v>71957.861664282187</v>
      </c>
      <c r="F10" s="418">
        <f t="shared" si="1"/>
        <v>62332.622054480613</v>
      </c>
      <c r="H10" s="407">
        <f t="shared" si="2"/>
        <v>36770</v>
      </c>
      <c r="I10" s="418">
        <f>SUMIF(Digital!U7:U16,CONCATENATE(CashFlows!H10,CashFlows!I9),Digital!S7:S15)</f>
        <v>0</v>
      </c>
      <c r="J10" s="407">
        <f t="shared" si="3"/>
        <v>36800</v>
      </c>
      <c r="K10" s="408">
        <f t="shared" si="4"/>
        <v>62332.622054480613</v>
      </c>
      <c r="L10" s="210">
        <f t="shared" si="5"/>
        <v>0.97080971939183847</v>
      </c>
      <c r="M10" s="409">
        <f t="shared" si="6"/>
        <v>64206.837662821032</v>
      </c>
    </row>
    <row r="11" spans="2:13" x14ac:dyDescent="0.25">
      <c r="B11" s="407">
        <f t="shared" si="0"/>
        <v>36831</v>
      </c>
      <c r="C11" s="426">
        <f>SUMIF('Basis Options'!$X$7:$X$197,CONCATENATE(CashFlows!$B11,CashFlows!C$4),'Basis Options'!$U$7:$U$197)</f>
        <v>157942.78227812599</v>
      </c>
      <c r="D11" s="426">
        <f>SUMIF('Basis Options'!$X$7:$X$197,CONCATENATE(CashFlows!$B11,CashFlows!D$4),'Basis Options'!$U$7:$U$197)</f>
        <v>18946.148505905803</v>
      </c>
      <c r="E11" s="426">
        <f>SUMIF('Basis Options'!$X$7:$X$197,CONCATENATE(CashFlows!$B11,CashFlows!E$4),'Basis Options'!$U$7:$U$197)</f>
        <v>0</v>
      </c>
      <c r="F11" s="418">
        <f t="shared" si="1"/>
        <v>176888.93078403181</v>
      </c>
      <c r="H11" s="407">
        <f t="shared" si="2"/>
        <v>36800</v>
      </c>
      <c r="I11" s="418">
        <f>SUMIF(Digital!U8:U17,CONCATENATE(CashFlows!H11,CashFlows!I10),Digital!S8:S16)</f>
        <v>0</v>
      </c>
      <c r="J11" s="407">
        <f t="shared" si="3"/>
        <v>36831</v>
      </c>
      <c r="K11" s="408">
        <f t="shared" si="4"/>
        <v>176888.93078403181</v>
      </c>
      <c r="L11" s="210">
        <f t="shared" si="5"/>
        <v>0.96525106523036353</v>
      </c>
      <c r="M11" s="409">
        <f t="shared" si="6"/>
        <v>183256.91331075205</v>
      </c>
    </row>
    <row r="12" spans="2:13" x14ac:dyDescent="0.25">
      <c r="B12" s="407">
        <f t="shared" si="0"/>
        <v>36861</v>
      </c>
      <c r="C12" s="426">
        <f>SUMIF('Basis Options'!$X$7:$X$197,CONCATENATE(CashFlows!$B12,CashFlows!C$4),'Basis Options'!$U$7:$U$197)</f>
        <v>-195607.20296493359</v>
      </c>
      <c r="D12" s="426">
        <f>SUMIF('Basis Options'!$X$7:$X$197,CONCATENATE(CashFlows!$B12,CashFlows!D$4),'Basis Options'!$U$7:$U$197)</f>
        <v>32237.665317387753</v>
      </c>
      <c r="E12" s="426">
        <f>SUMIF('Basis Options'!$X$7:$X$197,CONCATENATE(CashFlows!$B12,CashFlows!E$4),'Basis Options'!$U$7:$U$197)</f>
        <v>0</v>
      </c>
      <c r="F12" s="418">
        <f t="shared" si="1"/>
        <v>-163369.53764754583</v>
      </c>
      <c r="H12" s="407">
        <f t="shared" si="2"/>
        <v>36831</v>
      </c>
      <c r="I12" s="418">
        <f>SUMIF(Digital!U9:U18,CONCATENATE(CashFlows!H12,CashFlows!I11),Digital!S8:S17)</f>
        <v>0</v>
      </c>
      <c r="J12" s="407">
        <f t="shared" si="3"/>
        <v>36861</v>
      </c>
      <c r="K12" s="408">
        <f t="shared" si="4"/>
        <v>-163369.53764754583</v>
      </c>
      <c r="L12" s="210">
        <f t="shared" si="5"/>
        <v>0.95983253509851496</v>
      </c>
      <c r="M12" s="409">
        <f t="shared" si="6"/>
        <v>-170206.29294544383</v>
      </c>
    </row>
    <row r="13" spans="2:13" x14ac:dyDescent="0.25">
      <c r="B13" s="407">
        <f t="shared" si="0"/>
        <v>36892</v>
      </c>
      <c r="C13" s="426">
        <f>SUMIF('Basis Options'!$X$7:$X$197,CONCATENATE(CashFlows!$B13,CashFlows!C$4),'Basis Options'!$U$7:$U$197)</f>
        <v>-336265.1679327212</v>
      </c>
      <c r="D13" s="426">
        <f>SUMIF('Basis Options'!$X$7:$X$197,CONCATENATE(CashFlows!$B13,CashFlows!D$4),'Basis Options'!$U$7:$U$197)</f>
        <v>40294.689531290322</v>
      </c>
      <c r="E13" s="426">
        <f>SUMIF('Basis Options'!$X$7:$X$197,CONCATENATE(CashFlows!$B13,CashFlows!E$4),'Basis Options'!$U$7:$U$197)</f>
        <v>0</v>
      </c>
      <c r="F13" s="418">
        <f t="shared" si="1"/>
        <v>-295970.47840143088</v>
      </c>
      <c r="H13" s="407">
        <f t="shared" si="2"/>
        <v>36861</v>
      </c>
      <c r="I13" s="418">
        <f>SUMIF(Digital!U10:U19,CONCATENATE(CashFlows!H13,CashFlows!I12),Digital!S9:S18)</f>
        <v>0</v>
      </c>
      <c r="J13" s="407">
        <f t="shared" si="3"/>
        <v>36892</v>
      </c>
      <c r="K13" s="408">
        <f t="shared" si="4"/>
        <v>-295970.47840143088</v>
      </c>
      <c r="L13" s="210">
        <f t="shared" si="5"/>
        <v>0.95421298560872259</v>
      </c>
      <c r="M13" s="409">
        <f t="shared" si="6"/>
        <v>-310172.34397897235</v>
      </c>
    </row>
    <row r="14" spans="2:13" x14ac:dyDescent="0.25">
      <c r="B14" s="407">
        <f t="shared" si="0"/>
        <v>36923</v>
      </c>
      <c r="C14" s="426">
        <f>SUMIF('Basis Options'!$X$7:$X$197,CONCATENATE(CashFlows!$B14,CashFlows!C$4),'Basis Options'!$U$7:$U$197)</f>
        <v>-328359.22188651969</v>
      </c>
      <c r="D14" s="426">
        <f>SUMIF('Basis Options'!$X$7:$X$197,CONCATENATE(CashFlows!$B14,CashFlows!D$4),'Basis Options'!$U$7:$U$197)</f>
        <v>35883.173058458742</v>
      </c>
      <c r="E14" s="426">
        <f>SUMIF('Basis Options'!$X$7:$X$197,CONCATENATE(CashFlows!$B14,CashFlows!E$4),'Basis Options'!$U$7:$U$197)</f>
        <v>0</v>
      </c>
      <c r="F14" s="418">
        <f t="shared" si="1"/>
        <v>-292476.04882806097</v>
      </c>
      <c r="H14" s="407">
        <f t="shared" si="2"/>
        <v>36892</v>
      </c>
      <c r="I14" s="418">
        <f>SUMIF(Digital!U11:U20,CONCATENATE(CashFlows!H14,CashFlows!I13),Digital!S10:S19)</f>
        <v>0</v>
      </c>
      <c r="J14" s="407">
        <f t="shared" si="3"/>
        <v>36923</v>
      </c>
      <c r="K14" s="408">
        <f t="shared" si="4"/>
        <v>-292476.04882806097</v>
      </c>
      <c r="L14" s="210">
        <f t="shared" si="5"/>
        <v>0.94859226545938991</v>
      </c>
      <c r="M14" s="409">
        <f t="shared" si="6"/>
        <v>-308326.41112292744</v>
      </c>
    </row>
    <row r="15" spans="2:13" x14ac:dyDescent="0.25">
      <c r="B15" s="407">
        <f t="shared" si="0"/>
        <v>36951</v>
      </c>
      <c r="C15" s="426">
        <f>SUMIF('Basis Options'!$X$7:$X$197,CONCATENATE(CashFlows!$B15,CashFlows!C$4),'Basis Options'!$U$7:$U$197)</f>
        <v>-15626.629288978656</v>
      </c>
      <c r="D15" s="426">
        <f>SUMIF('Basis Options'!$X$7:$X$197,CONCATENATE(CashFlows!$B15,CashFlows!D$4),'Basis Options'!$U$7:$U$197)</f>
        <v>25104.845699698282</v>
      </c>
      <c r="E15" s="426">
        <f>SUMIF('Basis Options'!$X$7:$X$197,CONCATENATE(CashFlows!$B15,CashFlows!E$4),'Basis Options'!$U$7:$U$197)</f>
        <v>0</v>
      </c>
      <c r="F15" s="418">
        <f t="shared" si="1"/>
        <v>9478.2164107196259</v>
      </c>
      <c r="H15" s="407">
        <f t="shared" si="2"/>
        <v>36923</v>
      </c>
      <c r="I15" s="418">
        <f>SUMIF(Digital!U12:U21,CONCATENATE(CashFlows!H15,CashFlows!I14),Digital!S11:S20)</f>
        <v>0</v>
      </c>
      <c r="J15" s="407">
        <f t="shared" si="3"/>
        <v>36951</v>
      </c>
      <c r="K15" s="408">
        <f t="shared" si="4"/>
        <v>9478.2164107196259</v>
      </c>
      <c r="L15" s="210">
        <f t="shared" si="5"/>
        <v>0.94349231139194134</v>
      </c>
      <c r="M15" s="409">
        <f t="shared" si="6"/>
        <v>10045.886221093144</v>
      </c>
    </row>
    <row r="16" spans="2:13" x14ac:dyDescent="0.25">
      <c r="B16" s="407">
        <f t="shared" si="0"/>
        <v>36982</v>
      </c>
      <c r="C16" s="426">
        <f>SUMIF('Basis Options'!$X$7:$X$197,CONCATENATE(CashFlows!$B16,CashFlows!C$4),'Basis Options'!$U$7:$U$197)</f>
        <v>51564.458185689415</v>
      </c>
      <c r="D16" s="426">
        <f>SUMIF('Basis Options'!$X$7:$X$197,CONCATENATE(CashFlows!$B16,CashFlows!D$4),'Basis Options'!$U$7:$U$197)</f>
        <v>0</v>
      </c>
      <c r="E16" s="426">
        <f>SUMIF('Basis Options'!$X$7:$X$197,CONCATENATE(CashFlows!$B16,CashFlows!E$4),'Basis Options'!$U$7:$U$197)</f>
        <v>0</v>
      </c>
      <c r="F16" s="418">
        <f t="shared" si="1"/>
        <v>51564.458185689415</v>
      </c>
      <c r="H16" s="407">
        <f t="shared" si="2"/>
        <v>36951</v>
      </c>
      <c r="I16" s="418">
        <f>SUMIF(Digital!U13:U22,CONCATENATE(CashFlows!H16,CashFlows!I15),Digital!S12:S21)</f>
        <v>0</v>
      </c>
      <c r="J16" s="407">
        <f t="shared" si="3"/>
        <v>36982</v>
      </c>
      <c r="K16" s="408">
        <f t="shared" si="4"/>
        <v>51564.458185689415</v>
      </c>
      <c r="L16" s="210">
        <f t="shared" si="5"/>
        <v>0.93786451757602063</v>
      </c>
      <c r="M16" s="409">
        <f t="shared" si="6"/>
        <v>54980.71120012251</v>
      </c>
    </row>
    <row r="17" spans="2:13" x14ac:dyDescent="0.25">
      <c r="B17" s="407">
        <f t="shared" si="0"/>
        <v>37012</v>
      </c>
      <c r="C17" s="426">
        <f>SUMIF('Basis Options'!$X$7:$X$197,CONCATENATE(CashFlows!$B17,CashFlows!C$4),'Basis Options'!$U$7:$U$197)</f>
        <v>19024.818643150335</v>
      </c>
      <c r="D17" s="426">
        <f>SUMIF('Basis Options'!$X$7:$X$197,CONCATENATE(CashFlows!$B17,CashFlows!D$4),'Basis Options'!$U$7:$U$197)</f>
        <v>0</v>
      </c>
      <c r="E17" s="426">
        <f>SUMIF('Basis Options'!$X$7:$X$197,CONCATENATE(CashFlows!$B17,CashFlows!E$4),'Basis Options'!$U$7:$U$197)</f>
        <v>0</v>
      </c>
      <c r="F17" s="418">
        <f t="shared" si="1"/>
        <v>19024.818643150335</v>
      </c>
      <c r="H17" s="407">
        <f t="shared" si="2"/>
        <v>36982</v>
      </c>
      <c r="I17" s="419">
        <f>SUMIF(Digital!U14:U23,CONCATENATE(CashFlows!H17,CashFlows!I16),Digital!S13:S22)</f>
        <v>0</v>
      </c>
      <c r="J17" s="407">
        <f t="shared" si="3"/>
        <v>37012</v>
      </c>
      <c r="K17" s="408">
        <f t="shared" si="4"/>
        <v>19024.818643150335</v>
      </c>
      <c r="L17" s="210">
        <f t="shared" si="5"/>
        <v>0.93248227015976048</v>
      </c>
      <c r="M17" s="409">
        <f t="shared" si="6"/>
        <v>20402.338201980878</v>
      </c>
    </row>
    <row r="18" spans="2:13" x14ac:dyDescent="0.25">
      <c r="B18" s="407">
        <f t="shared" si="0"/>
        <v>37043</v>
      </c>
      <c r="C18" s="426">
        <f>SUMIF('Basis Options'!$X$7:$X$197,CONCATENATE(CashFlows!$B18,CashFlows!C$4),'Basis Options'!$U$7:$U$197)</f>
        <v>19115.314009976453</v>
      </c>
      <c r="D18" s="426">
        <f>SUMIF('Basis Options'!$X$7:$X$197,CONCATENATE(CashFlows!$B18,CashFlows!D$4),'Basis Options'!$U$7:$U$197)</f>
        <v>0</v>
      </c>
      <c r="E18" s="426">
        <f>SUMIF('Basis Options'!$X$7:$X$197,CONCATENATE(CashFlows!$B18,CashFlows!E$4),'Basis Options'!$U$7:$U$197)</f>
        <v>0</v>
      </c>
      <c r="F18" s="418">
        <f t="shared" si="1"/>
        <v>19115.314009976453</v>
      </c>
      <c r="H18" s="407">
        <f t="shared" si="2"/>
        <v>37012</v>
      </c>
      <c r="I18" s="420"/>
      <c r="J18" s="407">
        <f t="shared" si="3"/>
        <v>37043</v>
      </c>
      <c r="K18" s="408">
        <f t="shared" si="4"/>
        <v>19115.314009976453</v>
      </c>
      <c r="L18" s="210">
        <f t="shared" si="5"/>
        <v>0.92691592945102863</v>
      </c>
      <c r="M18" s="409">
        <f t="shared" si="6"/>
        <v>20622.489486503495</v>
      </c>
    </row>
    <row r="19" spans="2:13" x14ac:dyDescent="0.25">
      <c r="B19" s="407">
        <f t="shared" si="0"/>
        <v>37073</v>
      </c>
      <c r="C19" s="426">
        <f>SUMIF('Basis Options'!$X$7:$X$197,CONCATENATE(CashFlows!$B19,CashFlows!C$4),'Basis Options'!$U$7:$U$197)</f>
        <v>20751.234448214309</v>
      </c>
      <c r="D19" s="426">
        <f>SUMIF('Basis Options'!$X$7:$X$197,CONCATENATE(CashFlows!$B19,CashFlows!D$4),'Basis Options'!$U$7:$U$197)</f>
        <v>0</v>
      </c>
      <c r="E19" s="426">
        <f>SUMIF('Basis Options'!$X$7:$X$197,CONCATENATE(CashFlows!$B19,CashFlows!E$4),'Basis Options'!$U$7:$U$197)</f>
        <v>0</v>
      </c>
      <c r="F19" s="418">
        <f t="shared" si="1"/>
        <v>20751.234448214309</v>
      </c>
      <c r="H19" s="407">
        <f t="shared" si="2"/>
        <v>37043</v>
      </c>
      <c r="I19" s="420"/>
      <c r="J19" s="407">
        <f t="shared" si="3"/>
        <v>37073</v>
      </c>
      <c r="K19" s="408">
        <f t="shared" si="4"/>
        <v>20751.234448214309</v>
      </c>
      <c r="L19" s="210">
        <f t="shared" si="5"/>
        <v>0.92152995208150079</v>
      </c>
      <c r="M19" s="409">
        <f t="shared" si="6"/>
        <v>22518.241975035722</v>
      </c>
    </row>
    <row r="20" spans="2:13" x14ac:dyDescent="0.25">
      <c r="B20" s="407">
        <f t="shared" si="0"/>
        <v>37104</v>
      </c>
      <c r="C20" s="426">
        <f>SUMIF('Basis Options'!$X$7:$X$197,CONCATENATE(CashFlows!$B20,CashFlows!C$4),'Basis Options'!$U$7:$U$197)</f>
        <v>21647.912411015575</v>
      </c>
      <c r="D20" s="426">
        <f>SUMIF('Basis Options'!$X$7:$X$197,CONCATENATE(CashFlows!$B20,CashFlows!D$4),'Basis Options'!$U$7:$U$197)</f>
        <v>0</v>
      </c>
      <c r="E20" s="426">
        <f>SUMIF('Basis Options'!$X$7:$X$197,CONCATENATE(CashFlows!$B20,CashFlows!E$4),'Basis Options'!$U$7:$U$197)</f>
        <v>0</v>
      </c>
      <c r="F20" s="418">
        <f t="shared" si="1"/>
        <v>21647.912411015575</v>
      </c>
      <c r="H20" s="407">
        <f t="shared" si="2"/>
        <v>37073</v>
      </c>
      <c r="I20" s="420"/>
      <c r="J20" s="407">
        <f t="shared" si="3"/>
        <v>37104</v>
      </c>
      <c r="K20" s="408">
        <f t="shared" si="4"/>
        <v>21647.912411015575</v>
      </c>
      <c r="L20" s="210">
        <f t="shared" si="5"/>
        <v>0.91597112102481237</v>
      </c>
      <c r="M20" s="409">
        <f t="shared" si="6"/>
        <v>23633.837262025605</v>
      </c>
    </row>
    <row r="21" spans="2:13" x14ac:dyDescent="0.25">
      <c r="B21" s="407">
        <f t="shared" si="0"/>
        <v>37135</v>
      </c>
      <c r="C21" s="426">
        <f>SUMIF('Basis Options'!$X$7:$X$197,CONCATENATE(CashFlows!$B21,CashFlows!C$4),'Basis Options'!$U$7:$U$197)</f>
        <v>21702.927598043723</v>
      </c>
      <c r="D21" s="426">
        <f>SUMIF('Basis Options'!$X$7:$X$197,CONCATENATE(CashFlows!$B21,CashFlows!D$4),'Basis Options'!$U$7:$U$197)</f>
        <v>0</v>
      </c>
      <c r="E21" s="426">
        <f>SUMIF('Basis Options'!$X$7:$X$197,CONCATENATE(CashFlows!$B21,CashFlows!E$4),'Basis Options'!$U$7:$U$197)</f>
        <v>0</v>
      </c>
      <c r="F21" s="418">
        <f t="shared" si="1"/>
        <v>21702.927598043723</v>
      </c>
      <c r="H21" s="407">
        <f t="shared" si="2"/>
        <v>37104</v>
      </c>
      <c r="I21" s="420"/>
      <c r="J21" s="407">
        <f t="shared" si="3"/>
        <v>37135</v>
      </c>
      <c r="K21" s="408">
        <f t="shared" si="4"/>
        <v>21702.927598043723</v>
      </c>
      <c r="L21" s="210">
        <f t="shared" si="5"/>
        <v>0.91041075199197874</v>
      </c>
      <c r="M21" s="409">
        <f t="shared" si="6"/>
        <v>23838.610814467775</v>
      </c>
    </row>
    <row r="22" spans="2:13" x14ac:dyDescent="0.25">
      <c r="B22" s="407">
        <f t="shared" si="0"/>
        <v>37165</v>
      </c>
      <c r="C22" s="426">
        <f>SUMIF('Basis Options'!$X$7:$X$197,CONCATENATE(CashFlows!$B22,CashFlows!C$4),'Basis Options'!$U$7:$U$197)</f>
        <v>23695.957622919614</v>
      </c>
      <c r="D22" s="426">
        <f>SUMIF('Basis Options'!$X$7:$X$197,CONCATENATE(CashFlows!$B22,CashFlows!D$4),'Basis Options'!$U$7:$U$197)</f>
        <v>0</v>
      </c>
      <c r="E22" s="426">
        <f>SUMIF('Basis Options'!$X$7:$X$197,CONCATENATE(CashFlows!$B22,CashFlows!E$4),'Basis Options'!$U$7:$U$197)</f>
        <v>0</v>
      </c>
      <c r="F22" s="418">
        <f t="shared" si="1"/>
        <v>23695.957622919614</v>
      </c>
      <c r="H22" s="407">
        <f t="shared" si="2"/>
        <v>37135</v>
      </c>
      <c r="I22" s="420"/>
      <c r="J22" s="407">
        <f t="shared" si="3"/>
        <v>37165</v>
      </c>
      <c r="K22" s="408">
        <f t="shared" si="4"/>
        <v>23695.957622919614</v>
      </c>
      <c r="L22" s="210">
        <f t="shared" si="5"/>
        <v>0.90506104750419725</v>
      </c>
      <c r="M22" s="409">
        <f t="shared" si="6"/>
        <v>26181.612487095488</v>
      </c>
    </row>
    <row r="23" spans="2:13" x14ac:dyDescent="0.25">
      <c r="B23" s="407">
        <f t="shared" si="0"/>
        <v>37196</v>
      </c>
      <c r="C23" s="426">
        <f>SUMIF('Basis Options'!$X$7:$X$197,CONCATENATE(CashFlows!$B23,CashFlows!C$4),'Basis Options'!$U$7:$U$197)</f>
        <v>-107053.25794768127</v>
      </c>
      <c r="D23" s="426">
        <f>SUMIF('Basis Options'!$X$7:$X$197,CONCATENATE(CashFlows!$B23,CashFlows!D$4),'Basis Options'!$U$7:$U$197)</f>
        <v>0</v>
      </c>
      <c r="E23" s="426">
        <f>SUMIF('Basis Options'!$X$7:$X$197,CONCATENATE(CashFlows!$B23,CashFlows!E$4),'Basis Options'!$U$7:$U$197)</f>
        <v>0</v>
      </c>
      <c r="F23" s="418">
        <f t="shared" si="1"/>
        <v>-107053.25794768127</v>
      </c>
      <c r="H23" s="407">
        <f t="shared" si="2"/>
        <v>37165</v>
      </c>
      <c r="I23" s="420"/>
      <c r="J23" s="407">
        <f t="shared" si="3"/>
        <v>37196</v>
      </c>
      <c r="K23" s="408">
        <f t="shared" si="4"/>
        <v>-107053.25794768127</v>
      </c>
      <c r="L23" s="210">
        <f t="shared" si="5"/>
        <v>0.8995916321894124</v>
      </c>
      <c r="M23" s="409">
        <f t="shared" si="6"/>
        <v>-119002.06062070261</v>
      </c>
    </row>
    <row r="24" spans="2:13" x14ac:dyDescent="0.25">
      <c r="B24" s="407">
        <f t="shared" si="0"/>
        <v>37226</v>
      </c>
      <c r="C24" s="426">
        <f>SUMIF('Basis Options'!$X$7:$X$197,CONCATENATE(CashFlows!$B24,CashFlows!C$4),'Basis Options'!$U$7:$U$197)</f>
        <v>-354924.66043535678</v>
      </c>
      <c r="D24" s="426">
        <f>SUMIF('Basis Options'!$X$7:$X$197,CONCATENATE(CashFlows!$B24,CashFlows!D$4),'Basis Options'!$U$7:$U$197)</f>
        <v>0</v>
      </c>
      <c r="E24" s="426">
        <f>SUMIF('Basis Options'!$X$7:$X$197,CONCATENATE(CashFlows!$B24,CashFlows!E$4),'Basis Options'!$U$7:$U$197)</f>
        <v>0</v>
      </c>
      <c r="F24" s="418">
        <f t="shared" si="1"/>
        <v>-354924.66043535678</v>
      </c>
      <c r="H24" s="407">
        <f t="shared" si="2"/>
        <v>37196</v>
      </c>
      <c r="I24" s="420"/>
      <c r="J24" s="407">
        <f t="shared" si="3"/>
        <v>37226</v>
      </c>
      <c r="K24" s="408">
        <f t="shared" si="4"/>
        <v>-354924.66043535678</v>
      </c>
      <c r="L24" s="210">
        <f t="shared" si="5"/>
        <v>0.89430680852310807</v>
      </c>
      <c r="M24" s="409">
        <f t="shared" si="6"/>
        <v>-396871.24938866642</v>
      </c>
    </row>
    <row r="25" spans="2:13" x14ac:dyDescent="0.25">
      <c r="B25" s="407">
        <f t="shared" si="0"/>
        <v>37257</v>
      </c>
      <c r="C25" s="426">
        <f>SUMIF('Basis Options'!$X$7:$X$197,CONCATENATE(CashFlows!$B25,CashFlows!C$4),'Basis Options'!$U$7:$U$197)</f>
        <v>-492226.2234242335</v>
      </c>
      <c r="D25" s="426">
        <f>SUMIF('Basis Options'!$X$7:$X$197,CONCATENATE(CashFlows!$B25,CashFlows!D$4),'Basis Options'!$U$7:$U$197)</f>
        <v>0</v>
      </c>
      <c r="E25" s="426">
        <f>SUMIF('Basis Options'!$X$7:$X$197,CONCATENATE(CashFlows!$B25,CashFlows!E$4),'Basis Options'!$U$7:$U$197)</f>
        <v>0</v>
      </c>
      <c r="F25" s="418">
        <f t="shared" si="1"/>
        <v>-492226.2234242335</v>
      </c>
      <c r="H25" s="407">
        <f t="shared" si="2"/>
        <v>37226</v>
      </c>
      <c r="I25" s="420"/>
      <c r="J25" s="407">
        <f t="shared" si="3"/>
        <v>37257</v>
      </c>
      <c r="K25" s="408">
        <f t="shared" si="4"/>
        <v>-492226.2234242335</v>
      </c>
      <c r="L25" s="210">
        <f t="shared" si="5"/>
        <v>0.88887022407560634</v>
      </c>
      <c r="M25" s="409">
        <f t="shared" si="6"/>
        <v>-553766.1292863437</v>
      </c>
    </row>
    <row r="26" spans="2:13" x14ac:dyDescent="0.25">
      <c r="B26" s="407">
        <f t="shared" si="0"/>
        <v>37288</v>
      </c>
      <c r="C26" s="426">
        <f>SUMIF('Basis Options'!$X$7:$X$197,CONCATENATE(CashFlows!$B26,CashFlows!C$4),'Basis Options'!$U$7:$U$197)</f>
        <v>-499992.92412736581</v>
      </c>
      <c r="D26" s="426">
        <f>SUMIF('Basis Options'!$X$7:$X$197,CONCATENATE(CashFlows!$B26,CashFlows!D$4),'Basis Options'!$U$7:$U$197)</f>
        <v>0</v>
      </c>
      <c r="E26" s="426">
        <f>SUMIF('Basis Options'!$X$7:$X$197,CONCATENATE(CashFlows!$B26,CashFlows!E$4),'Basis Options'!$U$7:$U$197)</f>
        <v>0</v>
      </c>
      <c r="F26" s="418">
        <f t="shared" si="1"/>
        <v>-499992.92412736581</v>
      </c>
      <c r="H26" s="407">
        <f t="shared" si="2"/>
        <v>37257</v>
      </c>
      <c r="I26" s="420"/>
      <c r="J26" s="407">
        <f t="shared" si="3"/>
        <v>37288</v>
      </c>
      <c r="K26" s="408">
        <f t="shared" si="4"/>
        <v>-499992.92412736581</v>
      </c>
      <c r="L26" s="210">
        <f t="shared" si="5"/>
        <v>0.88346677404327512</v>
      </c>
      <c r="M26" s="409">
        <f t="shared" si="6"/>
        <v>-565944.23108760233</v>
      </c>
    </row>
    <row r="27" spans="2:13" x14ac:dyDescent="0.25">
      <c r="B27" s="407">
        <f t="shared" si="0"/>
        <v>37316</v>
      </c>
      <c r="C27" s="426">
        <f>SUMIF('Basis Options'!$X$7:$X$197,CONCATENATE(CashFlows!$B27,CashFlows!C$4),'Basis Options'!$U$7:$U$197)</f>
        <v>-164406.74357997568</v>
      </c>
      <c r="D27" s="426">
        <f>SUMIF('Basis Options'!$X$7:$X$197,CONCATENATE(CashFlows!$B27,CashFlows!D$4),'Basis Options'!$U$7:$U$197)</f>
        <v>0</v>
      </c>
      <c r="E27" s="426">
        <f>SUMIF('Basis Options'!$X$7:$X$197,CONCATENATE(CashFlows!$B27,CashFlows!E$4),'Basis Options'!$U$7:$U$197)</f>
        <v>0</v>
      </c>
      <c r="F27" s="418">
        <f t="shared" si="1"/>
        <v>-164406.74357997568</v>
      </c>
      <c r="H27" s="407">
        <f t="shared" si="2"/>
        <v>37288</v>
      </c>
      <c r="I27" s="420"/>
      <c r="J27" s="407">
        <f t="shared" si="3"/>
        <v>37316</v>
      </c>
      <c r="K27" s="408">
        <f t="shared" si="4"/>
        <v>-164406.74357997568</v>
      </c>
      <c r="L27" s="210">
        <f t="shared" si="5"/>
        <v>0.8785969688336619</v>
      </c>
      <c r="M27" s="409">
        <f t="shared" si="6"/>
        <v>-187124.18709823885</v>
      </c>
    </row>
    <row r="28" spans="2:13" x14ac:dyDescent="0.25">
      <c r="B28" s="407">
        <f t="shared" si="0"/>
        <v>37347</v>
      </c>
      <c r="C28" s="426">
        <f>SUMIF('Basis Options'!$X$7:$X$197,CONCATENATE(CashFlows!$B28,CashFlows!C$4),'Basis Options'!$U$7:$U$197)</f>
        <v>0</v>
      </c>
      <c r="D28" s="426">
        <f>SUMIF('Basis Options'!$X$7:$X$197,CONCATENATE(CashFlows!$B28,CashFlows!D$4),'Basis Options'!$U$7:$U$197)</f>
        <v>0</v>
      </c>
      <c r="E28" s="426">
        <f>SUMIF('Basis Options'!$X$7:$X$197,CONCATENATE(CashFlows!$B28,CashFlows!E$4),'Basis Options'!$U$7:$U$197)</f>
        <v>0</v>
      </c>
      <c r="F28" s="418">
        <f t="shared" si="1"/>
        <v>0</v>
      </c>
      <c r="H28" s="407">
        <f t="shared" si="2"/>
        <v>37316</v>
      </c>
      <c r="I28" s="420"/>
      <c r="J28" s="407">
        <f t="shared" si="3"/>
        <v>37347</v>
      </c>
      <c r="K28" s="408">
        <f t="shared" si="4"/>
        <v>0</v>
      </c>
      <c r="L28" s="210">
        <f t="shared" si="5"/>
        <v>0.87325735260883874</v>
      </c>
      <c r="M28" s="409">
        <f t="shared" si="6"/>
        <v>0</v>
      </c>
    </row>
    <row r="29" spans="2:13" x14ac:dyDescent="0.25">
      <c r="B29" s="407">
        <f t="shared" si="0"/>
        <v>37377</v>
      </c>
      <c r="C29" s="426">
        <f>SUMIF('Basis Options'!$X$7:$X$197,CONCATENATE(CashFlows!$B29,CashFlows!C$4),'Basis Options'!$U$7:$U$197)</f>
        <v>0</v>
      </c>
      <c r="D29" s="426">
        <f>SUMIF('Basis Options'!$X$7:$X$197,CONCATENATE(CashFlows!$B29,CashFlows!D$4),'Basis Options'!$U$7:$U$197)</f>
        <v>0</v>
      </c>
      <c r="E29" s="426">
        <f>SUMIF('Basis Options'!$X$7:$X$197,CONCATENATE(CashFlows!$B29,CashFlows!E$4),'Basis Options'!$U$7:$U$197)</f>
        <v>0</v>
      </c>
      <c r="F29" s="418">
        <f t="shared" si="1"/>
        <v>0</v>
      </c>
      <c r="H29" s="407">
        <f t="shared" si="2"/>
        <v>37347</v>
      </c>
      <c r="I29" s="420"/>
      <c r="J29" s="407">
        <f t="shared" si="3"/>
        <v>37377</v>
      </c>
      <c r="K29" s="408">
        <f t="shared" si="4"/>
        <v>0</v>
      </c>
      <c r="L29" s="210">
        <f t="shared" si="5"/>
        <v>0.86816539053342279</v>
      </c>
      <c r="M29" s="409">
        <f t="shared" si="6"/>
        <v>0</v>
      </c>
    </row>
    <row r="30" spans="2:13" x14ac:dyDescent="0.25">
      <c r="B30" s="407">
        <f t="shared" si="0"/>
        <v>37408</v>
      </c>
      <c r="C30" s="426">
        <f>SUMIF('Basis Options'!$X$7:$X$197,CONCATENATE(CashFlows!$B30,CashFlows!C$4),'Basis Options'!$U$7:$U$197)</f>
        <v>0</v>
      </c>
      <c r="D30" s="426">
        <f>SUMIF('Basis Options'!$X$7:$X$197,CONCATENATE(CashFlows!$B30,CashFlows!D$4),'Basis Options'!$U$7:$U$197)</f>
        <v>0</v>
      </c>
      <c r="E30" s="426">
        <f>SUMIF('Basis Options'!$X$7:$X$197,CONCATENATE(CashFlows!$B30,CashFlows!E$4),'Basis Options'!$U$7:$U$197)</f>
        <v>0</v>
      </c>
      <c r="F30" s="418">
        <f t="shared" si="1"/>
        <v>0</v>
      </c>
      <c r="H30" s="407">
        <f t="shared" si="2"/>
        <v>37377</v>
      </c>
      <c r="I30" s="420"/>
      <c r="J30" s="407">
        <f t="shared" si="3"/>
        <v>37408</v>
      </c>
      <c r="K30" s="408">
        <f t="shared" si="4"/>
        <v>0</v>
      </c>
      <c r="L30" s="210">
        <f t="shared" si="5"/>
        <v>0.86292365242993019</v>
      </c>
      <c r="M30" s="409">
        <f t="shared" si="6"/>
        <v>0</v>
      </c>
    </row>
    <row r="31" spans="2:13" x14ac:dyDescent="0.25">
      <c r="B31" s="407">
        <f t="shared" si="0"/>
        <v>37438</v>
      </c>
      <c r="C31" s="426">
        <f>SUMIF('Basis Options'!$X$7:$X$197,CONCATENATE(CashFlows!$B31,CashFlows!C$4),'Basis Options'!$U$7:$U$197)</f>
        <v>0</v>
      </c>
      <c r="D31" s="426">
        <f>SUMIF('Basis Options'!$X$7:$X$197,CONCATENATE(CashFlows!$B31,CashFlows!D$4),'Basis Options'!$U$7:$U$197)</f>
        <v>0</v>
      </c>
      <c r="E31" s="426">
        <f>SUMIF('Basis Options'!$X$7:$X$197,CONCATENATE(CashFlows!$B31,CashFlows!E$4),'Basis Options'!$U$7:$U$197)</f>
        <v>0</v>
      </c>
      <c r="F31" s="418">
        <f t="shared" si="1"/>
        <v>0</v>
      </c>
      <c r="H31" s="407">
        <f t="shared" si="2"/>
        <v>37408</v>
      </c>
      <c r="I31" s="420"/>
      <c r="J31" s="407">
        <f t="shared" si="3"/>
        <v>37438</v>
      </c>
      <c r="K31" s="408">
        <f t="shared" si="4"/>
        <v>0</v>
      </c>
      <c r="L31" s="210">
        <f t="shared" si="5"/>
        <v>0.85788509695458903</v>
      </c>
      <c r="M31" s="409">
        <f t="shared" si="6"/>
        <v>0</v>
      </c>
    </row>
    <row r="32" spans="2:13" x14ac:dyDescent="0.25">
      <c r="B32" s="407">
        <f t="shared" si="0"/>
        <v>37469</v>
      </c>
      <c r="C32" s="426">
        <f>SUMIF('Basis Options'!$X$7:$X$197,CONCATENATE(CashFlows!$B32,CashFlows!C$4),'Basis Options'!$U$7:$U$197)</f>
        <v>0</v>
      </c>
      <c r="D32" s="426">
        <f>SUMIF('Basis Options'!$X$7:$X$197,CONCATENATE(CashFlows!$B32,CashFlows!D$4),'Basis Options'!$U$7:$U$197)</f>
        <v>0</v>
      </c>
      <c r="E32" s="426">
        <f>SUMIF('Basis Options'!$X$7:$X$197,CONCATENATE(CashFlows!$B32,CashFlows!E$4),'Basis Options'!$U$7:$U$197)</f>
        <v>0</v>
      </c>
      <c r="F32" s="418">
        <f t="shared" si="1"/>
        <v>0</v>
      </c>
      <c r="H32" s="407">
        <f t="shared" si="2"/>
        <v>37438</v>
      </c>
      <c r="I32" s="420"/>
      <c r="J32" s="407">
        <f t="shared" si="3"/>
        <v>37469</v>
      </c>
      <c r="K32" s="408">
        <f t="shared" si="4"/>
        <v>0</v>
      </c>
      <c r="L32" s="210">
        <f t="shared" si="5"/>
        <v>0.85272466550039128</v>
      </c>
      <c r="M32" s="409">
        <f t="shared" si="6"/>
        <v>0</v>
      </c>
    </row>
    <row r="33" spans="2:13" x14ac:dyDescent="0.25">
      <c r="B33" s="407">
        <f t="shared" si="0"/>
        <v>37500</v>
      </c>
      <c r="C33" s="426">
        <f>SUMIF('Basis Options'!$X$7:$X$197,CONCATENATE(CashFlows!$B33,CashFlows!C$4),'Basis Options'!$U$7:$U$197)</f>
        <v>0</v>
      </c>
      <c r="D33" s="426">
        <f>SUMIF('Basis Options'!$X$7:$X$197,CONCATENATE(CashFlows!$B33,CashFlows!D$4),'Basis Options'!$U$7:$U$197)</f>
        <v>0</v>
      </c>
      <c r="E33" s="426">
        <f>SUMIF('Basis Options'!$X$7:$X$197,CONCATENATE(CashFlows!$B33,CashFlows!E$4),'Basis Options'!$U$7:$U$197)</f>
        <v>0</v>
      </c>
      <c r="F33" s="418">
        <f t="shared" si="1"/>
        <v>0</v>
      </c>
      <c r="H33" s="407">
        <f t="shared" si="2"/>
        <v>37469</v>
      </c>
      <c r="I33" s="420"/>
      <c r="J33" s="407">
        <f t="shared" si="3"/>
        <v>37500</v>
      </c>
      <c r="K33" s="408">
        <f t="shared" si="4"/>
        <v>0</v>
      </c>
      <c r="L33" s="210">
        <f t="shared" si="5"/>
        <v>0.84758707222848995</v>
      </c>
      <c r="M33" s="409">
        <f t="shared" si="6"/>
        <v>0</v>
      </c>
    </row>
    <row r="34" spans="2:13" x14ac:dyDescent="0.25">
      <c r="B34" s="407">
        <f t="shared" si="0"/>
        <v>37530</v>
      </c>
      <c r="C34" s="426">
        <f>SUMIF('Basis Options'!$X$7:$X$197,CONCATENATE(CashFlows!$B34,CashFlows!C$4),'Basis Options'!$U$7:$U$197)</f>
        <v>0</v>
      </c>
      <c r="D34" s="426">
        <f>SUMIF('Basis Options'!$X$7:$X$197,CONCATENATE(CashFlows!$B34,CashFlows!D$4),'Basis Options'!$U$7:$U$197)</f>
        <v>0</v>
      </c>
      <c r="E34" s="426">
        <f>SUMIF('Basis Options'!$X$7:$X$197,CONCATENATE(CashFlows!$B34,CashFlows!E$4),'Basis Options'!$U$7:$U$197)</f>
        <v>0</v>
      </c>
      <c r="F34" s="418">
        <f t="shared" si="1"/>
        <v>0</v>
      </c>
      <c r="H34" s="407">
        <f t="shared" si="2"/>
        <v>37500</v>
      </c>
      <c r="I34" s="420"/>
      <c r="J34" s="407">
        <f t="shared" si="3"/>
        <v>37530</v>
      </c>
      <c r="K34" s="408">
        <f t="shared" si="4"/>
        <v>0</v>
      </c>
      <c r="L34" s="210">
        <f t="shared" si="5"/>
        <v>0.84265362199434746</v>
      </c>
      <c r="M34" s="409">
        <f t="shared" si="6"/>
        <v>0</v>
      </c>
    </row>
    <row r="35" spans="2:13" x14ac:dyDescent="0.25">
      <c r="B35" s="407">
        <f t="shared" si="0"/>
        <v>37561</v>
      </c>
      <c r="C35" s="426">
        <f>SUMIF('Basis Options'!$X$7:$X$197,CONCATENATE(CashFlows!$B35,CashFlows!C$4),'Basis Options'!$U$7:$U$197)</f>
        <v>0</v>
      </c>
      <c r="D35" s="426">
        <f>SUMIF('Basis Options'!$X$7:$X$197,CONCATENATE(CashFlows!$B35,CashFlows!D$4),'Basis Options'!$U$7:$U$197)</f>
        <v>0</v>
      </c>
      <c r="E35" s="426">
        <f>SUMIF('Basis Options'!$X$7:$X$197,CONCATENATE(CashFlows!$B35,CashFlows!E$4),'Basis Options'!$U$7:$U$197)</f>
        <v>0</v>
      </c>
      <c r="F35" s="418">
        <f t="shared" si="1"/>
        <v>0</v>
      </c>
      <c r="H35" s="407">
        <f t="shared" si="2"/>
        <v>37530</v>
      </c>
      <c r="I35" s="420"/>
      <c r="J35" s="407">
        <f t="shared" si="3"/>
        <v>37561</v>
      </c>
      <c r="K35" s="408">
        <f t="shared" si="4"/>
        <v>0</v>
      </c>
      <c r="L35" s="210">
        <f t="shared" si="5"/>
        <v>0.8376037581388881</v>
      </c>
      <c r="M35" s="409">
        <f t="shared" si="6"/>
        <v>0</v>
      </c>
    </row>
    <row r="36" spans="2:13" x14ac:dyDescent="0.25">
      <c r="B36" s="407">
        <f t="shared" si="0"/>
        <v>37591</v>
      </c>
      <c r="C36" s="426">
        <f>SUMIF('Basis Options'!$X$7:$X$197,CONCATENATE(CashFlows!$B36,CashFlows!C$4),'Basis Options'!$U$7:$U$197)</f>
        <v>0</v>
      </c>
      <c r="D36" s="426">
        <f>SUMIF('Basis Options'!$X$7:$X$197,CONCATENATE(CashFlows!$B36,CashFlows!D$4),'Basis Options'!$U$7:$U$197)</f>
        <v>0</v>
      </c>
      <c r="E36" s="426">
        <f>SUMIF('Basis Options'!$X$7:$X$197,CONCATENATE(CashFlows!$B36,CashFlows!E$4),'Basis Options'!$U$7:$U$197)</f>
        <v>0</v>
      </c>
      <c r="F36" s="418">
        <f t="shared" si="1"/>
        <v>0</v>
      </c>
      <c r="H36" s="407">
        <f t="shared" si="2"/>
        <v>37561</v>
      </c>
      <c r="I36" s="420"/>
      <c r="J36" s="407">
        <f t="shared" si="3"/>
        <v>37591</v>
      </c>
      <c r="K36" s="408">
        <f t="shared" si="4"/>
        <v>0</v>
      </c>
      <c r="L36" s="210">
        <f t="shared" si="5"/>
        <v>0.83274061783645625</v>
      </c>
      <c r="M36" s="409">
        <f t="shared" si="6"/>
        <v>0</v>
      </c>
    </row>
    <row r="37" spans="2:13" ht="13.8" thickBot="1" x14ac:dyDescent="0.3">
      <c r="B37" s="410">
        <f t="shared" si="0"/>
        <v>37622</v>
      </c>
      <c r="C37" s="427">
        <f>SUMIF('Basis Options'!$X$7:$X$197,CONCATENATE(CashFlows!$B37,CashFlows!C$4),'Basis Options'!$U$7:$U$197)</f>
        <v>0</v>
      </c>
      <c r="D37" s="427">
        <f>SUMIF('Basis Options'!$X$7:$X$197,CONCATENATE(CashFlows!$B37,CashFlows!D$4),'Basis Options'!$U$7:$U$197)</f>
        <v>0</v>
      </c>
      <c r="E37" s="427">
        <f>SUMIF('Basis Options'!$X$7:$X$197,CONCATENATE(CashFlows!$B37,CashFlows!E$4),'Basis Options'!$U$7:$U$197)</f>
        <v>0</v>
      </c>
      <c r="F37" s="428">
        <f t="shared" si="1"/>
        <v>0</v>
      </c>
      <c r="H37" s="410">
        <f t="shared" si="2"/>
        <v>37591</v>
      </c>
      <c r="I37" s="421"/>
      <c r="J37" s="410">
        <f t="shared" si="3"/>
        <v>37622</v>
      </c>
      <c r="K37" s="411">
        <f t="shared" si="4"/>
        <v>0</v>
      </c>
      <c r="L37" s="412">
        <f t="shared" si="5"/>
        <v>0.82773895518182006</v>
      </c>
      <c r="M37" s="413">
        <f t="shared" si="6"/>
        <v>0</v>
      </c>
    </row>
    <row r="38" spans="2:13" x14ac:dyDescent="0.25">
      <c r="B38" s="264"/>
    </row>
    <row r="39" spans="2:13" x14ac:dyDescent="0.25">
      <c r="B39" s="264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3" name="Button 1">
              <controlPr defaultSize="0" print="0" autoFill="0" autoPict="0" macro="[0]!RhoDrift">
                <anchor moveWithCells="1" sizeWithCells="1">
                  <from>
                    <xdr:col>5</xdr:col>
                    <xdr:colOff>563880</xdr:colOff>
                    <xdr:row>0</xdr:row>
                    <xdr:rowOff>38100</xdr:rowOff>
                  </from>
                  <to>
                    <xdr:col>7</xdr:col>
                    <xdr:colOff>601980</xdr:colOff>
                    <xdr:row>1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29"/>
  <sheetViews>
    <sheetView showGridLines="0" topLeftCell="R3" workbookViewId="0">
      <selection activeCell="V3" sqref="V3:AA229"/>
    </sheetView>
  </sheetViews>
  <sheetFormatPr defaultRowHeight="13.2" x14ac:dyDescent="0.25"/>
  <cols>
    <col min="1" max="2" width="14.5546875" customWidth="1"/>
    <col min="3" max="3" width="18.6640625" customWidth="1"/>
    <col min="4" max="4" width="15" customWidth="1"/>
    <col min="5" max="5" width="20.44140625" customWidth="1"/>
    <col min="6" max="7" width="17.88671875" customWidth="1"/>
    <col min="8" max="8" width="15.5546875" customWidth="1"/>
    <col min="10" max="10" width="12.5546875" bestFit="1" customWidth="1"/>
    <col min="11" max="11" width="10.88671875" customWidth="1"/>
    <col min="17" max="18" width="12" bestFit="1" customWidth="1"/>
    <col min="21" max="21" width="12.5546875" bestFit="1" customWidth="1"/>
    <col min="22" max="22" width="16.33203125" bestFit="1" customWidth="1"/>
    <col min="23" max="23" width="12.88671875" bestFit="1" customWidth="1"/>
    <col min="24" max="24" width="18.6640625" bestFit="1" customWidth="1"/>
    <col min="25" max="25" width="13.88671875" bestFit="1" customWidth="1"/>
    <col min="26" max="26" width="16.109375" bestFit="1" customWidth="1"/>
    <col min="27" max="27" width="14.5546875" bestFit="1" customWidth="1"/>
  </cols>
  <sheetData>
    <row r="1" spans="1:18" ht="20.399999999999999" x14ac:dyDescent="0.35">
      <c r="A1" s="90" t="s">
        <v>95</v>
      </c>
      <c r="B1" s="90"/>
    </row>
    <row r="2" spans="1:18" ht="13.8" x14ac:dyDescent="0.25">
      <c r="A2" s="21"/>
      <c r="B2" s="193"/>
      <c r="C2" s="63" t="s">
        <v>38</v>
      </c>
      <c r="D2" s="16"/>
      <c r="E2" s="16"/>
      <c r="F2" s="16"/>
      <c r="G2" s="16"/>
      <c r="H2" s="17"/>
      <c r="Q2" t="s">
        <v>82</v>
      </c>
      <c r="R2" t="s">
        <v>83</v>
      </c>
    </row>
    <row r="3" spans="1:18" ht="13.8" x14ac:dyDescent="0.25">
      <c r="A3" s="62" t="s">
        <v>39</v>
      </c>
      <c r="B3" s="197" t="s">
        <v>122</v>
      </c>
      <c r="C3" s="18" t="s">
        <v>0</v>
      </c>
      <c r="D3" s="19" t="s">
        <v>6</v>
      </c>
      <c r="E3" s="19" t="s">
        <v>9</v>
      </c>
      <c r="F3" s="19" t="s">
        <v>74</v>
      </c>
      <c r="G3" s="19" t="s">
        <v>10</v>
      </c>
      <c r="H3" s="20" t="s">
        <v>7</v>
      </c>
      <c r="J3" s="22" t="s">
        <v>40</v>
      </c>
      <c r="K3" s="22"/>
      <c r="O3" t="s">
        <v>77</v>
      </c>
      <c r="Q3">
        <v>0.96323267464099116</v>
      </c>
      <c r="R3">
        <v>0.99181421821364457</v>
      </c>
    </row>
    <row r="4" spans="1:18" x14ac:dyDescent="0.25">
      <c r="A4" s="194">
        <v>36192</v>
      </c>
      <c r="B4" s="31">
        <f>C4</f>
        <v>0.98497430320438317</v>
      </c>
      <c r="C4" s="29">
        <v>0.98497430320438317</v>
      </c>
      <c r="D4" s="29">
        <v>0.97495865028329376</v>
      </c>
      <c r="E4" s="29">
        <v>0.69366952402479531</v>
      </c>
      <c r="F4" s="29">
        <v>0.98410764751845092</v>
      </c>
      <c r="G4" s="29">
        <v>0.96323267464099116</v>
      </c>
      <c r="H4" s="30">
        <v>0.90577586047143255</v>
      </c>
      <c r="J4" s="23">
        <f>A4</f>
        <v>36192</v>
      </c>
      <c r="K4" s="24">
        <v>2</v>
      </c>
      <c r="O4" t="s">
        <v>78</v>
      </c>
      <c r="Q4">
        <v>0.90577586047143255</v>
      </c>
      <c r="R4">
        <v>0.98042074975743199</v>
      </c>
    </row>
    <row r="5" spans="1:18" x14ac:dyDescent="0.25">
      <c r="A5" s="195">
        <v>36220</v>
      </c>
      <c r="B5" s="31">
        <f t="shared" ref="B5:B68" si="0">C5</f>
        <v>0.98497430320438317</v>
      </c>
      <c r="C5" s="31">
        <v>0.98497430320438317</v>
      </c>
      <c r="D5" s="31">
        <v>0.97495865028329376</v>
      </c>
      <c r="E5" s="31">
        <v>0.69366952402479531</v>
      </c>
      <c r="F5" s="31">
        <v>0.98410764751845092</v>
      </c>
      <c r="G5" s="31">
        <v>0.96323267464099116</v>
      </c>
      <c r="H5" s="32">
        <v>0.90577586047143255</v>
      </c>
      <c r="J5" s="25">
        <f t="shared" ref="J5:J68" si="1">A5</f>
        <v>36220</v>
      </c>
      <c r="K5" s="26">
        <f>K4+1</f>
        <v>3</v>
      </c>
      <c r="O5" t="s">
        <v>79</v>
      </c>
      <c r="Q5">
        <v>0.69366952402479531</v>
      </c>
      <c r="R5">
        <v>0.61248355663804033</v>
      </c>
    </row>
    <row r="6" spans="1:18" x14ac:dyDescent="0.25">
      <c r="A6" s="195">
        <v>36251</v>
      </c>
      <c r="B6" s="31">
        <f t="shared" si="0"/>
        <v>0.99830915684013177</v>
      </c>
      <c r="C6" s="31">
        <v>0.99830915684013177</v>
      </c>
      <c r="D6" s="31">
        <v>0.99320170056155865</v>
      </c>
      <c r="E6" s="31">
        <v>0.61248355663804033</v>
      </c>
      <c r="F6" s="31">
        <v>0.99407144019191562</v>
      </c>
      <c r="G6" s="31">
        <v>0.99181421821364457</v>
      </c>
      <c r="H6" s="32">
        <v>0.98042074975743199</v>
      </c>
      <c r="J6" s="25">
        <f t="shared" si="1"/>
        <v>36251</v>
      </c>
      <c r="K6" s="26">
        <f t="shared" ref="K6:K69" si="2">K5+1</f>
        <v>4</v>
      </c>
      <c r="O6" t="s">
        <v>80</v>
      </c>
      <c r="Q6">
        <v>0.97495865028329376</v>
      </c>
      <c r="R6">
        <v>0.99320170056155865</v>
      </c>
    </row>
    <row r="7" spans="1:18" x14ac:dyDescent="0.25">
      <c r="A7" s="195">
        <v>36281</v>
      </c>
      <c r="B7" s="31">
        <f t="shared" si="0"/>
        <v>0.99830915684013177</v>
      </c>
      <c r="C7" s="31">
        <v>0.99830915684013177</v>
      </c>
      <c r="D7" s="31">
        <v>0.99320170056155865</v>
      </c>
      <c r="E7" s="31">
        <v>0.61248355663804033</v>
      </c>
      <c r="F7" s="31">
        <v>0.99407144019191562</v>
      </c>
      <c r="G7" s="31">
        <v>0.99181421821364457</v>
      </c>
      <c r="H7" s="32">
        <v>0.98042074975743199</v>
      </c>
      <c r="J7" s="25">
        <f t="shared" si="1"/>
        <v>36281</v>
      </c>
      <c r="K7" s="26">
        <f t="shared" si="2"/>
        <v>5</v>
      </c>
      <c r="O7" t="s">
        <v>81</v>
      </c>
      <c r="Q7">
        <v>0.98410764751845092</v>
      </c>
      <c r="R7">
        <v>0.99407144019191562</v>
      </c>
    </row>
    <row r="8" spans="1:18" x14ac:dyDescent="0.25">
      <c r="A8" s="195">
        <v>36312</v>
      </c>
      <c r="B8" s="31">
        <f t="shared" si="0"/>
        <v>0.99830915684013177</v>
      </c>
      <c r="C8" s="31">
        <v>0.99830915684013177</v>
      </c>
      <c r="D8" s="31">
        <v>0.99320170056155865</v>
      </c>
      <c r="E8" s="31">
        <v>0.61248355663804033</v>
      </c>
      <c r="F8" s="31">
        <v>0.99407144019191562</v>
      </c>
      <c r="G8" s="31">
        <v>0.99181421821364457</v>
      </c>
      <c r="H8" s="32">
        <v>0.98042074975743199</v>
      </c>
      <c r="J8" s="25">
        <f t="shared" si="1"/>
        <v>36312</v>
      </c>
      <c r="K8" s="26">
        <f t="shared" si="2"/>
        <v>6</v>
      </c>
      <c r="O8" t="s">
        <v>75</v>
      </c>
      <c r="Q8">
        <v>0.98497430320438317</v>
      </c>
      <c r="R8">
        <v>0.99830915684013177</v>
      </c>
    </row>
    <row r="9" spans="1:18" x14ac:dyDescent="0.25">
      <c r="A9" s="195">
        <v>36342</v>
      </c>
      <c r="B9" s="31">
        <f t="shared" si="0"/>
        <v>0.99830915684013177</v>
      </c>
      <c r="C9" s="31">
        <v>0.99830915684013177</v>
      </c>
      <c r="D9" s="31">
        <v>0.99320170056155865</v>
      </c>
      <c r="E9" s="31">
        <v>0.61248355663804033</v>
      </c>
      <c r="F9" s="31">
        <v>0.99407144019191562</v>
      </c>
      <c r="G9" s="31">
        <v>0.99181421821364457</v>
      </c>
      <c r="H9" s="32">
        <v>0.98042074975743199</v>
      </c>
      <c r="J9" s="25">
        <f t="shared" si="1"/>
        <v>36342</v>
      </c>
      <c r="K9" s="26">
        <f t="shared" si="2"/>
        <v>7</v>
      </c>
      <c r="O9" t="s">
        <v>76</v>
      </c>
      <c r="Q9">
        <v>0.91283172650622291</v>
      </c>
      <c r="R9">
        <v>0.97030693053422312</v>
      </c>
    </row>
    <row r="10" spans="1:18" x14ac:dyDescent="0.25">
      <c r="A10" s="195">
        <v>36373</v>
      </c>
      <c r="B10" s="31">
        <f t="shared" si="0"/>
        <v>0.99830915684013177</v>
      </c>
      <c r="C10" s="31">
        <v>0.99830915684013177</v>
      </c>
      <c r="D10" s="31">
        <v>0.99320170056155865</v>
      </c>
      <c r="E10" s="31">
        <v>0.61248355663804033</v>
      </c>
      <c r="F10" s="31">
        <v>0.99407144019191562</v>
      </c>
      <c r="G10" s="31">
        <v>0.99181421821364457</v>
      </c>
      <c r="H10" s="32">
        <v>0.98042074975743199</v>
      </c>
      <c r="J10" s="25">
        <f t="shared" si="1"/>
        <v>36373</v>
      </c>
      <c r="K10" s="26">
        <f t="shared" si="2"/>
        <v>8</v>
      </c>
    </row>
    <row r="11" spans="1:18" x14ac:dyDescent="0.25">
      <c r="A11" s="195">
        <v>36404</v>
      </c>
      <c r="B11" s="31">
        <f t="shared" si="0"/>
        <v>0.99830915684013177</v>
      </c>
      <c r="C11" s="31">
        <v>0.99830915684013177</v>
      </c>
      <c r="D11" s="31">
        <v>0.99320170056155865</v>
      </c>
      <c r="E11" s="31">
        <v>0.61248355663804033</v>
      </c>
      <c r="F11" s="31">
        <v>0.99407144019191562</v>
      </c>
      <c r="G11" s="31">
        <v>0.99181421821364457</v>
      </c>
      <c r="H11" s="32">
        <v>0.98042074975743199</v>
      </c>
      <c r="J11" s="25">
        <f t="shared" si="1"/>
        <v>36404</v>
      </c>
      <c r="K11" s="26">
        <f t="shared" si="2"/>
        <v>9</v>
      </c>
    </row>
    <row r="12" spans="1:18" x14ac:dyDescent="0.25">
      <c r="A12" s="195">
        <v>36434</v>
      </c>
      <c r="B12" s="31">
        <f t="shared" si="0"/>
        <v>0.99830915684013177</v>
      </c>
      <c r="C12" s="31">
        <v>0.99830915684013177</v>
      </c>
      <c r="D12" s="31">
        <v>0.99320170056155865</v>
      </c>
      <c r="E12" s="31">
        <v>0.61248355663804033</v>
      </c>
      <c r="F12" s="31">
        <v>0.99407144019191562</v>
      </c>
      <c r="G12" s="31">
        <v>0.99181421821364457</v>
      </c>
      <c r="H12" s="32">
        <v>0.98042074975743199</v>
      </c>
      <c r="J12" s="25">
        <f t="shared" si="1"/>
        <v>36434</v>
      </c>
      <c r="K12" s="26">
        <f t="shared" si="2"/>
        <v>10</v>
      </c>
    </row>
    <row r="13" spans="1:18" x14ac:dyDescent="0.25">
      <c r="A13" s="195">
        <v>36465</v>
      </c>
      <c r="B13" s="31">
        <f t="shared" si="0"/>
        <v>0.98497430320438317</v>
      </c>
      <c r="C13" s="31">
        <v>0.98497430320438317</v>
      </c>
      <c r="D13" s="31">
        <v>0.97495865028329376</v>
      </c>
      <c r="E13" s="139">
        <v>0.93500000000000005</v>
      </c>
      <c r="F13" s="139">
        <v>0.94198999999999999</v>
      </c>
      <c r="G13" s="31">
        <v>0.96323267464099116</v>
      </c>
      <c r="H13" s="32">
        <v>0.90577586047143255</v>
      </c>
      <c r="J13" s="25">
        <f t="shared" si="1"/>
        <v>36465</v>
      </c>
      <c r="K13" s="26">
        <f t="shared" si="2"/>
        <v>11</v>
      </c>
    </row>
    <row r="14" spans="1:18" x14ac:dyDescent="0.25">
      <c r="A14" s="195">
        <v>36495</v>
      </c>
      <c r="B14" s="31">
        <f t="shared" si="0"/>
        <v>0.98497430320438317</v>
      </c>
      <c r="C14" s="31">
        <v>0.98497430320438317</v>
      </c>
      <c r="D14" s="31">
        <v>0.97495865028329376</v>
      </c>
      <c r="E14" s="139">
        <v>0.93500000000000005</v>
      </c>
      <c r="F14" s="139">
        <v>0.98440000000000005</v>
      </c>
      <c r="G14" s="31">
        <v>0.96323267464099116</v>
      </c>
      <c r="H14" s="32">
        <v>0.90577586047143255</v>
      </c>
      <c r="J14" s="25">
        <f t="shared" si="1"/>
        <v>36495</v>
      </c>
      <c r="K14" s="26">
        <f t="shared" si="2"/>
        <v>12</v>
      </c>
    </row>
    <row r="15" spans="1:18" x14ac:dyDescent="0.25">
      <c r="A15" s="195">
        <v>36526</v>
      </c>
      <c r="B15" s="31">
        <f t="shared" si="0"/>
        <v>0.98497430320438317</v>
      </c>
      <c r="C15" s="31">
        <v>0.98497430320438317</v>
      </c>
      <c r="D15" s="31">
        <v>0.97495865028329376</v>
      </c>
      <c r="E15" s="139">
        <v>0.93500000000000005</v>
      </c>
      <c r="F15" s="139">
        <v>0.98440000000000005</v>
      </c>
      <c r="G15" s="31">
        <v>0.96323267464099116</v>
      </c>
      <c r="H15" s="32">
        <v>0.90577586047143255</v>
      </c>
      <c r="J15" s="25">
        <f t="shared" si="1"/>
        <v>36526</v>
      </c>
      <c r="K15" s="26">
        <f t="shared" si="2"/>
        <v>13</v>
      </c>
    </row>
    <row r="16" spans="1:18" x14ac:dyDescent="0.25">
      <c r="A16" s="195">
        <v>36557</v>
      </c>
      <c r="B16" s="31">
        <f t="shared" si="0"/>
        <v>0.98497430320438317</v>
      </c>
      <c r="C16" s="31">
        <v>0.98497430320438317</v>
      </c>
      <c r="D16" s="31">
        <v>0.97495865028329376</v>
      </c>
      <c r="E16" s="139">
        <v>0.93500000000000005</v>
      </c>
      <c r="F16" s="139">
        <v>0.98440000000000005</v>
      </c>
      <c r="G16" s="31">
        <v>0.96323267464099116</v>
      </c>
      <c r="H16" s="32">
        <v>0.90577586047143255</v>
      </c>
      <c r="J16" s="25">
        <f t="shared" si="1"/>
        <v>36557</v>
      </c>
      <c r="K16" s="26">
        <f t="shared" si="2"/>
        <v>14</v>
      </c>
    </row>
    <row r="17" spans="1:11" x14ac:dyDescent="0.25">
      <c r="A17" s="195">
        <v>36586</v>
      </c>
      <c r="B17" s="31">
        <f t="shared" si="0"/>
        <v>0.98497430320438317</v>
      </c>
      <c r="C17" s="31">
        <v>0.98497430320438317</v>
      </c>
      <c r="D17" s="31">
        <v>0.97495865028329376</v>
      </c>
      <c r="E17" s="139">
        <v>0.93500000000000005</v>
      </c>
      <c r="F17" s="139">
        <v>0.98440000000000005</v>
      </c>
      <c r="G17" s="31">
        <v>0.96323267464099116</v>
      </c>
      <c r="H17" s="32">
        <v>0.2</v>
      </c>
      <c r="J17" s="25">
        <f t="shared" si="1"/>
        <v>36586</v>
      </c>
      <c r="K17" s="26">
        <f t="shared" si="2"/>
        <v>15</v>
      </c>
    </row>
    <row r="18" spans="1:11" x14ac:dyDescent="0.25">
      <c r="A18" s="195">
        <v>36617</v>
      </c>
      <c r="B18" s="31">
        <f t="shared" si="0"/>
        <v>0.99830915684013177</v>
      </c>
      <c r="C18" s="31">
        <v>0.99830915684013177</v>
      </c>
      <c r="D18" s="31">
        <v>0.99320170056155865</v>
      </c>
      <c r="E18" s="31">
        <v>0.61248355663804033</v>
      </c>
      <c r="F18" s="31">
        <v>0.99407144019191562</v>
      </c>
      <c r="G18" s="31">
        <v>0.995</v>
      </c>
      <c r="H18" s="140">
        <v>0.98379000000000005</v>
      </c>
      <c r="J18" s="25">
        <f t="shared" si="1"/>
        <v>36617</v>
      </c>
      <c r="K18" s="26">
        <f t="shared" si="2"/>
        <v>16</v>
      </c>
    </row>
    <row r="19" spans="1:11" x14ac:dyDescent="0.25">
      <c r="A19" s="195">
        <v>36647</v>
      </c>
      <c r="B19" s="31">
        <f t="shared" si="0"/>
        <v>0.99830915684013177</v>
      </c>
      <c r="C19" s="31">
        <v>0.99830915684013177</v>
      </c>
      <c r="D19" s="31">
        <v>0.99320170056155865</v>
      </c>
      <c r="E19" s="31">
        <v>0.96</v>
      </c>
      <c r="F19" s="31">
        <v>0.99407144019191562</v>
      </c>
      <c r="G19" s="31">
        <v>0.995</v>
      </c>
      <c r="H19" s="140">
        <v>0.99</v>
      </c>
      <c r="J19" s="25">
        <f t="shared" si="1"/>
        <v>36647</v>
      </c>
      <c r="K19" s="26">
        <f t="shared" si="2"/>
        <v>17</v>
      </c>
    </row>
    <row r="20" spans="1:11" x14ac:dyDescent="0.25">
      <c r="A20" s="195">
        <v>36678</v>
      </c>
      <c r="B20" s="31">
        <f t="shared" si="0"/>
        <v>0.99830915684013177</v>
      </c>
      <c r="C20" s="31">
        <v>0.99830915684013177</v>
      </c>
      <c r="D20" s="31">
        <v>0.99320170056155865</v>
      </c>
      <c r="E20" s="31">
        <v>0.96</v>
      </c>
      <c r="F20" s="31">
        <v>0.99407144019191562</v>
      </c>
      <c r="G20" s="31">
        <v>0.995</v>
      </c>
      <c r="H20" s="140">
        <v>0.99</v>
      </c>
      <c r="J20" s="25">
        <f t="shared" si="1"/>
        <v>36678</v>
      </c>
      <c r="K20" s="26">
        <f t="shared" si="2"/>
        <v>18</v>
      </c>
    </row>
    <row r="21" spans="1:11" x14ac:dyDescent="0.25">
      <c r="A21" s="195">
        <v>36708</v>
      </c>
      <c r="B21" s="31">
        <f t="shared" si="0"/>
        <v>0.99830915684013177</v>
      </c>
      <c r="C21" s="31">
        <v>0.99830915684013177</v>
      </c>
      <c r="D21" s="31">
        <v>0.99320170056155865</v>
      </c>
      <c r="E21" s="31">
        <v>0.96</v>
      </c>
      <c r="F21" s="31">
        <v>0.99407144019191562</v>
      </c>
      <c r="G21" s="31">
        <v>0.995</v>
      </c>
      <c r="H21" s="140">
        <v>0.99</v>
      </c>
      <c r="J21" s="25">
        <f t="shared" si="1"/>
        <v>36708</v>
      </c>
      <c r="K21" s="26">
        <f t="shared" si="2"/>
        <v>19</v>
      </c>
    </row>
    <row r="22" spans="1:11" x14ac:dyDescent="0.25">
      <c r="A22" s="195">
        <v>36739</v>
      </c>
      <c r="B22" s="31">
        <f t="shared" si="0"/>
        <v>0.99830915684013177</v>
      </c>
      <c r="C22" s="31">
        <v>0.99830915684013177</v>
      </c>
      <c r="D22" s="31">
        <v>0.99320170056155865</v>
      </c>
      <c r="E22" s="31">
        <v>0.96</v>
      </c>
      <c r="F22" s="31">
        <v>0.99407144019191562</v>
      </c>
      <c r="G22" s="31">
        <v>0.995</v>
      </c>
      <c r="H22" s="140">
        <v>0.99</v>
      </c>
      <c r="J22" s="25">
        <f t="shared" si="1"/>
        <v>36739</v>
      </c>
      <c r="K22" s="26">
        <f t="shared" si="2"/>
        <v>20</v>
      </c>
    </row>
    <row r="23" spans="1:11" x14ac:dyDescent="0.25">
      <c r="A23" s="195">
        <v>36770</v>
      </c>
      <c r="B23" s="31">
        <f t="shared" si="0"/>
        <v>0.99830915684013177</v>
      </c>
      <c r="C23" s="31">
        <v>0.99830915684013177</v>
      </c>
      <c r="D23" s="31">
        <v>0.99320170056155865</v>
      </c>
      <c r="E23" s="31">
        <v>0.96</v>
      </c>
      <c r="F23" s="31">
        <v>0.99407144019191562</v>
      </c>
      <c r="G23" s="31">
        <v>0.995</v>
      </c>
      <c r="H23" s="140">
        <v>0.99</v>
      </c>
      <c r="J23" s="25">
        <f t="shared" si="1"/>
        <v>36770</v>
      </c>
      <c r="K23" s="26">
        <f t="shared" si="2"/>
        <v>21</v>
      </c>
    </row>
    <row r="24" spans="1:11" x14ac:dyDescent="0.25">
      <c r="A24" s="195">
        <v>36800</v>
      </c>
      <c r="B24" s="31">
        <f t="shared" si="0"/>
        <v>0.99830915684013177</v>
      </c>
      <c r="C24" s="31">
        <v>0.99830915684013177</v>
      </c>
      <c r="D24" s="31">
        <v>0.99320170056155865</v>
      </c>
      <c r="E24" s="31">
        <v>0.96</v>
      </c>
      <c r="F24" s="31">
        <v>0.99407144019191562</v>
      </c>
      <c r="G24" s="31">
        <v>0.995</v>
      </c>
      <c r="H24" s="140">
        <v>0.99</v>
      </c>
      <c r="J24" s="25">
        <f t="shared" si="1"/>
        <v>36800</v>
      </c>
      <c r="K24" s="26">
        <f t="shared" si="2"/>
        <v>22</v>
      </c>
    </row>
    <row r="25" spans="1:11" x14ac:dyDescent="0.25">
      <c r="A25" s="195">
        <v>36831</v>
      </c>
      <c r="B25" s="31">
        <f t="shared" si="0"/>
        <v>0.98497430320438317</v>
      </c>
      <c r="C25" s="31">
        <v>0.98497430320438317</v>
      </c>
      <c r="D25" s="31">
        <v>0.97495865028329376</v>
      </c>
      <c r="E25" s="31">
        <v>0.96</v>
      </c>
      <c r="F25" s="31">
        <v>0.98410764751845092</v>
      </c>
      <c r="G25" s="31">
        <v>0.96323267464099116</v>
      </c>
      <c r="H25" s="32">
        <v>0.95</v>
      </c>
      <c r="J25" s="25">
        <f t="shared" si="1"/>
        <v>36831</v>
      </c>
      <c r="K25" s="26">
        <f t="shared" si="2"/>
        <v>23</v>
      </c>
    </row>
    <row r="26" spans="1:11" x14ac:dyDescent="0.25">
      <c r="A26" s="195">
        <v>36861</v>
      </c>
      <c r="B26" s="31">
        <f t="shared" si="0"/>
        <v>0.98497430320438317</v>
      </c>
      <c r="C26" s="31">
        <v>0.98497430320438317</v>
      </c>
      <c r="D26" s="31">
        <v>0.97495865028329376</v>
      </c>
      <c r="E26" s="31">
        <v>0.96</v>
      </c>
      <c r="F26" s="31">
        <v>0.98410764751845092</v>
      </c>
      <c r="G26" s="31">
        <v>0.96323267464099116</v>
      </c>
      <c r="H26" s="32">
        <v>0.95</v>
      </c>
      <c r="J26" s="25">
        <f t="shared" si="1"/>
        <v>36861</v>
      </c>
      <c r="K26" s="26">
        <f t="shared" si="2"/>
        <v>24</v>
      </c>
    </row>
    <row r="27" spans="1:11" x14ac:dyDescent="0.25">
      <c r="A27" s="195">
        <v>36892</v>
      </c>
      <c r="B27" s="31">
        <f t="shared" si="0"/>
        <v>0.98497430320438317</v>
      </c>
      <c r="C27" s="31">
        <v>0.98497430320438317</v>
      </c>
      <c r="D27" s="31">
        <v>0.97495865028329376</v>
      </c>
      <c r="E27" s="31">
        <v>0.96</v>
      </c>
      <c r="F27" s="31">
        <v>0.98410764751845092</v>
      </c>
      <c r="G27" s="31">
        <v>0.96323267464099116</v>
      </c>
      <c r="H27" s="32">
        <v>0.95</v>
      </c>
      <c r="J27" s="25">
        <f t="shared" si="1"/>
        <v>36892</v>
      </c>
      <c r="K27" s="26">
        <f t="shared" si="2"/>
        <v>25</v>
      </c>
    </row>
    <row r="28" spans="1:11" x14ac:dyDescent="0.25">
      <c r="A28" s="195">
        <v>36923</v>
      </c>
      <c r="B28" s="31">
        <f t="shared" si="0"/>
        <v>0.98497430320438317</v>
      </c>
      <c r="C28" s="31">
        <v>0.98497430320438317</v>
      </c>
      <c r="D28" s="31">
        <v>0.97495865028329376</v>
      </c>
      <c r="E28" s="31">
        <v>0.96</v>
      </c>
      <c r="F28" s="31">
        <v>0.98410764751845092</v>
      </c>
      <c r="G28" s="31">
        <v>0.96323267464099116</v>
      </c>
      <c r="H28" s="32">
        <v>0.95</v>
      </c>
      <c r="J28" s="25">
        <f t="shared" si="1"/>
        <v>36923</v>
      </c>
      <c r="K28" s="26">
        <f t="shared" si="2"/>
        <v>26</v>
      </c>
    </row>
    <row r="29" spans="1:11" x14ac:dyDescent="0.25">
      <c r="A29" s="195">
        <v>36951</v>
      </c>
      <c r="B29" s="31">
        <f t="shared" si="0"/>
        <v>0.98497430320438317</v>
      </c>
      <c r="C29" s="31">
        <v>0.98497430320438317</v>
      </c>
      <c r="D29" s="31">
        <v>0.97495865028329376</v>
      </c>
      <c r="E29" s="31">
        <v>0.96</v>
      </c>
      <c r="F29" s="31">
        <v>0.98410764751845092</v>
      </c>
      <c r="G29" s="31">
        <v>0.96323267464099116</v>
      </c>
      <c r="H29" s="32">
        <v>0.95</v>
      </c>
      <c r="J29" s="25">
        <f t="shared" si="1"/>
        <v>36951</v>
      </c>
      <c r="K29" s="26">
        <f t="shared" si="2"/>
        <v>27</v>
      </c>
    </row>
    <row r="30" spans="1:11" x14ac:dyDescent="0.25">
      <c r="A30" s="195">
        <v>36982</v>
      </c>
      <c r="B30" s="31">
        <f t="shared" si="0"/>
        <v>0.99830915684013177</v>
      </c>
      <c r="C30" s="31">
        <v>0.99830915684013177</v>
      </c>
      <c r="D30" s="31">
        <v>0.99320170056155865</v>
      </c>
      <c r="E30" s="31">
        <v>0.96</v>
      </c>
      <c r="F30" s="31">
        <v>0.99407144019191562</v>
      </c>
      <c r="G30" s="31">
        <v>0.99181421821364457</v>
      </c>
      <c r="H30" s="140">
        <v>0.98379000000000005</v>
      </c>
      <c r="J30" s="25">
        <f t="shared" si="1"/>
        <v>36982</v>
      </c>
      <c r="K30" s="26">
        <f t="shared" si="2"/>
        <v>28</v>
      </c>
    </row>
    <row r="31" spans="1:11" x14ac:dyDescent="0.25">
      <c r="A31" s="195">
        <v>37012</v>
      </c>
      <c r="B31" s="31">
        <f t="shared" si="0"/>
        <v>0.99830915684013177</v>
      </c>
      <c r="C31" s="31">
        <v>0.99830915684013177</v>
      </c>
      <c r="D31" s="31">
        <v>0.99320170056155865</v>
      </c>
      <c r="E31" s="31">
        <v>0.96</v>
      </c>
      <c r="F31" s="31">
        <v>0.99407144019191562</v>
      </c>
      <c r="G31" s="31">
        <v>0.99181421821364457</v>
      </c>
      <c r="H31" s="140">
        <v>0.98379000000000005</v>
      </c>
      <c r="J31" s="25">
        <f t="shared" si="1"/>
        <v>37012</v>
      </c>
      <c r="K31" s="26">
        <f t="shared" si="2"/>
        <v>29</v>
      </c>
    </row>
    <row r="32" spans="1:11" x14ac:dyDescent="0.25">
      <c r="A32" s="195">
        <v>37043</v>
      </c>
      <c r="B32" s="31">
        <f t="shared" si="0"/>
        <v>0.99830915684013177</v>
      </c>
      <c r="C32" s="31">
        <v>0.99830915684013177</v>
      </c>
      <c r="D32" s="31">
        <v>0.99320170056155865</v>
      </c>
      <c r="E32" s="31">
        <v>0.96</v>
      </c>
      <c r="F32" s="31">
        <v>0.99407144019191562</v>
      </c>
      <c r="G32" s="31">
        <v>0.99181421821364457</v>
      </c>
      <c r="H32" s="140">
        <v>0.98379000000000005</v>
      </c>
      <c r="J32" s="25">
        <f t="shared" si="1"/>
        <v>37043</v>
      </c>
      <c r="K32" s="26">
        <f t="shared" si="2"/>
        <v>30</v>
      </c>
    </row>
    <row r="33" spans="1:11" x14ac:dyDescent="0.25">
      <c r="A33" s="195">
        <v>37073</v>
      </c>
      <c r="B33" s="31">
        <f t="shared" si="0"/>
        <v>0.99830915684013177</v>
      </c>
      <c r="C33" s="31">
        <v>0.99830915684013177</v>
      </c>
      <c r="D33" s="31">
        <v>0.99320170056155865</v>
      </c>
      <c r="E33" s="31">
        <v>0.96</v>
      </c>
      <c r="F33" s="31">
        <v>0.99407144019191562</v>
      </c>
      <c r="G33" s="31">
        <v>0.99181421821364457</v>
      </c>
      <c r="H33" s="140">
        <v>0.98379000000000005</v>
      </c>
      <c r="J33" s="25">
        <f t="shared" si="1"/>
        <v>37073</v>
      </c>
      <c r="K33" s="26">
        <f t="shared" si="2"/>
        <v>31</v>
      </c>
    </row>
    <row r="34" spans="1:11" x14ac:dyDescent="0.25">
      <c r="A34" s="195">
        <v>37104</v>
      </c>
      <c r="B34" s="31">
        <f t="shared" si="0"/>
        <v>0.99830915684013177</v>
      </c>
      <c r="C34" s="31">
        <v>0.99830915684013177</v>
      </c>
      <c r="D34" s="31">
        <v>0.99320170056155865</v>
      </c>
      <c r="E34" s="31">
        <v>0.96</v>
      </c>
      <c r="F34" s="31">
        <v>0.99407144019191562</v>
      </c>
      <c r="G34" s="31">
        <v>0.99181421821364457</v>
      </c>
      <c r="H34" s="140">
        <v>0.98379000000000005</v>
      </c>
      <c r="J34" s="25">
        <f t="shared" si="1"/>
        <v>37104</v>
      </c>
      <c r="K34" s="26">
        <f t="shared" si="2"/>
        <v>32</v>
      </c>
    </row>
    <row r="35" spans="1:11" x14ac:dyDescent="0.25">
      <c r="A35" s="195">
        <v>37135</v>
      </c>
      <c r="B35" s="31">
        <f t="shared" si="0"/>
        <v>0.99830915684013177</v>
      </c>
      <c r="C35" s="31">
        <v>0.99830915684013177</v>
      </c>
      <c r="D35" s="31">
        <v>0.99320170056155865</v>
      </c>
      <c r="E35" s="31">
        <v>0.96</v>
      </c>
      <c r="F35" s="31">
        <v>0.99407144019191562</v>
      </c>
      <c r="G35" s="31">
        <v>0.99181421821364457</v>
      </c>
      <c r="H35" s="140">
        <v>0.98379000000000005</v>
      </c>
      <c r="J35" s="25">
        <f t="shared" si="1"/>
        <v>37135</v>
      </c>
      <c r="K35" s="26">
        <f t="shared" si="2"/>
        <v>33</v>
      </c>
    </row>
    <row r="36" spans="1:11" x14ac:dyDescent="0.25">
      <c r="A36" s="195">
        <v>37165</v>
      </c>
      <c r="B36" s="31">
        <f t="shared" si="0"/>
        <v>0.99830915684013177</v>
      </c>
      <c r="C36" s="31">
        <v>0.99830915684013177</v>
      </c>
      <c r="D36" s="31">
        <v>0.99320170056155865</v>
      </c>
      <c r="E36" s="31">
        <v>0.96</v>
      </c>
      <c r="F36" s="31">
        <v>0.99407144019191562</v>
      </c>
      <c r="G36" s="31">
        <v>0.99181421821364457</v>
      </c>
      <c r="H36" s="140">
        <v>0.98379000000000005</v>
      </c>
      <c r="J36" s="25">
        <f t="shared" si="1"/>
        <v>37165</v>
      </c>
      <c r="K36" s="26">
        <f t="shared" si="2"/>
        <v>34</v>
      </c>
    </row>
    <row r="37" spans="1:11" x14ac:dyDescent="0.25">
      <c r="A37" s="195">
        <v>37196</v>
      </c>
      <c r="B37" s="31">
        <f t="shared" si="0"/>
        <v>0.98497430320438317</v>
      </c>
      <c r="C37" s="31">
        <v>0.98497430320438317</v>
      </c>
      <c r="D37" s="31">
        <v>0.97495865028329376</v>
      </c>
      <c r="E37" s="31">
        <v>0.96</v>
      </c>
      <c r="F37" s="31">
        <v>0.98410764751845092</v>
      </c>
      <c r="G37" s="31">
        <v>0.96323267464099116</v>
      </c>
      <c r="H37" s="32">
        <v>0.95</v>
      </c>
      <c r="J37" s="25">
        <f t="shared" si="1"/>
        <v>37196</v>
      </c>
      <c r="K37" s="26">
        <f t="shared" si="2"/>
        <v>35</v>
      </c>
    </row>
    <row r="38" spans="1:11" x14ac:dyDescent="0.25">
      <c r="A38" s="195">
        <v>37226</v>
      </c>
      <c r="B38" s="31">
        <f t="shared" si="0"/>
        <v>0.98497430320438317</v>
      </c>
      <c r="C38" s="31">
        <v>0.98497430320438317</v>
      </c>
      <c r="D38" s="31">
        <v>0.97495865028329376</v>
      </c>
      <c r="E38" s="31">
        <v>0.96</v>
      </c>
      <c r="F38" s="31">
        <v>0.98410764751845092</v>
      </c>
      <c r="G38" s="31">
        <v>0.96323267464099116</v>
      </c>
      <c r="H38" s="32">
        <v>0.95</v>
      </c>
      <c r="J38" s="25">
        <f t="shared" si="1"/>
        <v>37226</v>
      </c>
      <c r="K38" s="26">
        <f t="shared" si="2"/>
        <v>36</v>
      </c>
    </row>
    <row r="39" spans="1:11" x14ac:dyDescent="0.25">
      <c r="A39" s="195">
        <v>37257</v>
      </c>
      <c r="B39" s="31">
        <f t="shared" si="0"/>
        <v>0.98497430320438317</v>
      </c>
      <c r="C39" s="31">
        <v>0.98497430320438317</v>
      </c>
      <c r="D39" s="31">
        <v>0.97495865028329376</v>
      </c>
      <c r="E39" s="31">
        <v>0.96</v>
      </c>
      <c r="F39" s="31">
        <v>0.98410764751845092</v>
      </c>
      <c r="G39" s="31">
        <v>0.96323267464099116</v>
      </c>
      <c r="H39" s="32">
        <v>0.95</v>
      </c>
      <c r="J39" s="25">
        <f t="shared" si="1"/>
        <v>37257</v>
      </c>
      <c r="K39" s="26">
        <f t="shared" si="2"/>
        <v>37</v>
      </c>
    </row>
    <row r="40" spans="1:11" x14ac:dyDescent="0.25">
      <c r="A40" s="195">
        <v>37288</v>
      </c>
      <c r="B40" s="31">
        <f t="shared" si="0"/>
        <v>0.98497430320438317</v>
      </c>
      <c r="C40" s="31">
        <v>0.98497430320438317</v>
      </c>
      <c r="D40" s="31">
        <v>0.97495865028329376</v>
      </c>
      <c r="E40" s="31">
        <v>0.96</v>
      </c>
      <c r="F40" s="31">
        <v>0.98410764751845092</v>
      </c>
      <c r="G40" s="31">
        <v>0.96323267464099116</v>
      </c>
      <c r="H40" s="32">
        <v>0.95</v>
      </c>
      <c r="J40" s="25">
        <f t="shared" si="1"/>
        <v>37288</v>
      </c>
      <c r="K40" s="26">
        <f t="shared" si="2"/>
        <v>38</v>
      </c>
    </row>
    <row r="41" spans="1:11" x14ac:dyDescent="0.25">
      <c r="A41" s="195">
        <v>37316</v>
      </c>
      <c r="B41" s="31">
        <f t="shared" si="0"/>
        <v>0.98497430320438317</v>
      </c>
      <c r="C41" s="31">
        <v>0.98497430320438317</v>
      </c>
      <c r="D41" s="31">
        <v>0.97495865028329376</v>
      </c>
      <c r="E41" s="31">
        <v>0.96</v>
      </c>
      <c r="F41" s="31">
        <v>0.98410764751845092</v>
      </c>
      <c r="G41" s="31">
        <v>0.96323267464099116</v>
      </c>
      <c r="H41" s="32">
        <v>0.95</v>
      </c>
      <c r="J41" s="25">
        <f t="shared" si="1"/>
        <v>37316</v>
      </c>
      <c r="K41" s="26">
        <f t="shared" si="2"/>
        <v>39</v>
      </c>
    </row>
    <row r="42" spans="1:11" x14ac:dyDescent="0.25">
      <c r="A42" s="195">
        <v>37347</v>
      </c>
      <c r="B42" s="31">
        <f t="shared" si="0"/>
        <v>0.99830915684013177</v>
      </c>
      <c r="C42" s="31">
        <v>0.99830915684013177</v>
      </c>
      <c r="D42" s="31">
        <v>0.99320170056155865</v>
      </c>
      <c r="E42" s="31">
        <v>0.96</v>
      </c>
      <c r="F42" s="31">
        <v>0.99407144019191562</v>
      </c>
      <c r="G42" s="31">
        <v>0.99181421821364457</v>
      </c>
      <c r="H42" s="32">
        <v>0.98042074975743199</v>
      </c>
      <c r="J42" s="25">
        <f t="shared" si="1"/>
        <v>37347</v>
      </c>
      <c r="K42" s="26">
        <f t="shared" si="2"/>
        <v>40</v>
      </c>
    </row>
    <row r="43" spans="1:11" x14ac:dyDescent="0.25">
      <c r="A43" s="195">
        <v>37377</v>
      </c>
      <c r="B43" s="31">
        <f t="shared" si="0"/>
        <v>0.99830915684013177</v>
      </c>
      <c r="C43" s="31">
        <v>0.99830915684013177</v>
      </c>
      <c r="D43" s="31">
        <v>0.99320170056155865</v>
      </c>
      <c r="E43" s="31">
        <v>0.96</v>
      </c>
      <c r="F43" s="31">
        <v>0.99407144019191562</v>
      </c>
      <c r="G43" s="31">
        <v>0.99181421821364457</v>
      </c>
      <c r="H43" s="32">
        <v>0.98042074975743199</v>
      </c>
      <c r="J43" s="25">
        <f t="shared" si="1"/>
        <v>37377</v>
      </c>
      <c r="K43" s="26">
        <f t="shared" si="2"/>
        <v>41</v>
      </c>
    </row>
    <row r="44" spans="1:11" x14ac:dyDescent="0.25">
      <c r="A44" s="195">
        <v>37408</v>
      </c>
      <c r="B44" s="31">
        <f t="shared" si="0"/>
        <v>0.99830915684013177</v>
      </c>
      <c r="C44" s="31">
        <v>0.99830915684013177</v>
      </c>
      <c r="D44" s="31">
        <v>0.99320170056155865</v>
      </c>
      <c r="E44" s="31">
        <v>0.96</v>
      </c>
      <c r="F44" s="31">
        <v>0.99407144019191562</v>
      </c>
      <c r="G44" s="31">
        <v>0.99181421821364457</v>
      </c>
      <c r="H44" s="32">
        <v>0.98042074975743199</v>
      </c>
      <c r="J44" s="25">
        <f t="shared" si="1"/>
        <v>37408</v>
      </c>
      <c r="K44" s="26">
        <f t="shared" si="2"/>
        <v>42</v>
      </c>
    </row>
    <row r="45" spans="1:11" x14ac:dyDescent="0.25">
      <c r="A45" s="195">
        <v>37438</v>
      </c>
      <c r="B45" s="31">
        <f t="shared" si="0"/>
        <v>0.99830915684013177</v>
      </c>
      <c r="C45" s="31">
        <v>0.99830915684013177</v>
      </c>
      <c r="D45" s="31">
        <v>0.99320170056155865</v>
      </c>
      <c r="E45" s="31">
        <v>0.96</v>
      </c>
      <c r="F45" s="31">
        <v>0.99407144019191562</v>
      </c>
      <c r="G45" s="31">
        <v>0.99181421821364457</v>
      </c>
      <c r="H45" s="32">
        <v>0.98042074975743199</v>
      </c>
      <c r="J45" s="25">
        <f t="shared" si="1"/>
        <v>37438</v>
      </c>
      <c r="K45" s="26">
        <f t="shared" si="2"/>
        <v>43</v>
      </c>
    </row>
    <row r="46" spans="1:11" x14ac:dyDescent="0.25">
      <c r="A46" s="195">
        <v>37469</v>
      </c>
      <c r="B46" s="31">
        <f t="shared" si="0"/>
        <v>0.99830915684013177</v>
      </c>
      <c r="C46" s="31">
        <v>0.99830915684013177</v>
      </c>
      <c r="D46" s="31">
        <v>0.99320170056155865</v>
      </c>
      <c r="E46" s="31">
        <v>0.96</v>
      </c>
      <c r="F46" s="31">
        <v>0.99407144019191562</v>
      </c>
      <c r="G46" s="31">
        <v>0.99181421821364457</v>
      </c>
      <c r="H46" s="32">
        <v>0.98042074975743199</v>
      </c>
      <c r="J46" s="25">
        <f t="shared" si="1"/>
        <v>37469</v>
      </c>
      <c r="K46" s="26">
        <f t="shared" si="2"/>
        <v>44</v>
      </c>
    </row>
    <row r="47" spans="1:11" x14ac:dyDescent="0.25">
      <c r="A47" s="195">
        <v>37500</v>
      </c>
      <c r="B47" s="31">
        <f t="shared" si="0"/>
        <v>0.99830915684013177</v>
      </c>
      <c r="C47" s="31">
        <v>0.99830915684013177</v>
      </c>
      <c r="D47" s="31">
        <v>0.99320170056155865</v>
      </c>
      <c r="E47" s="31">
        <v>0.96</v>
      </c>
      <c r="F47" s="31">
        <v>0.99407144019191562</v>
      </c>
      <c r="G47" s="31">
        <v>0.99181421821364457</v>
      </c>
      <c r="H47" s="32">
        <v>0.98042074975743199</v>
      </c>
      <c r="J47" s="25">
        <f t="shared" si="1"/>
        <v>37500</v>
      </c>
      <c r="K47" s="26">
        <f t="shared" si="2"/>
        <v>45</v>
      </c>
    </row>
    <row r="48" spans="1:11" x14ac:dyDescent="0.25">
      <c r="A48" s="195">
        <v>37530</v>
      </c>
      <c r="B48" s="31">
        <f t="shared" si="0"/>
        <v>0.99830915684013177</v>
      </c>
      <c r="C48" s="31">
        <v>0.99830915684013177</v>
      </c>
      <c r="D48" s="31">
        <v>0.99320170056155865</v>
      </c>
      <c r="E48" s="31">
        <v>0.96</v>
      </c>
      <c r="F48" s="31">
        <v>0.99407144019191562</v>
      </c>
      <c r="G48" s="31">
        <v>0.99181421821364457</v>
      </c>
      <c r="H48" s="32">
        <v>0.98042074975743199</v>
      </c>
      <c r="J48" s="25">
        <f t="shared" si="1"/>
        <v>37530</v>
      </c>
      <c r="K48" s="26">
        <f t="shared" si="2"/>
        <v>46</v>
      </c>
    </row>
    <row r="49" spans="1:11" x14ac:dyDescent="0.25">
      <c r="A49" s="195">
        <v>37561</v>
      </c>
      <c r="B49" s="31">
        <f t="shared" si="0"/>
        <v>0.98497430320438317</v>
      </c>
      <c r="C49" s="31">
        <v>0.98497430320438317</v>
      </c>
      <c r="D49" s="31">
        <v>0.97495865028329376</v>
      </c>
      <c r="E49" s="31">
        <v>0.96</v>
      </c>
      <c r="F49" s="31">
        <v>0.98410764751845092</v>
      </c>
      <c r="G49" s="31">
        <v>0.96323267464099116</v>
      </c>
      <c r="H49" s="32">
        <v>0.90577586047143255</v>
      </c>
      <c r="J49" s="25">
        <f t="shared" si="1"/>
        <v>37561</v>
      </c>
      <c r="K49" s="26">
        <f t="shared" si="2"/>
        <v>47</v>
      </c>
    </row>
    <row r="50" spans="1:11" x14ac:dyDescent="0.25">
      <c r="A50" s="195">
        <v>37591</v>
      </c>
      <c r="B50" s="31">
        <f t="shared" si="0"/>
        <v>0.98497430320438317</v>
      </c>
      <c r="C50" s="31">
        <v>0.98497430320438317</v>
      </c>
      <c r="D50" s="31">
        <v>0.97495865028329376</v>
      </c>
      <c r="E50" s="31">
        <v>0.96</v>
      </c>
      <c r="F50" s="31">
        <v>0.98410764751845092</v>
      </c>
      <c r="G50" s="31">
        <v>0.96323267464099116</v>
      </c>
      <c r="H50" s="32">
        <v>0.90577586047143255</v>
      </c>
      <c r="J50" s="25">
        <f t="shared" si="1"/>
        <v>37591</v>
      </c>
      <c r="K50" s="26">
        <f t="shared" si="2"/>
        <v>48</v>
      </c>
    </row>
    <row r="51" spans="1:11" x14ac:dyDescent="0.25">
      <c r="A51" s="195">
        <v>37622</v>
      </c>
      <c r="B51" s="31">
        <f t="shared" si="0"/>
        <v>0.98497430320438317</v>
      </c>
      <c r="C51" s="31">
        <v>0.98497430320438317</v>
      </c>
      <c r="D51" s="31">
        <v>0.97495865028329376</v>
      </c>
      <c r="E51" s="31">
        <v>0.96</v>
      </c>
      <c r="F51" s="31">
        <v>0.98410764751845092</v>
      </c>
      <c r="G51" s="31">
        <v>0.96323267464099116</v>
      </c>
      <c r="H51" s="32">
        <v>0.90577586047143255</v>
      </c>
      <c r="J51" s="25">
        <f t="shared" si="1"/>
        <v>37622</v>
      </c>
      <c r="K51" s="26">
        <f t="shared" si="2"/>
        <v>49</v>
      </c>
    </row>
    <row r="52" spans="1:11" x14ac:dyDescent="0.25">
      <c r="A52" s="195">
        <v>37653</v>
      </c>
      <c r="B52" s="31">
        <f t="shared" si="0"/>
        <v>0.98497430320438317</v>
      </c>
      <c r="C52" s="31">
        <v>0.98497430320438317</v>
      </c>
      <c r="D52" s="31">
        <v>0.97495865028329376</v>
      </c>
      <c r="E52" s="31">
        <v>0.96</v>
      </c>
      <c r="F52" s="31">
        <v>0.98410764751845092</v>
      </c>
      <c r="G52" s="31">
        <v>0.96323267464099116</v>
      </c>
      <c r="H52" s="32">
        <v>0.90577586047143255</v>
      </c>
      <c r="J52" s="25">
        <f t="shared" si="1"/>
        <v>37653</v>
      </c>
      <c r="K52" s="26">
        <f t="shared" si="2"/>
        <v>50</v>
      </c>
    </row>
    <row r="53" spans="1:11" x14ac:dyDescent="0.25">
      <c r="A53" s="195">
        <v>37681</v>
      </c>
      <c r="B53" s="31">
        <f t="shared" si="0"/>
        <v>0.98497430320438317</v>
      </c>
      <c r="C53" s="31">
        <v>0.98497430320438317</v>
      </c>
      <c r="D53" s="31">
        <v>0.97495865028329376</v>
      </c>
      <c r="E53" s="31">
        <v>0.96</v>
      </c>
      <c r="F53" s="31">
        <v>0.98410764751845092</v>
      </c>
      <c r="G53" s="31">
        <v>0.96323267464099116</v>
      </c>
      <c r="H53" s="32">
        <v>0.90577586047143255</v>
      </c>
      <c r="J53" s="25">
        <f t="shared" si="1"/>
        <v>37681</v>
      </c>
      <c r="K53" s="26">
        <f t="shared" si="2"/>
        <v>51</v>
      </c>
    </row>
    <row r="54" spans="1:11" x14ac:dyDescent="0.25">
      <c r="A54" s="195">
        <v>37712</v>
      </c>
      <c r="B54" s="31">
        <f t="shared" si="0"/>
        <v>0.99830915684013177</v>
      </c>
      <c r="C54" s="31">
        <v>0.99830915684013177</v>
      </c>
      <c r="D54" s="31">
        <v>0.99320170056155865</v>
      </c>
      <c r="E54" s="31">
        <v>0.96</v>
      </c>
      <c r="F54" s="31">
        <v>0.99407144019191562</v>
      </c>
      <c r="G54" s="31">
        <v>0.99181421821364457</v>
      </c>
      <c r="H54" s="32">
        <v>0.98042074975743199</v>
      </c>
      <c r="J54" s="25">
        <f t="shared" si="1"/>
        <v>37712</v>
      </c>
      <c r="K54" s="26">
        <f t="shared" si="2"/>
        <v>52</v>
      </c>
    </row>
    <row r="55" spans="1:11" x14ac:dyDescent="0.25">
      <c r="A55" s="195">
        <v>37742</v>
      </c>
      <c r="B55" s="31">
        <f t="shared" si="0"/>
        <v>0.99830915684013177</v>
      </c>
      <c r="C55" s="31">
        <v>0.99830915684013177</v>
      </c>
      <c r="D55" s="31">
        <v>0.99320170056155865</v>
      </c>
      <c r="E55" s="31">
        <v>0.96</v>
      </c>
      <c r="F55" s="31">
        <v>0.99407144019191562</v>
      </c>
      <c r="G55" s="31">
        <v>0.99181421821364457</v>
      </c>
      <c r="H55" s="32">
        <v>0.98042074975743199</v>
      </c>
      <c r="J55" s="25">
        <f t="shared" si="1"/>
        <v>37742</v>
      </c>
      <c r="K55" s="26">
        <f t="shared" si="2"/>
        <v>53</v>
      </c>
    </row>
    <row r="56" spans="1:11" x14ac:dyDescent="0.25">
      <c r="A56" s="195">
        <v>37773</v>
      </c>
      <c r="B56" s="31">
        <f t="shared" si="0"/>
        <v>0.99830915684013177</v>
      </c>
      <c r="C56" s="31">
        <v>0.99830915684013177</v>
      </c>
      <c r="D56" s="31">
        <v>0.99320170056155865</v>
      </c>
      <c r="E56" s="31">
        <v>0.96</v>
      </c>
      <c r="F56" s="31">
        <v>0.99407144019191562</v>
      </c>
      <c r="G56" s="31">
        <v>0.99181421821364457</v>
      </c>
      <c r="H56" s="32">
        <v>0.98042074975743199</v>
      </c>
      <c r="J56" s="25">
        <f t="shared" si="1"/>
        <v>37773</v>
      </c>
      <c r="K56" s="26">
        <f t="shared" si="2"/>
        <v>54</v>
      </c>
    </row>
    <row r="57" spans="1:11" x14ac:dyDescent="0.25">
      <c r="A57" s="195">
        <v>37803</v>
      </c>
      <c r="B57" s="31">
        <f t="shared" si="0"/>
        <v>0.99830915684013177</v>
      </c>
      <c r="C57" s="31">
        <v>0.99830915684013177</v>
      </c>
      <c r="D57" s="31">
        <v>0.99320170056155865</v>
      </c>
      <c r="E57" s="31">
        <v>0.96</v>
      </c>
      <c r="F57" s="31">
        <v>0.99407144019191562</v>
      </c>
      <c r="G57" s="31">
        <v>0.99181421821364457</v>
      </c>
      <c r="H57" s="32">
        <v>0.98042074975743199</v>
      </c>
      <c r="J57" s="25">
        <f t="shared" si="1"/>
        <v>37803</v>
      </c>
      <c r="K57" s="26">
        <f t="shared" si="2"/>
        <v>55</v>
      </c>
    </row>
    <row r="58" spans="1:11" x14ac:dyDescent="0.25">
      <c r="A58" s="195">
        <v>37834</v>
      </c>
      <c r="B58" s="31">
        <f t="shared" si="0"/>
        <v>0.99830915684013177</v>
      </c>
      <c r="C58" s="31">
        <v>0.99830915684013177</v>
      </c>
      <c r="D58" s="31">
        <v>0.99320170056155865</v>
      </c>
      <c r="E58" s="31">
        <v>0.96</v>
      </c>
      <c r="F58" s="31">
        <v>0.99407144019191562</v>
      </c>
      <c r="G58" s="31">
        <v>0.99181421821364457</v>
      </c>
      <c r="H58" s="32">
        <v>0.98042074975743199</v>
      </c>
      <c r="J58" s="25">
        <f t="shared" si="1"/>
        <v>37834</v>
      </c>
      <c r="K58" s="26">
        <f t="shared" si="2"/>
        <v>56</v>
      </c>
    </row>
    <row r="59" spans="1:11" x14ac:dyDescent="0.25">
      <c r="A59" s="195">
        <v>37865</v>
      </c>
      <c r="B59" s="31">
        <f t="shared" si="0"/>
        <v>0.99830915684013177</v>
      </c>
      <c r="C59" s="31">
        <v>0.99830915684013177</v>
      </c>
      <c r="D59" s="31">
        <v>0.99320170056155865</v>
      </c>
      <c r="E59" s="31">
        <v>0.96</v>
      </c>
      <c r="F59" s="31">
        <v>0.99407144019191562</v>
      </c>
      <c r="G59" s="31">
        <v>0.99181421821364457</v>
      </c>
      <c r="H59" s="32">
        <v>0.98042074975743199</v>
      </c>
      <c r="J59" s="25">
        <f t="shared" si="1"/>
        <v>37865</v>
      </c>
      <c r="K59" s="26">
        <f t="shared" si="2"/>
        <v>57</v>
      </c>
    </row>
    <row r="60" spans="1:11" x14ac:dyDescent="0.25">
      <c r="A60" s="195">
        <v>37895</v>
      </c>
      <c r="B60" s="31">
        <f t="shared" si="0"/>
        <v>0.99830915684013177</v>
      </c>
      <c r="C60" s="31">
        <v>0.99830915684013177</v>
      </c>
      <c r="D60" s="31">
        <v>0.99320170056155865</v>
      </c>
      <c r="E60" s="31">
        <v>0.96</v>
      </c>
      <c r="F60" s="31">
        <v>0.99407144019191562</v>
      </c>
      <c r="G60" s="31">
        <v>0.99181421821364457</v>
      </c>
      <c r="H60" s="32">
        <v>0.98042074975743199</v>
      </c>
      <c r="J60" s="25">
        <f t="shared" si="1"/>
        <v>37895</v>
      </c>
      <c r="K60" s="26">
        <f t="shared" si="2"/>
        <v>58</v>
      </c>
    </row>
    <row r="61" spans="1:11" x14ac:dyDescent="0.25">
      <c r="A61" s="195">
        <v>37926</v>
      </c>
      <c r="B61" s="31">
        <f t="shared" si="0"/>
        <v>0.98497430320438317</v>
      </c>
      <c r="C61" s="31">
        <v>0.98497430320438317</v>
      </c>
      <c r="D61" s="31">
        <v>0.97495865028329376</v>
      </c>
      <c r="E61" s="31">
        <v>0.96</v>
      </c>
      <c r="F61" s="31">
        <v>0.98410764751845092</v>
      </c>
      <c r="G61" s="31">
        <v>0.96323267464099116</v>
      </c>
      <c r="H61" s="32">
        <v>0.90577586047143255</v>
      </c>
      <c r="J61" s="25">
        <f t="shared" si="1"/>
        <v>37926</v>
      </c>
      <c r="K61" s="26">
        <f t="shared" si="2"/>
        <v>59</v>
      </c>
    </row>
    <row r="62" spans="1:11" x14ac:dyDescent="0.25">
      <c r="A62" s="195">
        <v>37956</v>
      </c>
      <c r="B62" s="31">
        <f t="shared" si="0"/>
        <v>0.98497430320438317</v>
      </c>
      <c r="C62" s="31">
        <v>0.98497430320438317</v>
      </c>
      <c r="D62" s="31">
        <v>0.97495865028329376</v>
      </c>
      <c r="E62" s="31">
        <v>0.96</v>
      </c>
      <c r="F62" s="31">
        <v>0.98410764751845092</v>
      </c>
      <c r="G62" s="31">
        <v>0.96323267464099116</v>
      </c>
      <c r="H62" s="32">
        <v>0.90577586047143255</v>
      </c>
      <c r="J62" s="25">
        <f t="shared" si="1"/>
        <v>37956</v>
      </c>
      <c r="K62" s="26">
        <f t="shared" si="2"/>
        <v>60</v>
      </c>
    </row>
    <row r="63" spans="1:11" x14ac:dyDescent="0.25">
      <c r="A63" s="195">
        <v>37987</v>
      </c>
      <c r="B63" s="31">
        <f t="shared" si="0"/>
        <v>0.98497430320438317</v>
      </c>
      <c r="C63" s="31">
        <v>0.98497430320438317</v>
      </c>
      <c r="D63" s="31">
        <v>0.97495865028329376</v>
      </c>
      <c r="E63" s="31">
        <v>0.96</v>
      </c>
      <c r="F63" s="31">
        <v>0.98410764751845092</v>
      </c>
      <c r="G63" s="31">
        <v>0.96323267464099116</v>
      </c>
      <c r="H63" s="32">
        <v>0.90577586047143255</v>
      </c>
      <c r="J63" s="25">
        <f t="shared" si="1"/>
        <v>37987</v>
      </c>
      <c r="K63" s="26">
        <f t="shared" si="2"/>
        <v>61</v>
      </c>
    </row>
    <row r="64" spans="1:11" x14ac:dyDescent="0.25">
      <c r="A64" s="195">
        <v>38018</v>
      </c>
      <c r="B64" s="31">
        <f t="shared" si="0"/>
        <v>0.98497430320438317</v>
      </c>
      <c r="C64" s="31">
        <v>0.98497430320438317</v>
      </c>
      <c r="D64" s="31">
        <v>0.97495865028329376</v>
      </c>
      <c r="E64" s="31">
        <v>0.96</v>
      </c>
      <c r="F64" s="31">
        <v>0.98410764751845092</v>
      </c>
      <c r="G64" s="31">
        <v>0.96323267464099116</v>
      </c>
      <c r="H64" s="32">
        <v>0.90577586047143255</v>
      </c>
      <c r="J64" s="25">
        <f t="shared" si="1"/>
        <v>38018</v>
      </c>
      <c r="K64" s="26">
        <f t="shared" si="2"/>
        <v>62</v>
      </c>
    </row>
    <row r="65" spans="1:11" x14ac:dyDescent="0.25">
      <c r="A65" s="195">
        <v>38047</v>
      </c>
      <c r="B65" s="31">
        <f t="shared" si="0"/>
        <v>0.98497430320438317</v>
      </c>
      <c r="C65" s="31">
        <v>0.98497430320438317</v>
      </c>
      <c r="D65" s="31">
        <v>0.97495865028329376</v>
      </c>
      <c r="E65" s="31">
        <v>0.96</v>
      </c>
      <c r="F65" s="31">
        <v>0.98410764751845092</v>
      </c>
      <c r="G65" s="31">
        <v>0.96323267464099116</v>
      </c>
      <c r="H65" s="32">
        <v>0.90577586047143255</v>
      </c>
      <c r="J65" s="25">
        <f t="shared" si="1"/>
        <v>38047</v>
      </c>
      <c r="K65" s="26">
        <f t="shared" si="2"/>
        <v>63</v>
      </c>
    </row>
    <row r="66" spans="1:11" x14ac:dyDescent="0.25">
      <c r="A66" s="195">
        <v>38078</v>
      </c>
      <c r="B66" s="31">
        <f t="shared" si="0"/>
        <v>0.99830915684013177</v>
      </c>
      <c r="C66" s="31">
        <v>0.99830915684013177</v>
      </c>
      <c r="D66" s="31">
        <v>0.99320170056155865</v>
      </c>
      <c r="E66" s="31">
        <v>0.96</v>
      </c>
      <c r="F66" s="31">
        <v>0.99407144019191562</v>
      </c>
      <c r="G66" s="31">
        <v>0.99181421821364457</v>
      </c>
      <c r="H66" s="32">
        <v>0.98042074975743199</v>
      </c>
      <c r="J66" s="25">
        <f t="shared" si="1"/>
        <v>38078</v>
      </c>
      <c r="K66" s="26">
        <f t="shared" si="2"/>
        <v>64</v>
      </c>
    </row>
    <row r="67" spans="1:11" x14ac:dyDescent="0.25">
      <c r="A67" s="195">
        <v>38108</v>
      </c>
      <c r="B67" s="31">
        <f t="shared" si="0"/>
        <v>0.99830915684013177</v>
      </c>
      <c r="C67" s="31">
        <v>0.99830915684013177</v>
      </c>
      <c r="D67" s="31">
        <v>0.99320170056155865</v>
      </c>
      <c r="E67" s="31">
        <v>0.96</v>
      </c>
      <c r="F67" s="31">
        <v>0.99407144019191562</v>
      </c>
      <c r="G67" s="31">
        <v>0.99181421821364457</v>
      </c>
      <c r="H67" s="32">
        <v>0.98042074975743199</v>
      </c>
      <c r="J67" s="25">
        <f t="shared" si="1"/>
        <v>38108</v>
      </c>
      <c r="K67" s="26">
        <f t="shared" si="2"/>
        <v>65</v>
      </c>
    </row>
    <row r="68" spans="1:11" x14ac:dyDescent="0.25">
      <c r="A68" s="195">
        <v>38139</v>
      </c>
      <c r="B68" s="31">
        <f t="shared" si="0"/>
        <v>0.99830915684013177</v>
      </c>
      <c r="C68" s="31">
        <v>0.99830915684013177</v>
      </c>
      <c r="D68" s="31">
        <v>0.99320170056155865</v>
      </c>
      <c r="E68" s="31">
        <v>0.96</v>
      </c>
      <c r="F68" s="31">
        <v>0.99407144019191562</v>
      </c>
      <c r="G68" s="31">
        <v>0.99181421821364457</v>
      </c>
      <c r="H68" s="32">
        <v>0.98042074975743199</v>
      </c>
      <c r="J68" s="25">
        <f t="shared" si="1"/>
        <v>38139</v>
      </c>
      <c r="K68" s="26">
        <f t="shared" si="2"/>
        <v>66</v>
      </c>
    </row>
    <row r="69" spans="1:11" x14ac:dyDescent="0.25">
      <c r="A69" s="195">
        <v>38169</v>
      </c>
      <c r="B69" s="31">
        <f t="shared" ref="B69:B132" si="3">C69</f>
        <v>0.99830915684013177</v>
      </c>
      <c r="C69" s="31">
        <v>0.99830915684013177</v>
      </c>
      <c r="D69" s="31">
        <v>0.99320170056155865</v>
      </c>
      <c r="E69" s="31">
        <v>0.96</v>
      </c>
      <c r="F69" s="31">
        <v>0.99407144019191562</v>
      </c>
      <c r="G69" s="31">
        <v>0.99181421821364457</v>
      </c>
      <c r="H69" s="32">
        <v>0.98042074975743199</v>
      </c>
      <c r="J69" s="25">
        <f t="shared" ref="J69:J132" si="4">A69</f>
        <v>38169</v>
      </c>
      <c r="K69" s="26">
        <f t="shared" si="2"/>
        <v>67</v>
      </c>
    </row>
    <row r="70" spans="1:11" x14ac:dyDescent="0.25">
      <c r="A70" s="195">
        <v>38200</v>
      </c>
      <c r="B70" s="31">
        <f t="shared" si="3"/>
        <v>0.99830915684013177</v>
      </c>
      <c r="C70" s="31">
        <v>0.99830915684013177</v>
      </c>
      <c r="D70" s="31">
        <v>0.99320170056155865</v>
      </c>
      <c r="E70" s="31">
        <v>0.96</v>
      </c>
      <c r="F70" s="31">
        <v>0.99407144019191562</v>
      </c>
      <c r="G70" s="31">
        <v>0.99181421821364457</v>
      </c>
      <c r="H70" s="32">
        <v>0.98042074975743199</v>
      </c>
      <c r="J70" s="25">
        <f t="shared" si="4"/>
        <v>38200</v>
      </c>
      <c r="K70" s="26">
        <f t="shared" ref="K70:K133" si="5">K69+1</f>
        <v>68</v>
      </c>
    </row>
    <row r="71" spans="1:11" x14ac:dyDescent="0.25">
      <c r="A71" s="195">
        <v>38231</v>
      </c>
      <c r="B71" s="31">
        <f t="shared" si="3"/>
        <v>0.99830915684013177</v>
      </c>
      <c r="C71" s="31">
        <v>0.99830915684013177</v>
      </c>
      <c r="D71" s="31">
        <v>0.99320170056155865</v>
      </c>
      <c r="E71" s="31">
        <v>0.96</v>
      </c>
      <c r="F71" s="31">
        <v>0.99407144019191562</v>
      </c>
      <c r="G71" s="31">
        <v>0.99181421821364457</v>
      </c>
      <c r="H71" s="32">
        <v>0.98042074975743199</v>
      </c>
      <c r="J71" s="25">
        <f t="shared" si="4"/>
        <v>38231</v>
      </c>
      <c r="K71" s="26">
        <f t="shared" si="5"/>
        <v>69</v>
      </c>
    </row>
    <row r="72" spans="1:11" x14ac:dyDescent="0.25">
      <c r="A72" s="195">
        <v>38261</v>
      </c>
      <c r="B72" s="31">
        <f t="shared" si="3"/>
        <v>0.99830915684013177</v>
      </c>
      <c r="C72" s="31">
        <v>0.99830915684013177</v>
      </c>
      <c r="D72" s="31">
        <v>0.99320170056155865</v>
      </c>
      <c r="E72" s="31">
        <v>0.96</v>
      </c>
      <c r="F72" s="31">
        <v>0.99407144019191562</v>
      </c>
      <c r="G72" s="31">
        <v>0.99181421821364457</v>
      </c>
      <c r="H72" s="32">
        <v>0.98042074975743199</v>
      </c>
      <c r="J72" s="25">
        <f t="shared" si="4"/>
        <v>38261</v>
      </c>
      <c r="K72" s="26">
        <f t="shared" si="5"/>
        <v>70</v>
      </c>
    </row>
    <row r="73" spans="1:11" x14ac:dyDescent="0.25">
      <c r="A73" s="195">
        <v>38292</v>
      </c>
      <c r="B73" s="31">
        <f t="shared" si="3"/>
        <v>0.98497430320438317</v>
      </c>
      <c r="C73" s="31">
        <v>0.98497430320438317</v>
      </c>
      <c r="D73" s="31">
        <v>0.97495865028329376</v>
      </c>
      <c r="E73" s="31">
        <v>0.96</v>
      </c>
      <c r="F73" s="31">
        <v>0.98410764751845092</v>
      </c>
      <c r="G73" s="31">
        <v>0.96323267464099116</v>
      </c>
      <c r="H73" s="32">
        <v>0.90577586047143255</v>
      </c>
      <c r="J73" s="25">
        <f t="shared" si="4"/>
        <v>38292</v>
      </c>
      <c r="K73" s="26">
        <f t="shared" si="5"/>
        <v>71</v>
      </c>
    </row>
    <row r="74" spans="1:11" x14ac:dyDescent="0.25">
      <c r="A74" s="195">
        <v>38322</v>
      </c>
      <c r="B74" s="31">
        <f t="shared" si="3"/>
        <v>0.98497430320438317</v>
      </c>
      <c r="C74" s="31">
        <v>0.98497430320438317</v>
      </c>
      <c r="D74" s="31">
        <v>0.97495865028329376</v>
      </c>
      <c r="E74" s="31">
        <v>0.96</v>
      </c>
      <c r="F74" s="31">
        <v>0.98410764751845092</v>
      </c>
      <c r="G74" s="31">
        <v>0.96323267464099116</v>
      </c>
      <c r="H74" s="32">
        <v>0.90577586047143255</v>
      </c>
      <c r="J74" s="25">
        <f t="shared" si="4"/>
        <v>38322</v>
      </c>
      <c r="K74" s="26">
        <f t="shared" si="5"/>
        <v>72</v>
      </c>
    </row>
    <row r="75" spans="1:11" x14ac:dyDescent="0.25">
      <c r="A75" s="195">
        <v>38353</v>
      </c>
      <c r="B75" s="31">
        <f t="shared" si="3"/>
        <v>0.98497430320438317</v>
      </c>
      <c r="C75" s="31">
        <v>0.98497430320438317</v>
      </c>
      <c r="D75" s="31">
        <v>0.97495865028329376</v>
      </c>
      <c r="E75" s="31">
        <v>0.96</v>
      </c>
      <c r="F75" s="31">
        <v>0.98410764751845092</v>
      </c>
      <c r="G75" s="31">
        <v>0.96323267464099116</v>
      </c>
      <c r="H75" s="32">
        <v>0.90577586047143255</v>
      </c>
      <c r="J75" s="25">
        <f t="shared" si="4"/>
        <v>38353</v>
      </c>
      <c r="K75" s="26">
        <f t="shared" si="5"/>
        <v>73</v>
      </c>
    </row>
    <row r="76" spans="1:11" x14ac:dyDescent="0.25">
      <c r="A76" s="195">
        <v>38384</v>
      </c>
      <c r="B76" s="31">
        <f t="shared" si="3"/>
        <v>0.98497430320438317</v>
      </c>
      <c r="C76" s="31">
        <v>0.98497430320438317</v>
      </c>
      <c r="D76" s="31">
        <v>0.97495865028329376</v>
      </c>
      <c r="E76" s="31">
        <v>0.96</v>
      </c>
      <c r="F76" s="31">
        <v>0.98410764751845092</v>
      </c>
      <c r="G76" s="31">
        <v>0.96323267464099116</v>
      </c>
      <c r="H76" s="32">
        <v>0.90577586047143255</v>
      </c>
      <c r="J76" s="25">
        <f t="shared" si="4"/>
        <v>38384</v>
      </c>
      <c r="K76" s="26">
        <f t="shared" si="5"/>
        <v>74</v>
      </c>
    </row>
    <row r="77" spans="1:11" x14ac:dyDescent="0.25">
      <c r="A77" s="195">
        <v>38412</v>
      </c>
      <c r="B77" s="31">
        <f t="shared" si="3"/>
        <v>0.98497430320438317</v>
      </c>
      <c r="C77" s="31">
        <v>0.98497430320438317</v>
      </c>
      <c r="D77" s="31">
        <v>0.97495865028329376</v>
      </c>
      <c r="E77" s="31">
        <v>0.96</v>
      </c>
      <c r="F77" s="31">
        <v>0.98410764751845092</v>
      </c>
      <c r="G77" s="31">
        <v>0.96323267464099116</v>
      </c>
      <c r="H77" s="32">
        <v>0.90577586047143255</v>
      </c>
      <c r="J77" s="25">
        <f t="shared" si="4"/>
        <v>38412</v>
      </c>
      <c r="K77" s="26">
        <f t="shared" si="5"/>
        <v>75</v>
      </c>
    </row>
    <row r="78" spans="1:11" x14ac:dyDescent="0.25">
      <c r="A78" s="195">
        <v>38443</v>
      </c>
      <c r="B78" s="31">
        <f t="shared" si="3"/>
        <v>0.99830915684013177</v>
      </c>
      <c r="C78" s="31">
        <v>0.99830915684013177</v>
      </c>
      <c r="D78" s="31">
        <v>0.99320170056155865</v>
      </c>
      <c r="E78" s="31">
        <v>0.96</v>
      </c>
      <c r="F78" s="31">
        <v>0.99407144019191562</v>
      </c>
      <c r="G78" s="31">
        <v>0.99181421821364457</v>
      </c>
      <c r="H78" s="32">
        <v>0.98042074975743199</v>
      </c>
      <c r="J78" s="25">
        <f t="shared" si="4"/>
        <v>38443</v>
      </c>
      <c r="K78" s="26">
        <f t="shared" si="5"/>
        <v>76</v>
      </c>
    </row>
    <row r="79" spans="1:11" x14ac:dyDescent="0.25">
      <c r="A79" s="195">
        <v>38473</v>
      </c>
      <c r="B79" s="31">
        <f t="shared" si="3"/>
        <v>0.99830915684013177</v>
      </c>
      <c r="C79" s="31">
        <v>0.99830915684013177</v>
      </c>
      <c r="D79" s="31">
        <v>0.99320170056155865</v>
      </c>
      <c r="E79" s="31">
        <v>0.96</v>
      </c>
      <c r="F79" s="31">
        <v>0.99407144019191562</v>
      </c>
      <c r="G79" s="31">
        <v>0.99181421821364457</v>
      </c>
      <c r="H79" s="32">
        <v>0.98042074975743199</v>
      </c>
      <c r="J79" s="25">
        <f t="shared" si="4"/>
        <v>38473</v>
      </c>
      <c r="K79" s="26">
        <f t="shared" si="5"/>
        <v>77</v>
      </c>
    </row>
    <row r="80" spans="1:11" x14ac:dyDescent="0.25">
      <c r="A80" s="195">
        <v>38504</v>
      </c>
      <c r="B80" s="31">
        <f t="shared" si="3"/>
        <v>0.99830915684013177</v>
      </c>
      <c r="C80" s="31">
        <v>0.99830915684013177</v>
      </c>
      <c r="D80" s="31">
        <v>0.99320170056155865</v>
      </c>
      <c r="E80" s="31">
        <v>0.96</v>
      </c>
      <c r="F80" s="31">
        <v>0.99407144019191562</v>
      </c>
      <c r="G80" s="31">
        <v>0.99181421821364457</v>
      </c>
      <c r="H80" s="32">
        <v>0.98042074975743199</v>
      </c>
      <c r="J80" s="25">
        <f t="shared" si="4"/>
        <v>38504</v>
      </c>
      <c r="K80" s="26">
        <f t="shared" si="5"/>
        <v>78</v>
      </c>
    </row>
    <row r="81" spans="1:11" x14ac:dyDescent="0.25">
      <c r="A81" s="195">
        <v>38534</v>
      </c>
      <c r="B81" s="31">
        <f t="shared" si="3"/>
        <v>0.99830915684013177</v>
      </c>
      <c r="C81" s="31">
        <v>0.99830915684013177</v>
      </c>
      <c r="D81" s="31">
        <v>0.99320170056155865</v>
      </c>
      <c r="E81" s="31">
        <v>0.96</v>
      </c>
      <c r="F81" s="31">
        <v>0.99407144019191562</v>
      </c>
      <c r="G81" s="31">
        <v>0.99181421821364457</v>
      </c>
      <c r="H81" s="32">
        <v>0.98042074975743199</v>
      </c>
      <c r="J81" s="25">
        <f t="shared" si="4"/>
        <v>38534</v>
      </c>
      <c r="K81" s="26">
        <f t="shared" si="5"/>
        <v>79</v>
      </c>
    </row>
    <row r="82" spans="1:11" x14ac:dyDescent="0.25">
      <c r="A82" s="195">
        <v>38565</v>
      </c>
      <c r="B82" s="31">
        <f t="shared" si="3"/>
        <v>0.99830915684013177</v>
      </c>
      <c r="C82" s="31">
        <v>0.99830915684013177</v>
      </c>
      <c r="D82" s="31">
        <v>0.99320170056155865</v>
      </c>
      <c r="E82" s="31">
        <v>0.96</v>
      </c>
      <c r="F82" s="31">
        <v>0.99407144019191562</v>
      </c>
      <c r="G82" s="31">
        <v>0.99181421821364457</v>
      </c>
      <c r="H82" s="32">
        <v>0.98042074975743199</v>
      </c>
      <c r="J82" s="25">
        <f t="shared" si="4"/>
        <v>38565</v>
      </c>
      <c r="K82" s="26">
        <f t="shared" si="5"/>
        <v>80</v>
      </c>
    </row>
    <row r="83" spans="1:11" x14ac:dyDescent="0.25">
      <c r="A83" s="195">
        <v>38596</v>
      </c>
      <c r="B83" s="31">
        <f t="shared" si="3"/>
        <v>0.99830915684013177</v>
      </c>
      <c r="C83" s="31">
        <v>0.99830915684013177</v>
      </c>
      <c r="D83" s="31">
        <v>0.99320170056155865</v>
      </c>
      <c r="E83" s="31">
        <v>0.96</v>
      </c>
      <c r="F83" s="31">
        <v>0.99407144019191562</v>
      </c>
      <c r="G83" s="31">
        <v>0.99181421821364457</v>
      </c>
      <c r="H83" s="32">
        <v>0.98042074975743199</v>
      </c>
      <c r="J83" s="25">
        <f t="shared" si="4"/>
        <v>38596</v>
      </c>
      <c r="K83" s="26">
        <f t="shared" si="5"/>
        <v>81</v>
      </c>
    </row>
    <row r="84" spans="1:11" x14ac:dyDescent="0.25">
      <c r="A84" s="195">
        <v>38626</v>
      </c>
      <c r="B84" s="31">
        <f t="shared" si="3"/>
        <v>0.99830915684013177</v>
      </c>
      <c r="C84" s="31">
        <v>0.99830915684013177</v>
      </c>
      <c r="D84" s="31">
        <v>0.99320170056155865</v>
      </c>
      <c r="E84" s="31">
        <v>0.96</v>
      </c>
      <c r="F84" s="31">
        <v>0.99407144019191562</v>
      </c>
      <c r="G84" s="31">
        <v>0.99181421821364457</v>
      </c>
      <c r="H84" s="32">
        <v>0.98042074975743199</v>
      </c>
      <c r="J84" s="25">
        <f t="shared" si="4"/>
        <v>38626</v>
      </c>
      <c r="K84" s="26">
        <f t="shared" si="5"/>
        <v>82</v>
      </c>
    </row>
    <row r="85" spans="1:11" x14ac:dyDescent="0.25">
      <c r="A85" s="195">
        <v>38657</v>
      </c>
      <c r="B85" s="31">
        <f t="shared" si="3"/>
        <v>0.98497430320438317</v>
      </c>
      <c r="C85" s="31">
        <v>0.98497430320438317</v>
      </c>
      <c r="D85" s="31">
        <v>0.97495865028329376</v>
      </c>
      <c r="E85" s="31">
        <v>0.96</v>
      </c>
      <c r="F85" s="31">
        <v>0.98410764751845092</v>
      </c>
      <c r="G85" s="31">
        <v>0.96323267464099116</v>
      </c>
      <c r="H85" s="32">
        <v>0.90577586047143255</v>
      </c>
      <c r="J85" s="25">
        <f t="shared" si="4"/>
        <v>38657</v>
      </c>
      <c r="K85" s="26">
        <f t="shared" si="5"/>
        <v>83</v>
      </c>
    </row>
    <row r="86" spans="1:11" x14ac:dyDescent="0.25">
      <c r="A86" s="195">
        <v>38687</v>
      </c>
      <c r="B86" s="31">
        <f t="shared" si="3"/>
        <v>0.98497430320438317</v>
      </c>
      <c r="C86" s="31">
        <v>0.98497430320438317</v>
      </c>
      <c r="D86" s="31">
        <v>0.97495865028329376</v>
      </c>
      <c r="E86" s="31">
        <v>0.96</v>
      </c>
      <c r="F86" s="31">
        <v>0.98410764751845092</v>
      </c>
      <c r="G86" s="31">
        <v>0.96323267464099116</v>
      </c>
      <c r="H86" s="32">
        <v>0.90577586047143255</v>
      </c>
      <c r="J86" s="25">
        <f t="shared" si="4"/>
        <v>38687</v>
      </c>
      <c r="K86" s="26">
        <f t="shared" si="5"/>
        <v>84</v>
      </c>
    </row>
    <row r="87" spans="1:11" x14ac:dyDescent="0.25">
      <c r="A87" s="195">
        <v>38718</v>
      </c>
      <c r="B87" s="31">
        <f t="shared" si="3"/>
        <v>0.98497430320438317</v>
      </c>
      <c r="C87" s="31">
        <v>0.98497430320438317</v>
      </c>
      <c r="D87" s="31">
        <v>0.97495865028329376</v>
      </c>
      <c r="E87" s="31">
        <v>0.96</v>
      </c>
      <c r="F87" s="31">
        <v>0.98410764751845092</v>
      </c>
      <c r="G87" s="31">
        <v>0.96323267464099116</v>
      </c>
      <c r="H87" s="32">
        <v>0.90577586047143255</v>
      </c>
      <c r="J87" s="25">
        <f t="shared" si="4"/>
        <v>38718</v>
      </c>
      <c r="K87" s="26">
        <f t="shared" si="5"/>
        <v>85</v>
      </c>
    </row>
    <row r="88" spans="1:11" x14ac:dyDescent="0.25">
      <c r="A88" s="195">
        <v>38749</v>
      </c>
      <c r="B88" s="31">
        <f t="shared" si="3"/>
        <v>0.98497430320438317</v>
      </c>
      <c r="C88" s="31">
        <v>0.98497430320438317</v>
      </c>
      <c r="D88" s="31">
        <v>0.97495865028329376</v>
      </c>
      <c r="E88" s="31">
        <v>0.96</v>
      </c>
      <c r="F88" s="31">
        <v>0.98410764751845092</v>
      </c>
      <c r="G88" s="31">
        <v>0.96323267464099116</v>
      </c>
      <c r="H88" s="32">
        <v>0.90577586047143255</v>
      </c>
      <c r="J88" s="25">
        <f t="shared" si="4"/>
        <v>38749</v>
      </c>
      <c r="K88" s="26">
        <f t="shared" si="5"/>
        <v>86</v>
      </c>
    </row>
    <row r="89" spans="1:11" x14ac:dyDescent="0.25">
      <c r="A89" s="195">
        <v>38777</v>
      </c>
      <c r="B89" s="31">
        <f t="shared" si="3"/>
        <v>0.98497430320438317</v>
      </c>
      <c r="C89" s="31">
        <v>0.98497430320438317</v>
      </c>
      <c r="D89" s="31">
        <v>0.97495865028329376</v>
      </c>
      <c r="E89" s="31">
        <v>0.96</v>
      </c>
      <c r="F89" s="31">
        <v>0.98410764751845092</v>
      </c>
      <c r="G89" s="31">
        <v>0.96323267464099116</v>
      </c>
      <c r="H89" s="32">
        <v>0.90577586047143255</v>
      </c>
      <c r="J89" s="25">
        <f t="shared" si="4"/>
        <v>38777</v>
      </c>
      <c r="K89" s="26">
        <f t="shared" si="5"/>
        <v>87</v>
      </c>
    </row>
    <row r="90" spans="1:11" x14ac:dyDescent="0.25">
      <c r="A90" s="195">
        <v>38808</v>
      </c>
      <c r="B90" s="31">
        <f t="shared" si="3"/>
        <v>0.99830915684013177</v>
      </c>
      <c r="C90" s="31">
        <v>0.99830915684013177</v>
      </c>
      <c r="D90" s="31">
        <v>0.99320170056155865</v>
      </c>
      <c r="E90" s="31">
        <v>0.96</v>
      </c>
      <c r="F90" s="31">
        <v>0.99407144019191562</v>
      </c>
      <c r="G90" s="31">
        <v>0.99181421821364457</v>
      </c>
      <c r="H90" s="32">
        <v>0.98042074975743199</v>
      </c>
      <c r="J90" s="25">
        <f t="shared" si="4"/>
        <v>38808</v>
      </c>
      <c r="K90" s="26">
        <f t="shared" si="5"/>
        <v>88</v>
      </c>
    </row>
    <row r="91" spans="1:11" x14ac:dyDescent="0.25">
      <c r="A91" s="195">
        <v>38838</v>
      </c>
      <c r="B91" s="31">
        <f t="shared" si="3"/>
        <v>0.99830915684013177</v>
      </c>
      <c r="C91" s="31">
        <v>0.99830915684013177</v>
      </c>
      <c r="D91" s="31">
        <v>0.99320170056155865</v>
      </c>
      <c r="E91" s="31">
        <v>0.96</v>
      </c>
      <c r="F91" s="31">
        <v>0.99407144019191562</v>
      </c>
      <c r="G91" s="31">
        <v>0.99181421821364457</v>
      </c>
      <c r="H91" s="32">
        <v>0.98042074975743199</v>
      </c>
      <c r="J91" s="25">
        <f t="shared" si="4"/>
        <v>38838</v>
      </c>
      <c r="K91" s="26">
        <f t="shared" si="5"/>
        <v>89</v>
      </c>
    </row>
    <row r="92" spans="1:11" x14ac:dyDescent="0.25">
      <c r="A92" s="195">
        <v>38869</v>
      </c>
      <c r="B92" s="31">
        <f t="shared" si="3"/>
        <v>0.99830915684013177</v>
      </c>
      <c r="C92" s="31">
        <v>0.99830915684013177</v>
      </c>
      <c r="D92" s="31">
        <v>0.99320170056155865</v>
      </c>
      <c r="E92" s="31">
        <v>0.96</v>
      </c>
      <c r="F92" s="31">
        <v>0.99407144019191562</v>
      </c>
      <c r="G92" s="31">
        <v>0.99181421821364457</v>
      </c>
      <c r="H92" s="32">
        <v>0.98042074975743199</v>
      </c>
      <c r="J92" s="25">
        <f t="shared" si="4"/>
        <v>38869</v>
      </c>
      <c r="K92" s="26">
        <f t="shared" si="5"/>
        <v>90</v>
      </c>
    </row>
    <row r="93" spans="1:11" x14ac:dyDescent="0.25">
      <c r="A93" s="195">
        <v>38899</v>
      </c>
      <c r="B93" s="31">
        <f t="shared" si="3"/>
        <v>0.99830915684013177</v>
      </c>
      <c r="C93" s="31">
        <v>0.99830915684013177</v>
      </c>
      <c r="D93" s="31">
        <v>0.99320170056155865</v>
      </c>
      <c r="E93" s="31">
        <v>0.96</v>
      </c>
      <c r="F93" s="31">
        <v>0.99407144019191562</v>
      </c>
      <c r="G93" s="31">
        <v>0.99181421821364457</v>
      </c>
      <c r="H93" s="32">
        <v>0.98042074975743199</v>
      </c>
      <c r="J93" s="25">
        <f t="shared" si="4"/>
        <v>38899</v>
      </c>
      <c r="K93" s="26">
        <f t="shared" si="5"/>
        <v>91</v>
      </c>
    </row>
    <row r="94" spans="1:11" x14ac:dyDescent="0.25">
      <c r="A94" s="195">
        <v>38930</v>
      </c>
      <c r="B94" s="31">
        <f t="shared" si="3"/>
        <v>0.99830915684013177</v>
      </c>
      <c r="C94" s="31">
        <v>0.99830915684013177</v>
      </c>
      <c r="D94" s="31">
        <v>0.99320170056155865</v>
      </c>
      <c r="E94" s="31">
        <v>0.96</v>
      </c>
      <c r="F94" s="31">
        <v>0.99407144019191562</v>
      </c>
      <c r="G94" s="31">
        <v>0.99181421821364457</v>
      </c>
      <c r="H94" s="32">
        <v>0.98042074975743199</v>
      </c>
      <c r="J94" s="25">
        <f t="shared" si="4"/>
        <v>38930</v>
      </c>
      <c r="K94" s="26">
        <f t="shared" si="5"/>
        <v>92</v>
      </c>
    </row>
    <row r="95" spans="1:11" x14ac:dyDescent="0.25">
      <c r="A95" s="195">
        <v>38961</v>
      </c>
      <c r="B95" s="31">
        <f t="shared" si="3"/>
        <v>0.99830915684013177</v>
      </c>
      <c r="C95" s="31">
        <v>0.99830915684013177</v>
      </c>
      <c r="D95" s="31">
        <v>0.99320170056155865</v>
      </c>
      <c r="E95" s="31">
        <v>0.96</v>
      </c>
      <c r="F95" s="31">
        <v>0.99407144019191562</v>
      </c>
      <c r="G95" s="31">
        <v>0.99181421821364457</v>
      </c>
      <c r="H95" s="32">
        <v>0.98042074975743199</v>
      </c>
      <c r="J95" s="25">
        <f t="shared" si="4"/>
        <v>38961</v>
      </c>
      <c r="K95" s="26">
        <f t="shared" si="5"/>
        <v>93</v>
      </c>
    </row>
    <row r="96" spans="1:11" x14ac:dyDescent="0.25">
      <c r="A96" s="195">
        <v>38991</v>
      </c>
      <c r="B96" s="31">
        <f t="shared" si="3"/>
        <v>0.99830915684013177</v>
      </c>
      <c r="C96" s="31">
        <v>0.99830915684013177</v>
      </c>
      <c r="D96" s="31">
        <v>0.99320170056155865</v>
      </c>
      <c r="E96" s="31">
        <v>0.96</v>
      </c>
      <c r="F96" s="31">
        <v>0.99407144019191562</v>
      </c>
      <c r="G96" s="31">
        <v>0.99181421821364457</v>
      </c>
      <c r="H96" s="32">
        <v>0.98042074975743199</v>
      </c>
      <c r="J96" s="25">
        <f t="shared" si="4"/>
        <v>38991</v>
      </c>
      <c r="K96" s="26">
        <f t="shared" si="5"/>
        <v>94</v>
      </c>
    </row>
    <row r="97" spans="1:11" x14ac:dyDescent="0.25">
      <c r="A97" s="195">
        <v>39022</v>
      </c>
      <c r="B97" s="31">
        <f t="shared" si="3"/>
        <v>0.98497430320438317</v>
      </c>
      <c r="C97" s="31">
        <v>0.98497430320438317</v>
      </c>
      <c r="D97" s="31">
        <v>0.97495865028329376</v>
      </c>
      <c r="E97" s="31">
        <v>0.96</v>
      </c>
      <c r="F97" s="31">
        <v>0.98410764751845092</v>
      </c>
      <c r="G97" s="31">
        <v>0.96323267464099116</v>
      </c>
      <c r="H97" s="32">
        <v>0.90577586047143255</v>
      </c>
      <c r="J97" s="25">
        <f t="shared" si="4"/>
        <v>39022</v>
      </c>
      <c r="K97" s="26">
        <f t="shared" si="5"/>
        <v>95</v>
      </c>
    </row>
    <row r="98" spans="1:11" x14ac:dyDescent="0.25">
      <c r="A98" s="195">
        <v>39052</v>
      </c>
      <c r="B98" s="31">
        <f t="shared" si="3"/>
        <v>0.98497430320438317</v>
      </c>
      <c r="C98" s="31">
        <v>0.98497430320438317</v>
      </c>
      <c r="D98" s="31">
        <v>0.97495865028329376</v>
      </c>
      <c r="E98" s="31">
        <v>0.96</v>
      </c>
      <c r="F98" s="31">
        <v>0.98410764751845092</v>
      </c>
      <c r="G98" s="31">
        <v>0.96323267464099116</v>
      </c>
      <c r="H98" s="32">
        <v>0.90577586047143255</v>
      </c>
      <c r="J98" s="25">
        <f t="shared" si="4"/>
        <v>39052</v>
      </c>
      <c r="K98" s="26">
        <f t="shared" si="5"/>
        <v>96</v>
      </c>
    </row>
    <row r="99" spans="1:11" x14ac:dyDescent="0.25">
      <c r="A99" s="195">
        <v>39083</v>
      </c>
      <c r="B99" s="31">
        <f t="shared" si="3"/>
        <v>0.98497430320438317</v>
      </c>
      <c r="C99" s="31">
        <v>0.98497430320438317</v>
      </c>
      <c r="D99" s="31">
        <v>0.97495865028329376</v>
      </c>
      <c r="E99" s="31">
        <v>0.96</v>
      </c>
      <c r="F99" s="31">
        <v>0.98410764751845092</v>
      </c>
      <c r="G99" s="31">
        <v>0.96323267464099116</v>
      </c>
      <c r="H99" s="32">
        <v>0.90577586047143255</v>
      </c>
      <c r="J99" s="25">
        <f t="shared" si="4"/>
        <v>39083</v>
      </c>
      <c r="K99" s="26">
        <f t="shared" si="5"/>
        <v>97</v>
      </c>
    </row>
    <row r="100" spans="1:11" x14ac:dyDescent="0.25">
      <c r="A100" s="195">
        <v>39114</v>
      </c>
      <c r="B100" s="31">
        <f t="shared" si="3"/>
        <v>0.98497430320438317</v>
      </c>
      <c r="C100" s="31">
        <v>0.98497430320438317</v>
      </c>
      <c r="D100" s="31">
        <v>0.97495865028329376</v>
      </c>
      <c r="E100" s="31">
        <v>0.96</v>
      </c>
      <c r="F100" s="31">
        <v>0.98410764751845092</v>
      </c>
      <c r="G100" s="31">
        <v>0.96323267464099116</v>
      </c>
      <c r="H100" s="32">
        <v>0.90577586047143255</v>
      </c>
      <c r="J100" s="25">
        <f t="shared" si="4"/>
        <v>39114</v>
      </c>
      <c r="K100" s="26">
        <f t="shared" si="5"/>
        <v>98</v>
      </c>
    </row>
    <row r="101" spans="1:11" x14ac:dyDescent="0.25">
      <c r="A101" s="195">
        <v>39142</v>
      </c>
      <c r="B101" s="31">
        <f t="shared" si="3"/>
        <v>0.98497430320438317</v>
      </c>
      <c r="C101" s="31">
        <v>0.98497430320438317</v>
      </c>
      <c r="D101" s="31">
        <v>0.97495865028329376</v>
      </c>
      <c r="E101" s="31">
        <v>0.96</v>
      </c>
      <c r="F101" s="31">
        <v>0.98410764751845092</v>
      </c>
      <c r="G101" s="31">
        <v>0.96323267464099116</v>
      </c>
      <c r="H101" s="32">
        <v>0.90577586047143255</v>
      </c>
      <c r="J101" s="25">
        <f t="shared" si="4"/>
        <v>39142</v>
      </c>
      <c r="K101" s="26">
        <f t="shared" si="5"/>
        <v>99</v>
      </c>
    </row>
    <row r="102" spans="1:11" x14ac:dyDescent="0.25">
      <c r="A102" s="195">
        <v>39173</v>
      </c>
      <c r="B102" s="31">
        <f t="shared" si="3"/>
        <v>0.93059999999999998</v>
      </c>
      <c r="C102" s="31">
        <v>0.93059999999999998</v>
      </c>
      <c r="D102" s="31">
        <v>0.93059999999999998</v>
      </c>
      <c r="E102" s="31">
        <v>0.96</v>
      </c>
      <c r="F102" s="31">
        <v>0.93059999999999998</v>
      </c>
      <c r="G102" s="31">
        <v>0.93059999999999998</v>
      </c>
      <c r="H102" s="32">
        <v>0.93059999999999998</v>
      </c>
      <c r="J102" s="25">
        <f t="shared" si="4"/>
        <v>39173</v>
      </c>
      <c r="K102" s="26">
        <f t="shared" si="5"/>
        <v>100</v>
      </c>
    </row>
    <row r="103" spans="1:11" x14ac:dyDescent="0.25">
      <c r="A103" s="195">
        <v>39203</v>
      </c>
      <c r="B103" s="31">
        <f t="shared" si="3"/>
        <v>0.93059999999999998</v>
      </c>
      <c r="C103" s="31">
        <v>0.93059999999999998</v>
      </c>
      <c r="D103" s="31">
        <v>0.93059999999999998</v>
      </c>
      <c r="E103" s="31">
        <v>0.96</v>
      </c>
      <c r="F103" s="31">
        <v>0.93059999999999998</v>
      </c>
      <c r="G103" s="31">
        <v>0.93059999999999998</v>
      </c>
      <c r="H103" s="32">
        <v>0.93059999999999998</v>
      </c>
      <c r="J103" s="25">
        <f t="shared" si="4"/>
        <v>39203</v>
      </c>
      <c r="K103" s="26">
        <f t="shared" si="5"/>
        <v>101</v>
      </c>
    </row>
    <row r="104" spans="1:11" x14ac:dyDescent="0.25">
      <c r="A104" s="195">
        <v>39234</v>
      </c>
      <c r="B104" s="31">
        <f t="shared" si="3"/>
        <v>0.93059999999999998</v>
      </c>
      <c r="C104" s="31">
        <v>0.93059999999999998</v>
      </c>
      <c r="D104" s="31">
        <v>0.93059999999999998</v>
      </c>
      <c r="E104" s="31">
        <v>0.96</v>
      </c>
      <c r="F104" s="31">
        <v>0.93059999999999998</v>
      </c>
      <c r="G104" s="31">
        <v>0.93059999999999998</v>
      </c>
      <c r="H104" s="32">
        <v>0.93059999999999998</v>
      </c>
      <c r="J104" s="25">
        <f t="shared" si="4"/>
        <v>39234</v>
      </c>
      <c r="K104" s="26">
        <f t="shared" si="5"/>
        <v>102</v>
      </c>
    </row>
    <row r="105" spans="1:11" x14ac:dyDescent="0.25">
      <c r="A105" s="195">
        <v>39264</v>
      </c>
      <c r="B105" s="31">
        <f t="shared" si="3"/>
        <v>0.93059999999999998</v>
      </c>
      <c r="C105" s="31">
        <v>0.93059999999999998</v>
      </c>
      <c r="D105" s="31">
        <v>0.93059999999999998</v>
      </c>
      <c r="E105" s="31">
        <v>0.96</v>
      </c>
      <c r="F105" s="31">
        <v>0.93059999999999998</v>
      </c>
      <c r="G105" s="31">
        <v>0.93059999999999998</v>
      </c>
      <c r="H105" s="32">
        <v>0.93059999999999998</v>
      </c>
      <c r="J105" s="25">
        <f t="shared" si="4"/>
        <v>39264</v>
      </c>
      <c r="K105" s="26">
        <f t="shared" si="5"/>
        <v>103</v>
      </c>
    </row>
    <row r="106" spans="1:11" x14ac:dyDescent="0.25">
      <c r="A106" s="195">
        <v>39295</v>
      </c>
      <c r="B106" s="31">
        <f t="shared" si="3"/>
        <v>0.93059999999999998</v>
      </c>
      <c r="C106" s="31">
        <v>0.93059999999999998</v>
      </c>
      <c r="D106" s="31">
        <v>0.93059999999999998</v>
      </c>
      <c r="E106" s="31">
        <v>0.96</v>
      </c>
      <c r="F106" s="31">
        <v>0.93059999999999998</v>
      </c>
      <c r="G106" s="31">
        <v>0.93059999999999998</v>
      </c>
      <c r="H106" s="32">
        <v>0.93059999999999998</v>
      </c>
      <c r="J106" s="25">
        <f t="shared" si="4"/>
        <v>39295</v>
      </c>
      <c r="K106" s="26">
        <f t="shared" si="5"/>
        <v>104</v>
      </c>
    </row>
    <row r="107" spans="1:11" x14ac:dyDescent="0.25">
      <c r="A107" s="195">
        <v>39326</v>
      </c>
      <c r="B107" s="31">
        <f t="shared" si="3"/>
        <v>0.93059999999999998</v>
      </c>
      <c r="C107" s="31">
        <v>0.93059999999999998</v>
      </c>
      <c r="D107" s="31">
        <v>0.93059999999999998</v>
      </c>
      <c r="E107" s="31">
        <v>0.96</v>
      </c>
      <c r="F107" s="31">
        <v>0.93059999999999998</v>
      </c>
      <c r="G107" s="31">
        <v>0.93059999999999998</v>
      </c>
      <c r="H107" s="32">
        <v>0.93059999999999998</v>
      </c>
      <c r="J107" s="25">
        <f t="shared" si="4"/>
        <v>39326</v>
      </c>
      <c r="K107" s="26">
        <f t="shared" si="5"/>
        <v>105</v>
      </c>
    </row>
    <row r="108" spans="1:11" x14ac:dyDescent="0.25">
      <c r="A108" s="195">
        <v>39356</v>
      </c>
      <c r="B108" s="31">
        <f t="shared" si="3"/>
        <v>0.93059999999999998</v>
      </c>
      <c r="C108" s="31">
        <v>0.93059999999999998</v>
      </c>
      <c r="D108" s="31">
        <v>0.93059999999999998</v>
      </c>
      <c r="E108" s="31">
        <v>0.96</v>
      </c>
      <c r="F108" s="31">
        <v>0.93059999999999998</v>
      </c>
      <c r="G108" s="31">
        <v>0.93059999999999998</v>
      </c>
      <c r="H108" s="32">
        <v>0.93059999999999998</v>
      </c>
      <c r="J108" s="25">
        <f t="shared" si="4"/>
        <v>39356</v>
      </c>
      <c r="K108" s="26">
        <f t="shared" si="5"/>
        <v>106</v>
      </c>
    </row>
    <row r="109" spans="1:11" x14ac:dyDescent="0.25">
      <c r="A109" s="195">
        <v>39387</v>
      </c>
      <c r="B109" s="31">
        <f t="shared" si="3"/>
        <v>0.93059999999999998</v>
      </c>
      <c r="C109" s="31">
        <v>0.93059999999999998</v>
      </c>
      <c r="D109" s="31">
        <v>0.93059999999999998</v>
      </c>
      <c r="E109" s="31">
        <v>0.96</v>
      </c>
      <c r="F109" s="31">
        <v>0.93059999999999998</v>
      </c>
      <c r="G109" s="31">
        <v>0.93059999999999998</v>
      </c>
      <c r="H109" s="32">
        <v>0.93059999999999998</v>
      </c>
      <c r="J109" s="25">
        <f t="shared" si="4"/>
        <v>39387</v>
      </c>
      <c r="K109" s="26">
        <f t="shared" si="5"/>
        <v>107</v>
      </c>
    </row>
    <row r="110" spans="1:11" x14ac:dyDescent="0.25">
      <c r="A110" s="195">
        <v>39417</v>
      </c>
      <c r="B110" s="31">
        <f t="shared" si="3"/>
        <v>0.93059999999999998</v>
      </c>
      <c r="C110" s="31">
        <v>0.93059999999999998</v>
      </c>
      <c r="D110" s="31">
        <v>0.93059999999999998</v>
      </c>
      <c r="E110" s="31">
        <v>0.96</v>
      </c>
      <c r="F110" s="31">
        <v>0.93059999999999998</v>
      </c>
      <c r="G110" s="31">
        <v>0.93059999999999998</v>
      </c>
      <c r="H110" s="32">
        <v>0.93059999999999998</v>
      </c>
      <c r="J110" s="25">
        <f t="shared" si="4"/>
        <v>39417</v>
      </c>
      <c r="K110" s="26">
        <f t="shared" si="5"/>
        <v>108</v>
      </c>
    </row>
    <row r="111" spans="1:11" x14ac:dyDescent="0.25">
      <c r="A111" s="195">
        <v>39448</v>
      </c>
      <c r="B111" s="31">
        <f t="shared" si="3"/>
        <v>0.93059999999999998</v>
      </c>
      <c r="C111" s="31">
        <v>0.93059999999999998</v>
      </c>
      <c r="D111" s="31">
        <v>0.93059999999999998</v>
      </c>
      <c r="E111" s="31">
        <v>0.96</v>
      </c>
      <c r="F111" s="31">
        <v>0.93059999999999998</v>
      </c>
      <c r="G111" s="31">
        <v>0.93059999999999998</v>
      </c>
      <c r="H111" s="32">
        <v>0.93059999999999998</v>
      </c>
      <c r="J111" s="25">
        <f t="shared" si="4"/>
        <v>39448</v>
      </c>
      <c r="K111" s="26">
        <f t="shared" si="5"/>
        <v>109</v>
      </c>
    </row>
    <row r="112" spans="1:11" x14ac:dyDescent="0.25">
      <c r="A112" s="195">
        <v>39479</v>
      </c>
      <c r="B112" s="31">
        <f t="shared" si="3"/>
        <v>0.93059999999999998</v>
      </c>
      <c r="C112" s="31">
        <v>0.93059999999999998</v>
      </c>
      <c r="D112" s="31">
        <v>0.93059999999999998</v>
      </c>
      <c r="E112" s="31">
        <v>0.96</v>
      </c>
      <c r="F112" s="31">
        <v>0.93059999999999998</v>
      </c>
      <c r="G112" s="31">
        <v>0.93059999999999998</v>
      </c>
      <c r="H112" s="32">
        <v>0.93059999999999998</v>
      </c>
      <c r="J112" s="25">
        <f t="shared" si="4"/>
        <v>39479</v>
      </c>
      <c r="K112" s="26">
        <f t="shared" si="5"/>
        <v>110</v>
      </c>
    </row>
    <row r="113" spans="1:11" x14ac:dyDescent="0.25">
      <c r="A113" s="195">
        <v>39508</v>
      </c>
      <c r="B113" s="31">
        <f t="shared" si="3"/>
        <v>0.93059999999999998</v>
      </c>
      <c r="C113" s="31">
        <v>0.93059999999999998</v>
      </c>
      <c r="D113" s="31">
        <v>0.93059999999999998</v>
      </c>
      <c r="E113" s="31">
        <v>0.96</v>
      </c>
      <c r="F113" s="31">
        <v>0.93059999999999998</v>
      </c>
      <c r="G113" s="31">
        <v>0.93059999999999998</v>
      </c>
      <c r="H113" s="32">
        <v>0.93059999999999998</v>
      </c>
      <c r="J113" s="25">
        <f t="shared" si="4"/>
        <v>39508</v>
      </c>
      <c r="K113" s="26">
        <f t="shared" si="5"/>
        <v>111</v>
      </c>
    </row>
    <row r="114" spans="1:11" x14ac:dyDescent="0.25">
      <c r="A114" s="195">
        <v>39539</v>
      </c>
      <c r="B114" s="31">
        <f t="shared" si="3"/>
        <v>0.93059999999999998</v>
      </c>
      <c r="C114" s="31">
        <v>0.93059999999999998</v>
      </c>
      <c r="D114" s="31">
        <v>0.93059999999999998</v>
      </c>
      <c r="E114" s="31">
        <v>0.96</v>
      </c>
      <c r="F114" s="31">
        <v>0.93059999999999998</v>
      </c>
      <c r="G114" s="31">
        <v>0.93059999999999998</v>
      </c>
      <c r="H114" s="32">
        <v>0.93059999999999998</v>
      </c>
      <c r="J114" s="25">
        <f t="shared" si="4"/>
        <v>39539</v>
      </c>
      <c r="K114" s="26">
        <f t="shared" si="5"/>
        <v>112</v>
      </c>
    </row>
    <row r="115" spans="1:11" x14ac:dyDescent="0.25">
      <c r="A115" s="195">
        <v>39569</v>
      </c>
      <c r="B115" s="31">
        <f t="shared" si="3"/>
        <v>0.93059999999999998</v>
      </c>
      <c r="C115" s="31">
        <v>0.93059999999999998</v>
      </c>
      <c r="D115" s="31">
        <v>0.93059999999999998</v>
      </c>
      <c r="E115" s="31">
        <v>0.96</v>
      </c>
      <c r="F115" s="31">
        <v>0.93059999999999998</v>
      </c>
      <c r="G115" s="31">
        <v>0.93059999999999998</v>
      </c>
      <c r="H115" s="32">
        <v>0.93059999999999998</v>
      </c>
      <c r="J115" s="25">
        <f t="shared" si="4"/>
        <v>39569</v>
      </c>
      <c r="K115" s="26">
        <f t="shared" si="5"/>
        <v>113</v>
      </c>
    </row>
    <row r="116" spans="1:11" x14ac:dyDescent="0.25">
      <c r="A116" s="195">
        <v>39600</v>
      </c>
      <c r="B116" s="31">
        <f t="shared" si="3"/>
        <v>0.93059999999999998</v>
      </c>
      <c r="C116" s="31">
        <v>0.93059999999999998</v>
      </c>
      <c r="D116" s="31">
        <v>0.93059999999999998</v>
      </c>
      <c r="E116" s="31">
        <v>0.96</v>
      </c>
      <c r="F116" s="31">
        <v>0.93059999999999998</v>
      </c>
      <c r="G116" s="31">
        <v>0.93059999999999998</v>
      </c>
      <c r="H116" s="32">
        <v>0.93059999999999998</v>
      </c>
      <c r="J116" s="25">
        <f t="shared" si="4"/>
        <v>39600</v>
      </c>
      <c r="K116" s="26">
        <f t="shared" si="5"/>
        <v>114</v>
      </c>
    </row>
    <row r="117" spans="1:11" x14ac:dyDescent="0.25">
      <c r="A117" s="195">
        <v>39630</v>
      </c>
      <c r="B117" s="31">
        <f t="shared" si="3"/>
        <v>0.93059999999999998</v>
      </c>
      <c r="C117" s="31">
        <v>0.93059999999999998</v>
      </c>
      <c r="D117" s="31">
        <v>0.93059999999999998</v>
      </c>
      <c r="E117" s="31">
        <v>0.96</v>
      </c>
      <c r="F117" s="31">
        <v>0.93059999999999998</v>
      </c>
      <c r="G117" s="31">
        <v>0.93059999999999998</v>
      </c>
      <c r="H117" s="32">
        <v>0.93059999999999998</v>
      </c>
      <c r="J117" s="25">
        <f t="shared" si="4"/>
        <v>39630</v>
      </c>
      <c r="K117" s="26">
        <f t="shared" si="5"/>
        <v>115</v>
      </c>
    </row>
    <row r="118" spans="1:11" x14ac:dyDescent="0.25">
      <c r="A118" s="195">
        <v>39661</v>
      </c>
      <c r="B118" s="31">
        <f t="shared" si="3"/>
        <v>0.93059999999999998</v>
      </c>
      <c r="C118" s="31">
        <v>0.93059999999999998</v>
      </c>
      <c r="D118" s="31">
        <v>0.93059999999999998</v>
      </c>
      <c r="E118" s="31">
        <v>0.96</v>
      </c>
      <c r="F118" s="31">
        <v>0.93059999999999998</v>
      </c>
      <c r="G118" s="31">
        <v>0.93059999999999998</v>
      </c>
      <c r="H118" s="32">
        <v>0.93059999999999998</v>
      </c>
      <c r="J118" s="25">
        <f t="shared" si="4"/>
        <v>39661</v>
      </c>
      <c r="K118" s="26">
        <f t="shared" si="5"/>
        <v>116</v>
      </c>
    </row>
    <row r="119" spans="1:11" x14ac:dyDescent="0.25">
      <c r="A119" s="195">
        <v>39692</v>
      </c>
      <c r="B119" s="31">
        <f t="shared" si="3"/>
        <v>0.93059999999999998</v>
      </c>
      <c r="C119" s="31">
        <v>0.93059999999999998</v>
      </c>
      <c r="D119" s="31">
        <v>0.93059999999999998</v>
      </c>
      <c r="E119" s="31">
        <v>0.96</v>
      </c>
      <c r="F119" s="31">
        <v>0.93059999999999998</v>
      </c>
      <c r="G119" s="31">
        <v>0.93059999999999998</v>
      </c>
      <c r="H119" s="32">
        <v>0.93059999999999998</v>
      </c>
      <c r="J119" s="25">
        <f t="shared" si="4"/>
        <v>39692</v>
      </c>
      <c r="K119" s="26">
        <f t="shared" si="5"/>
        <v>117</v>
      </c>
    </row>
    <row r="120" spans="1:11" x14ac:dyDescent="0.25">
      <c r="A120" s="195">
        <v>39722</v>
      </c>
      <c r="B120" s="31">
        <f t="shared" si="3"/>
        <v>0.93059999999999998</v>
      </c>
      <c r="C120" s="31">
        <v>0.93059999999999998</v>
      </c>
      <c r="D120" s="31">
        <v>0.93059999999999998</v>
      </c>
      <c r="E120" s="31">
        <v>0.96</v>
      </c>
      <c r="F120" s="31">
        <v>0.93059999999999998</v>
      </c>
      <c r="G120" s="31">
        <v>0.93059999999999998</v>
      </c>
      <c r="H120" s="32">
        <v>0.93059999999999998</v>
      </c>
      <c r="J120" s="25">
        <f t="shared" si="4"/>
        <v>39722</v>
      </c>
      <c r="K120" s="26">
        <f t="shared" si="5"/>
        <v>118</v>
      </c>
    </row>
    <row r="121" spans="1:11" x14ac:dyDescent="0.25">
      <c r="A121" s="195">
        <v>39753</v>
      </c>
      <c r="B121" s="31">
        <f t="shared" si="3"/>
        <v>0.93059999999999998</v>
      </c>
      <c r="C121" s="31">
        <v>0.93059999999999998</v>
      </c>
      <c r="D121" s="31">
        <v>0.93059999999999998</v>
      </c>
      <c r="E121" s="31">
        <v>0.96</v>
      </c>
      <c r="F121" s="31">
        <v>0.93059999999999998</v>
      </c>
      <c r="G121" s="31">
        <v>0.93059999999999998</v>
      </c>
      <c r="H121" s="32">
        <v>0.93059999999999998</v>
      </c>
      <c r="J121" s="25">
        <f t="shared" si="4"/>
        <v>39753</v>
      </c>
      <c r="K121" s="26">
        <f t="shared" si="5"/>
        <v>119</v>
      </c>
    </row>
    <row r="122" spans="1:11" x14ac:dyDescent="0.25">
      <c r="A122" s="195">
        <v>39783</v>
      </c>
      <c r="B122" s="31">
        <f t="shared" si="3"/>
        <v>0.93059999999999998</v>
      </c>
      <c r="C122" s="31">
        <v>0.93059999999999998</v>
      </c>
      <c r="D122" s="31">
        <v>0.93059999999999998</v>
      </c>
      <c r="E122" s="31">
        <v>0.96</v>
      </c>
      <c r="F122" s="31">
        <v>0.93059999999999998</v>
      </c>
      <c r="G122" s="31">
        <v>0.93059999999999998</v>
      </c>
      <c r="H122" s="32">
        <v>0.93059999999999998</v>
      </c>
      <c r="J122" s="25">
        <f t="shared" si="4"/>
        <v>39783</v>
      </c>
      <c r="K122" s="26">
        <f t="shared" si="5"/>
        <v>120</v>
      </c>
    </row>
    <row r="123" spans="1:11" x14ac:dyDescent="0.25">
      <c r="A123" s="195">
        <v>39814</v>
      </c>
      <c r="B123" s="31">
        <f t="shared" si="3"/>
        <v>0.93059999999999998</v>
      </c>
      <c r="C123" s="31">
        <v>0.93059999999999998</v>
      </c>
      <c r="D123" s="31">
        <v>0.93059999999999998</v>
      </c>
      <c r="E123" s="31">
        <v>0.96</v>
      </c>
      <c r="F123" s="31">
        <v>0.93059999999999998</v>
      </c>
      <c r="G123" s="31">
        <v>0.93059999999999998</v>
      </c>
      <c r="H123" s="32">
        <v>0.93059999999999998</v>
      </c>
      <c r="J123" s="25">
        <f t="shared" si="4"/>
        <v>39814</v>
      </c>
      <c r="K123" s="26">
        <f t="shared" si="5"/>
        <v>121</v>
      </c>
    </row>
    <row r="124" spans="1:11" x14ac:dyDescent="0.25">
      <c r="A124" s="195">
        <v>39845</v>
      </c>
      <c r="B124" s="31">
        <f t="shared" si="3"/>
        <v>0.93059999999999998</v>
      </c>
      <c r="C124" s="31">
        <v>0.93059999999999998</v>
      </c>
      <c r="D124" s="31">
        <v>0.93059999999999998</v>
      </c>
      <c r="E124" s="31">
        <v>0.96</v>
      </c>
      <c r="F124" s="31">
        <v>0.93059999999999998</v>
      </c>
      <c r="G124" s="31">
        <v>0.93059999999999998</v>
      </c>
      <c r="H124" s="32">
        <v>0.93059999999999998</v>
      </c>
      <c r="J124" s="25">
        <f t="shared" si="4"/>
        <v>39845</v>
      </c>
      <c r="K124" s="26">
        <f t="shared" si="5"/>
        <v>122</v>
      </c>
    </row>
    <row r="125" spans="1:11" x14ac:dyDescent="0.25">
      <c r="A125" s="195">
        <v>39873</v>
      </c>
      <c r="B125" s="31">
        <f t="shared" si="3"/>
        <v>0.93059999999999998</v>
      </c>
      <c r="C125" s="31">
        <v>0.93059999999999998</v>
      </c>
      <c r="D125" s="31">
        <v>0.93059999999999998</v>
      </c>
      <c r="E125" s="31">
        <v>0.96</v>
      </c>
      <c r="F125" s="31">
        <v>0.93059999999999998</v>
      </c>
      <c r="G125" s="31">
        <v>0.93059999999999998</v>
      </c>
      <c r="H125" s="32">
        <v>0.93059999999999998</v>
      </c>
      <c r="J125" s="25">
        <f t="shared" si="4"/>
        <v>39873</v>
      </c>
      <c r="K125" s="26">
        <f t="shared" si="5"/>
        <v>123</v>
      </c>
    </row>
    <row r="126" spans="1:11" x14ac:dyDescent="0.25">
      <c r="A126" s="195">
        <v>39904</v>
      </c>
      <c r="B126" s="31">
        <f t="shared" si="3"/>
        <v>0.93059999999999998</v>
      </c>
      <c r="C126" s="31">
        <v>0.93059999999999998</v>
      </c>
      <c r="D126" s="31">
        <v>0.93059999999999998</v>
      </c>
      <c r="E126" s="31">
        <v>0.96</v>
      </c>
      <c r="F126" s="31">
        <v>0.93059999999999998</v>
      </c>
      <c r="G126" s="31">
        <v>0.93059999999999998</v>
      </c>
      <c r="H126" s="32">
        <v>0.93059999999999998</v>
      </c>
      <c r="J126" s="25">
        <f t="shared" si="4"/>
        <v>39904</v>
      </c>
      <c r="K126" s="26">
        <f t="shared" si="5"/>
        <v>124</v>
      </c>
    </row>
    <row r="127" spans="1:11" x14ac:dyDescent="0.25">
      <c r="A127" s="195">
        <v>39934</v>
      </c>
      <c r="B127" s="31">
        <f t="shared" si="3"/>
        <v>0.93059999999999998</v>
      </c>
      <c r="C127" s="31">
        <v>0.93059999999999998</v>
      </c>
      <c r="D127" s="31">
        <v>0.93059999999999998</v>
      </c>
      <c r="E127" s="31">
        <v>0.96</v>
      </c>
      <c r="F127" s="31">
        <v>0.93059999999999998</v>
      </c>
      <c r="G127" s="31">
        <v>0.93059999999999998</v>
      </c>
      <c r="H127" s="32">
        <v>0.93059999999999998</v>
      </c>
      <c r="J127" s="25">
        <f t="shared" si="4"/>
        <v>39934</v>
      </c>
      <c r="K127" s="26">
        <f t="shared" si="5"/>
        <v>125</v>
      </c>
    </row>
    <row r="128" spans="1:11" x14ac:dyDescent="0.25">
      <c r="A128" s="195">
        <v>39965</v>
      </c>
      <c r="B128" s="31">
        <f t="shared" si="3"/>
        <v>0.93059999999999998</v>
      </c>
      <c r="C128" s="31">
        <v>0.93059999999999998</v>
      </c>
      <c r="D128" s="31">
        <v>0.93059999999999998</v>
      </c>
      <c r="E128" s="31">
        <v>0.96</v>
      </c>
      <c r="F128" s="31">
        <v>0.93059999999999998</v>
      </c>
      <c r="G128" s="31">
        <v>0.93059999999999998</v>
      </c>
      <c r="H128" s="32">
        <v>0.93059999999999998</v>
      </c>
      <c r="J128" s="25">
        <f t="shared" si="4"/>
        <v>39965</v>
      </c>
      <c r="K128" s="26">
        <f t="shared" si="5"/>
        <v>126</v>
      </c>
    </row>
    <row r="129" spans="1:11" x14ac:dyDescent="0.25">
      <c r="A129" s="195">
        <v>39995</v>
      </c>
      <c r="B129" s="31">
        <f t="shared" si="3"/>
        <v>0.93059999999999998</v>
      </c>
      <c r="C129" s="31">
        <v>0.93059999999999998</v>
      </c>
      <c r="D129" s="31">
        <v>0.93059999999999998</v>
      </c>
      <c r="E129" s="31">
        <v>0.96</v>
      </c>
      <c r="F129" s="31">
        <v>0.93059999999999998</v>
      </c>
      <c r="G129" s="31">
        <v>0.93059999999999998</v>
      </c>
      <c r="H129" s="32">
        <v>0.93059999999999998</v>
      </c>
      <c r="J129" s="25">
        <f t="shared" si="4"/>
        <v>39995</v>
      </c>
      <c r="K129" s="26">
        <f t="shared" si="5"/>
        <v>127</v>
      </c>
    </row>
    <row r="130" spans="1:11" x14ac:dyDescent="0.25">
      <c r="A130" s="195">
        <v>40026</v>
      </c>
      <c r="B130" s="31">
        <f t="shared" si="3"/>
        <v>0.93059999999999998</v>
      </c>
      <c r="C130" s="31">
        <v>0.93059999999999998</v>
      </c>
      <c r="D130" s="31">
        <v>0.93059999999999998</v>
      </c>
      <c r="E130" s="31">
        <v>0.96</v>
      </c>
      <c r="F130" s="31">
        <v>0.93059999999999998</v>
      </c>
      <c r="G130" s="31">
        <v>0.93059999999999998</v>
      </c>
      <c r="H130" s="32">
        <v>0.93059999999999998</v>
      </c>
      <c r="J130" s="25">
        <f t="shared" si="4"/>
        <v>40026</v>
      </c>
      <c r="K130" s="26">
        <f t="shared" si="5"/>
        <v>128</v>
      </c>
    </row>
    <row r="131" spans="1:11" x14ac:dyDescent="0.25">
      <c r="A131" s="195">
        <v>40057</v>
      </c>
      <c r="B131" s="31">
        <f t="shared" si="3"/>
        <v>0.93059999999999998</v>
      </c>
      <c r="C131" s="31">
        <v>0.93059999999999998</v>
      </c>
      <c r="D131" s="31">
        <v>0.93059999999999998</v>
      </c>
      <c r="E131" s="31">
        <v>0.96</v>
      </c>
      <c r="F131" s="31">
        <v>0.93059999999999998</v>
      </c>
      <c r="G131" s="31">
        <v>0.93059999999999998</v>
      </c>
      <c r="H131" s="32">
        <v>0.93059999999999998</v>
      </c>
      <c r="J131" s="25">
        <f t="shared" si="4"/>
        <v>40057</v>
      </c>
      <c r="K131" s="26">
        <f t="shared" si="5"/>
        <v>129</v>
      </c>
    </row>
    <row r="132" spans="1:11" x14ac:dyDescent="0.25">
      <c r="A132" s="195">
        <v>40087</v>
      </c>
      <c r="B132" s="31">
        <f t="shared" si="3"/>
        <v>0.93059999999999998</v>
      </c>
      <c r="C132" s="31">
        <v>0.93059999999999998</v>
      </c>
      <c r="D132" s="31">
        <v>0.93059999999999998</v>
      </c>
      <c r="E132" s="31">
        <v>0.96</v>
      </c>
      <c r="F132" s="31">
        <v>0.93059999999999998</v>
      </c>
      <c r="G132" s="31">
        <v>0.93059999999999998</v>
      </c>
      <c r="H132" s="32">
        <v>0.93059999999999998</v>
      </c>
      <c r="J132" s="25">
        <f t="shared" si="4"/>
        <v>40087</v>
      </c>
      <c r="K132" s="26">
        <f t="shared" si="5"/>
        <v>130</v>
      </c>
    </row>
    <row r="133" spans="1:11" x14ac:dyDescent="0.25">
      <c r="A133" s="195">
        <v>40118</v>
      </c>
      <c r="B133" s="31">
        <f t="shared" ref="B133:B196" si="6">C133</f>
        <v>0.93059999999999998</v>
      </c>
      <c r="C133" s="31">
        <v>0.93059999999999998</v>
      </c>
      <c r="D133" s="31">
        <v>0.93059999999999998</v>
      </c>
      <c r="E133" s="31">
        <v>0.96</v>
      </c>
      <c r="F133" s="31">
        <v>0.93059999999999998</v>
      </c>
      <c r="G133" s="31">
        <v>0.93059999999999998</v>
      </c>
      <c r="H133" s="32">
        <v>0.93059999999999998</v>
      </c>
      <c r="J133" s="25">
        <f t="shared" ref="J133:J196" si="7">A133</f>
        <v>40118</v>
      </c>
      <c r="K133" s="26">
        <f t="shared" si="5"/>
        <v>131</v>
      </c>
    </row>
    <row r="134" spans="1:11" x14ac:dyDescent="0.25">
      <c r="A134" s="195">
        <v>40148</v>
      </c>
      <c r="B134" s="31">
        <f t="shared" si="6"/>
        <v>0.93059999999999998</v>
      </c>
      <c r="C134" s="31">
        <v>0.93059999999999998</v>
      </c>
      <c r="D134" s="31">
        <v>0.93059999999999998</v>
      </c>
      <c r="E134" s="31">
        <v>0.96</v>
      </c>
      <c r="F134" s="31">
        <v>0.93059999999999998</v>
      </c>
      <c r="G134" s="31">
        <v>0.93059999999999998</v>
      </c>
      <c r="H134" s="32">
        <v>0.93059999999999998</v>
      </c>
      <c r="J134" s="25">
        <f t="shared" si="7"/>
        <v>40148</v>
      </c>
      <c r="K134" s="26">
        <f t="shared" ref="K134:K197" si="8">K133+1</f>
        <v>132</v>
      </c>
    </row>
    <row r="135" spans="1:11" x14ac:dyDescent="0.25">
      <c r="A135" s="195">
        <v>40179</v>
      </c>
      <c r="B135" s="31">
        <f t="shared" si="6"/>
        <v>0.93059999999999998</v>
      </c>
      <c r="C135" s="31">
        <v>0.93059999999999998</v>
      </c>
      <c r="D135" s="31">
        <v>0.93059999999999998</v>
      </c>
      <c r="E135" s="31">
        <v>0.96</v>
      </c>
      <c r="F135" s="31">
        <v>0.93059999999999998</v>
      </c>
      <c r="G135" s="31">
        <v>0.93059999999999998</v>
      </c>
      <c r="H135" s="32">
        <v>0.93059999999999998</v>
      </c>
      <c r="J135" s="25">
        <f t="shared" si="7"/>
        <v>40179</v>
      </c>
      <c r="K135" s="26">
        <f t="shared" si="8"/>
        <v>133</v>
      </c>
    </row>
    <row r="136" spans="1:11" x14ac:dyDescent="0.25">
      <c r="A136" s="195">
        <v>40210</v>
      </c>
      <c r="B136" s="31">
        <f t="shared" si="6"/>
        <v>0.93059999999999998</v>
      </c>
      <c r="C136" s="31">
        <v>0.93059999999999998</v>
      </c>
      <c r="D136" s="31">
        <v>0.93059999999999998</v>
      </c>
      <c r="E136" s="31">
        <v>0.96</v>
      </c>
      <c r="F136" s="31">
        <v>0.93059999999999998</v>
      </c>
      <c r="G136" s="31">
        <v>0.93059999999999998</v>
      </c>
      <c r="H136" s="32">
        <v>0.93059999999999998</v>
      </c>
      <c r="J136" s="25">
        <f t="shared" si="7"/>
        <v>40210</v>
      </c>
      <c r="K136" s="26">
        <f t="shared" si="8"/>
        <v>134</v>
      </c>
    </row>
    <row r="137" spans="1:11" x14ac:dyDescent="0.25">
      <c r="A137" s="195">
        <v>40238</v>
      </c>
      <c r="B137" s="31">
        <f t="shared" si="6"/>
        <v>0.93059999999999998</v>
      </c>
      <c r="C137" s="31">
        <v>0.93059999999999998</v>
      </c>
      <c r="D137" s="31">
        <v>0.93059999999999998</v>
      </c>
      <c r="E137" s="31">
        <v>0.96</v>
      </c>
      <c r="F137" s="31">
        <v>0.93059999999999998</v>
      </c>
      <c r="G137" s="31">
        <v>0.93059999999999998</v>
      </c>
      <c r="H137" s="32">
        <v>0.93059999999999998</v>
      </c>
      <c r="J137" s="25">
        <f t="shared" si="7"/>
        <v>40238</v>
      </c>
      <c r="K137" s="26">
        <f t="shared" si="8"/>
        <v>135</v>
      </c>
    </row>
    <row r="138" spans="1:11" x14ac:dyDescent="0.25">
      <c r="A138" s="195">
        <v>40269</v>
      </c>
      <c r="B138" s="31">
        <f t="shared" si="6"/>
        <v>0.93059999999999998</v>
      </c>
      <c r="C138" s="31">
        <v>0.93059999999999998</v>
      </c>
      <c r="D138" s="31">
        <v>0.93059999999999998</v>
      </c>
      <c r="E138" s="31">
        <v>0.96</v>
      </c>
      <c r="F138" s="31">
        <v>0.93059999999999998</v>
      </c>
      <c r="G138" s="31">
        <v>0.93059999999999998</v>
      </c>
      <c r="H138" s="32">
        <v>0.93059999999999998</v>
      </c>
      <c r="J138" s="25">
        <f t="shared" si="7"/>
        <v>40269</v>
      </c>
      <c r="K138" s="26">
        <f t="shared" si="8"/>
        <v>136</v>
      </c>
    </row>
    <row r="139" spans="1:11" x14ac:dyDescent="0.25">
      <c r="A139" s="195">
        <v>40299</v>
      </c>
      <c r="B139" s="31">
        <f t="shared" si="6"/>
        <v>0.93059999999999998</v>
      </c>
      <c r="C139" s="31">
        <v>0.93059999999999998</v>
      </c>
      <c r="D139" s="31">
        <v>0.93059999999999998</v>
      </c>
      <c r="E139" s="31">
        <v>0.96</v>
      </c>
      <c r="F139" s="31">
        <v>0.93059999999999998</v>
      </c>
      <c r="G139" s="31">
        <v>0.93059999999999998</v>
      </c>
      <c r="H139" s="32">
        <v>0.93059999999999998</v>
      </c>
      <c r="J139" s="25">
        <f t="shared" si="7"/>
        <v>40299</v>
      </c>
      <c r="K139" s="26">
        <f t="shared" si="8"/>
        <v>137</v>
      </c>
    </row>
    <row r="140" spans="1:11" x14ac:dyDescent="0.25">
      <c r="A140" s="195">
        <v>40330</v>
      </c>
      <c r="B140" s="31">
        <f t="shared" si="6"/>
        <v>0.93059999999999998</v>
      </c>
      <c r="C140" s="31">
        <v>0.93059999999999998</v>
      </c>
      <c r="D140" s="31">
        <v>0.93059999999999998</v>
      </c>
      <c r="E140" s="31">
        <v>0.96</v>
      </c>
      <c r="F140" s="31">
        <v>0.93059999999999998</v>
      </c>
      <c r="G140" s="31">
        <v>0.93059999999999998</v>
      </c>
      <c r="H140" s="32">
        <v>0.93059999999999998</v>
      </c>
      <c r="J140" s="25">
        <f t="shared" si="7"/>
        <v>40330</v>
      </c>
      <c r="K140" s="26">
        <f t="shared" si="8"/>
        <v>138</v>
      </c>
    </row>
    <row r="141" spans="1:11" x14ac:dyDescent="0.25">
      <c r="A141" s="195">
        <v>40360</v>
      </c>
      <c r="B141" s="31">
        <f t="shared" si="6"/>
        <v>0.93059999999999998</v>
      </c>
      <c r="C141" s="31">
        <v>0.93059999999999998</v>
      </c>
      <c r="D141" s="31">
        <v>0.93059999999999998</v>
      </c>
      <c r="E141" s="31">
        <v>0.96</v>
      </c>
      <c r="F141" s="31">
        <v>0.93059999999999998</v>
      </c>
      <c r="G141" s="31">
        <v>0.93059999999999998</v>
      </c>
      <c r="H141" s="32">
        <v>0.93059999999999998</v>
      </c>
      <c r="J141" s="25">
        <f t="shared" si="7"/>
        <v>40360</v>
      </c>
      <c r="K141" s="26">
        <f t="shared" si="8"/>
        <v>139</v>
      </c>
    </row>
    <row r="142" spans="1:11" x14ac:dyDescent="0.25">
      <c r="A142" s="195">
        <v>40391</v>
      </c>
      <c r="B142" s="31">
        <f t="shared" si="6"/>
        <v>0.93059999999999998</v>
      </c>
      <c r="C142" s="31">
        <v>0.93059999999999998</v>
      </c>
      <c r="D142" s="31">
        <v>0.93059999999999998</v>
      </c>
      <c r="E142" s="31">
        <v>0.96</v>
      </c>
      <c r="F142" s="31">
        <v>0.93059999999999998</v>
      </c>
      <c r="G142" s="31">
        <v>0.93059999999999998</v>
      </c>
      <c r="H142" s="32">
        <v>0.93059999999999998</v>
      </c>
      <c r="J142" s="25">
        <f t="shared" si="7"/>
        <v>40391</v>
      </c>
      <c r="K142" s="26">
        <f t="shared" si="8"/>
        <v>140</v>
      </c>
    </row>
    <row r="143" spans="1:11" x14ac:dyDescent="0.25">
      <c r="A143" s="195">
        <v>40422</v>
      </c>
      <c r="B143" s="31">
        <f t="shared" si="6"/>
        <v>0.93059999999999998</v>
      </c>
      <c r="C143" s="31">
        <v>0.93059999999999998</v>
      </c>
      <c r="D143" s="31">
        <v>0.93059999999999998</v>
      </c>
      <c r="E143" s="31">
        <v>0.96</v>
      </c>
      <c r="F143" s="31">
        <v>0.93059999999999998</v>
      </c>
      <c r="G143" s="31">
        <v>0.93059999999999998</v>
      </c>
      <c r="H143" s="32">
        <v>0.93059999999999998</v>
      </c>
      <c r="J143" s="25">
        <f t="shared" si="7"/>
        <v>40422</v>
      </c>
      <c r="K143" s="26">
        <f t="shared" si="8"/>
        <v>141</v>
      </c>
    </row>
    <row r="144" spans="1:11" x14ac:dyDescent="0.25">
      <c r="A144" s="195">
        <v>40452</v>
      </c>
      <c r="B144" s="31">
        <f t="shared" si="6"/>
        <v>0.93059999999999998</v>
      </c>
      <c r="C144" s="31">
        <v>0.93059999999999998</v>
      </c>
      <c r="D144" s="31">
        <v>0.93059999999999998</v>
      </c>
      <c r="E144" s="31">
        <v>0.96</v>
      </c>
      <c r="F144" s="31">
        <v>0.93059999999999998</v>
      </c>
      <c r="G144" s="31">
        <v>0.93059999999999998</v>
      </c>
      <c r="H144" s="32">
        <v>0.93059999999999998</v>
      </c>
      <c r="J144" s="25">
        <f t="shared" si="7"/>
        <v>40452</v>
      </c>
      <c r="K144" s="26">
        <f t="shared" si="8"/>
        <v>142</v>
      </c>
    </row>
    <row r="145" spans="1:11" x14ac:dyDescent="0.25">
      <c r="A145" s="195">
        <v>40483</v>
      </c>
      <c r="B145" s="31">
        <f t="shared" si="6"/>
        <v>0.93059999999999998</v>
      </c>
      <c r="C145" s="31">
        <v>0.93059999999999998</v>
      </c>
      <c r="D145" s="31">
        <v>0.93059999999999998</v>
      </c>
      <c r="E145" s="31">
        <v>0.96</v>
      </c>
      <c r="F145" s="31">
        <v>0.93059999999999998</v>
      </c>
      <c r="G145" s="31">
        <v>0.93059999999999998</v>
      </c>
      <c r="H145" s="32">
        <v>0.93059999999999998</v>
      </c>
      <c r="J145" s="25">
        <f t="shared" si="7"/>
        <v>40483</v>
      </c>
      <c r="K145" s="26">
        <f t="shared" si="8"/>
        <v>143</v>
      </c>
    </row>
    <row r="146" spans="1:11" x14ac:dyDescent="0.25">
      <c r="A146" s="195">
        <v>40513</v>
      </c>
      <c r="B146" s="31">
        <f t="shared" si="6"/>
        <v>0.93059999999999998</v>
      </c>
      <c r="C146" s="31">
        <v>0.93059999999999998</v>
      </c>
      <c r="D146" s="31">
        <v>0.93059999999999998</v>
      </c>
      <c r="E146" s="31">
        <v>0.96</v>
      </c>
      <c r="F146" s="31">
        <v>0.93059999999999998</v>
      </c>
      <c r="G146" s="31">
        <v>0.93059999999999998</v>
      </c>
      <c r="H146" s="32">
        <v>0.93059999999999998</v>
      </c>
      <c r="J146" s="25">
        <f t="shared" si="7"/>
        <v>40513</v>
      </c>
      <c r="K146" s="26">
        <f t="shared" si="8"/>
        <v>144</v>
      </c>
    </row>
    <row r="147" spans="1:11" x14ac:dyDescent="0.25">
      <c r="A147" s="195">
        <v>40544</v>
      </c>
      <c r="B147" s="31">
        <f t="shared" si="6"/>
        <v>0.93059999999999998</v>
      </c>
      <c r="C147" s="31">
        <v>0.93059999999999998</v>
      </c>
      <c r="D147" s="31">
        <v>0.93059999999999998</v>
      </c>
      <c r="E147" s="31">
        <v>0.96</v>
      </c>
      <c r="F147" s="31">
        <v>0.93059999999999998</v>
      </c>
      <c r="G147" s="31">
        <v>0.93059999999999998</v>
      </c>
      <c r="H147" s="32">
        <v>0.93059999999999998</v>
      </c>
      <c r="J147" s="25">
        <f t="shared" si="7"/>
        <v>40544</v>
      </c>
      <c r="K147" s="26">
        <f t="shared" si="8"/>
        <v>145</v>
      </c>
    </row>
    <row r="148" spans="1:11" x14ac:dyDescent="0.25">
      <c r="A148" s="195">
        <v>40575</v>
      </c>
      <c r="B148" s="31">
        <f t="shared" si="6"/>
        <v>0.93059999999999998</v>
      </c>
      <c r="C148" s="31">
        <v>0.93059999999999998</v>
      </c>
      <c r="D148" s="31">
        <v>0.93059999999999998</v>
      </c>
      <c r="E148" s="31">
        <v>0.96</v>
      </c>
      <c r="F148" s="31">
        <v>0.93059999999999998</v>
      </c>
      <c r="G148" s="31">
        <v>0.93059999999999998</v>
      </c>
      <c r="H148" s="32">
        <v>0.93059999999999998</v>
      </c>
      <c r="J148" s="25">
        <f t="shared" si="7"/>
        <v>40575</v>
      </c>
      <c r="K148" s="26">
        <f t="shared" si="8"/>
        <v>146</v>
      </c>
    </row>
    <row r="149" spans="1:11" x14ac:dyDescent="0.25">
      <c r="A149" s="195">
        <v>40603</v>
      </c>
      <c r="B149" s="31">
        <f t="shared" si="6"/>
        <v>0.93059999999999998</v>
      </c>
      <c r="C149" s="31">
        <v>0.93059999999999998</v>
      </c>
      <c r="D149" s="31">
        <v>0.93059999999999998</v>
      </c>
      <c r="E149" s="31">
        <v>0.96</v>
      </c>
      <c r="F149" s="31">
        <v>0.93059999999999998</v>
      </c>
      <c r="G149" s="31">
        <v>0.93059999999999998</v>
      </c>
      <c r="H149" s="32">
        <v>0.93059999999999998</v>
      </c>
      <c r="J149" s="25">
        <f t="shared" si="7"/>
        <v>40603</v>
      </c>
      <c r="K149" s="26">
        <f t="shared" si="8"/>
        <v>147</v>
      </c>
    </row>
    <row r="150" spans="1:11" x14ac:dyDescent="0.25">
      <c r="A150" s="195">
        <v>40634</v>
      </c>
      <c r="B150" s="31">
        <f t="shared" si="6"/>
        <v>0.93059999999999998</v>
      </c>
      <c r="C150" s="31">
        <v>0.93059999999999998</v>
      </c>
      <c r="D150" s="31">
        <v>0.93059999999999998</v>
      </c>
      <c r="E150" s="31">
        <v>0.96</v>
      </c>
      <c r="F150" s="31">
        <v>0.93059999999999998</v>
      </c>
      <c r="G150" s="31">
        <v>0.93059999999999998</v>
      </c>
      <c r="H150" s="32">
        <v>0.93059999999999998</v>
      </c>
      <c r="J150" s="25">
        <f t="shared" si="7"/>
        <v>40634</v>
      </c>
      <c r="K150" s="26">
        <f t="shared" si="8"/>
        <v>148</v>
      </c>
    </row>
    <row r="151" spans="1:11" x14ac:dyDescent="0.25">
      <c r="A151" s="195">
        <v>40664</v>
      </c>
      <c r="B151" s="31">
        <f t="shared" si="6"/>
        <v>0.93059999999999998</v>
      </c>
      <c r="C151" s="31">
        <v>0.93059999999999998</v>
      </c>
      <c r="D151" s="31">
        <v>0.93059999999999998</v>
      </c>
      <c r="E151" s="31">
        <v>0.96</v>
      </c>
      <c r="F151" s="31">
        <v>0.93059999999999998</v>
      </c>
      <c r="G151" s="31">
        <v>0.93059999999999998</v>
      </c>
      <c r="H151" s="32">
        <v>0.93059999999999998</v>
      </c>
      <c r="J151" s="25">
        <f t="shared" si="7"/>
        <v>40664</v>
      </c>
      <c r="K151" s="26">
        <f t="shared" si="8"/>
        <v>149</v>
      </c>
    </row>
    <row r="152" spans="1:11" x14ac:dyDescent="0.25">
      <c r="A152" s="195">
        <v>40695</v>
      </c>
      <c r="B152" s="31">
        <f t="shared" si="6"/>
        <v>0.93059999999999998</v>
      </c>
      <c r="C152" s="31">
        <v>0.93059999999999998</v>
      </c>
      <c r="D152" s="31">
        <v>0.93059999999999998</v>
      </c>
      <c r="E152" s="31">
        <v>0.96</v>
      </c>
      <c r="F152" s="31">
        <v>0.93059999999999998</v>
      </c>
      <c r="G152" s="31">
        <v>0.93059999999999998</v>
      </c>
      <c r="H152" s="32">
        <v>0.93059999999999998</v>
      </c>
      <c r="J152" s="25">
        <f t="shared" si="7"/>
        <v>40695</v>
      </c>
      <c r="K152" s="26">
        <f t="shared" si="8"/>
        <v>150</v>
      </c>
    </row>
    <row r="153" spans="1:11" x14ac:dyDescent="0.25">
      <c r="A153" s="195">
        <v>40725</v>
      </c>
      <c r="B153" s="31">
        <f t="shared" si="6"/>
        <v>0.93059999999999998</v>
      </c>
      <c r="C153" s="31">
        <v>0.93059999999999998</v>
      </c>
      <c r="D153" s="31">
        <v>0.93059999999999998</v>
      </c>
      <c r="E153" s="31">
        <v>0.96</v>
      </c>
      <c r="F153" s="31">
        <v>0.93059999999999998</v>
      </c>
      <c r="G153" s="31">
        <v>0.93059999999999998</v>
      </c>
      <c r="H153" s="32">
        <v>0.93059999999999998</v>
      </c>
      <c r="J153" s="25">
        <f t="shared" si="7"/>
        <v>40725</v>
      </c>
      <c r="K153" s="26">
        <f t="shared" si="8"/>
        <v>151</v>
      </c>
    </row>
    <row r="154" spans="1:11" x14ac:dyDescent="0.25">
      <c r="A154" s="195">
        <v>40756</v>
      </c>
      <c r="B154" s="31">
        <f t="shared" si="6"/>
        <v>0.93059999999999998</v>
      </c>
      <c r="C154" s="31">
        <v>0.93059999999999998</v>
      </c>
      <c r="D154" s="31">
        <v>0.93059999999999998</v>
      </c>
      <c r="E154" s="31">
        <v>0.96</v>
      </c>
      <c r="F154" s="31">
        <v>0.93059999999999998</v>
      </c>
      <c r="G154" s="31">
        <v>0.93059999999999998</v>
      </c>
      <c r="H154" s="32">
        <v>0.93059999999999998</v>
      </c>
      <c r="J154" s="25">
        <f t="shared" si="7"/>
        <v>40756</v>
      </c>
      <c r="K154" s="26">
        <f t="shared" si="8"/>
        <v>152</v>
      </c>
    </row>
    <row r="155" spans="1:11" x14ac:dyDescent="0.25">
      <c r="A155" s="195">
        <v>40787</v>
      </c>
      <c r="B155" s="31">
        <f t="shared" si="6"/>
        <v>0.93059999999999998</v>
      </c>
      <c r="C155" s="31">
        <v>0.93059999999999998</v>
      </c>
      <c r="D155" s="31">
        <v>0.93059999999999998</v>
      </c>
      <c r="E155" s="31">
        <v>0.96</v>
      </c>
      <c r="F155" s="31">
        <v>0.93059999999999998</v>
      </c>
      <c r="G155" s="31">
        <v>0.93059999999999998</v>
      </c>
      <c r="H155" s="32">
        <v>0.93059999999999998</v>
      </c>
      <c r="J155" s="25">
        <f t="shared" si="7"/>
        <v>40787</v>
      </c>
      <c r="K155" s="26">
        <f t="shared" si="8"/>
        <v>153</v>
      </c>
    </row>
    <row r="156" spans="1:11" x14ac:dyDescent="0.25">
      <c r="A156" s="195">
        <v>40817</v>
      </c>
      <c r="B156" s="31">
        <f t="shared" si="6"/>
        <v>0.93059999999999998</v>
      </c>
      <c r="C156" s="31">
        <v>0.93059999999999998</v>
      </c>
      <c r="D156" s="31">
        <v>0.93059999999999998</v>
      </c>
      <c r="E156" s="31">
        <v>0.96</v>
      </c>
      <c r="F156" s="31">
        <v>0.93059999999999998</v>
      </c>
      <c r="G156" s="31">
        <v>0.93059999999999998</v>
      </c>
      <c r="H156" s="32">
        <v>0.93059999999999998</v>
      </c>
      <c r="J156" s="25">
        <f t="shared" si="7"/>
        <v>40817</v>
      </c>
      <c r="K156" s="26">
        <f t="shared" si="8"/>
        <v>154</v>
      </c>
    </row>
    <row r="157" spans="1:11" x14ac:dyDescent="0.25">
      <c r="A157" s="195">
        <v>40848</v>
      </c>
      <c r="B157" s="31">
        <f t="shared" si="6"/>
        <v>0.93059999999999998</v>
      </c>
      <c r="C157" s="31">
        <v>0.93059999999999998</v>
      </c>
      <c r="D157" s="31">
        <v>0.93059999999999998</v>
      </c>
      <c r="E157" s="31">
        <v>0.96</v>
      </c>
      <c r="F157" s="31">
        <v>0.93059999999999998</v>
      </c>
      <c r="G157" s="31">
        <v>0.93059999999999998</v>
      </c>
      <c r="H157" s="32">
        <v>0.93059999999999998</v>
      </c>
      <c r="J157" s="25">
        <f t="shared" si="7"/>
        <v>40848</v>
      </c>
      <c r="K157" s="26">
        <f t="shared" si="8"/>
        <v>155</v>
      </c>
    </row>
    <row r="158" spans="1:11" x14ac:dyDescent="0.25">
      <c r="A158" s="195">
        <v>40878</v>
      </c>
      <c r="B158" s="31">
        <f t="shared" si="6"/>
        <v>0.93059999999999998</v>
      </c>
      <c r="C158" s="31">
        <v>0.93059999999999998</v>
      </c>
      <c r="D158" s="31">
        <v>0.93059999999999998</v>
      </c>
      <c r="E158" s="31">
        <v>0.96</v>
      </c>
      <c r="F158" s="31">
        <v>0.93059999999999998</v>
      </c>
      <c r="G158" s="31">
        <v>0.93059999999999998</v>
      </c>
      <c r="H158" s="32">
        <v>0.93059999999999998</v>
      </c>
      <c r="J158" s="25">
        <f t="shared" si="7"/>
        <v>40878</v>
      </c>
      <c r="K158" s="26">
        <f t="shared" si="8"/>
        <v>156</v>
      </c>
    </row>
    <row r="159" spans="1:11" x14ac:dyDescent="0.25">
      <c r="A159" s="195">
        <v>40909</v>
      </c>
      <c r="B159" s="31">
        <f t="shared" si="6"/>
        <v>0.93059999999999998</v>
      </c>
      <c r="C159" s="31">
        <v>0.93059999999999998</v>
      </c>
      <c r="D159" s="31">
        <v>0.93059999999999998</v>
      </c>
      <c r="E159" s="31">
        <v>0.96</v>
      </c>
      <c r="F159" s="31">
        <v>0.93059999999999998</v>
      </c>
      <c r="G159" s="31">
        <v>0.93059999999999998</v>
      </c>
      <c r="H159" s="32">
        <v>0.93059999999999998</v>
      </c>
      <c r="J159" s="25">
        <f t="shared" si="7"/>
        <v>40909</v>
      </c>
      <c r="K159" s="26">
        <f t="shared" si="8"/>
        <v>157</v>
      </c>
    </row>
    <row r="160" spans="1:11" x14ac:dyDescent="0.25">
      <c r="A160" s="195">
        <v>40940</v>
      </c>
      <c r="B160" s="31">
        <f t="shared" si="6"/>
        <v>0.93059999999999998</v>
      </c>
      <c r="C160" s="31">
        <v>0.93059999999999998</v>
      </c>
      <c r="D160" s="31">
        <v>0.93059999999999998</v>
      </c>
      <c r="E160" s="31">
        <v>0.96</v>
      </c>
      <c r="F160" s="31">
        <v>0.93059999999999998</v>
      </c>
      <c r="G160" s="31">
        <v>0.93059999999999998</v>
      </c>
      <c r="H160" s="32">
        <v>0.93059999999999998</v>
      </c>
      <c r="J160" s="25">
        <f t="shared" si="7"/>
        <v>40940</v>
      </c>
      <c r="K160" s="26">
        <f t="shared" si="8"/>
        <v>158</v>
      </c>
    </row>
    <row r="161" spans="1:11" x14ac:dyDescent="0.25">
      <c r="A161" s="195">
        <v>40969</v>
      </c>
      <c r="B161" s="31">
        <f t="shared" si="6"/>
        <v>0.93059999999999998</v>
      </c>
      <c r="C161" s="31">
        <v>0.93059999999999998</v>
      </c>
      <c r="D161" s="31">
        <v>0.93059999999999998</v>
      </c>
      <c r="E161" s="31">
        <v>0.96</v>
      </c>
      <c r="F161" s="31">
        <v>0.93059999999999998</v>
      </c>
      <c r="G161" s="31">
        <v>0.93059999999999998</v>
      </c>
      <c r="H161" s="32">
        <v>0.93059999999999998</v>
      </c>
      <c r="J161" s="25">
        <f t="shared" si="7"/>
        <v>40969</v>
      </c>
      <c r="K161" s="26">
        <f t="shared" si="8"/>
        <v>159</v>
      </c>
    </row>
    <row r="162" spans="1:11" x14ac:dyDescent="0.25">
      <c r="A162" s="195">
        <v>41000</v>
      </c>
      <c r="B162" s="31">
        <f t="shared" si="6"/>
        <v>0.93059999999999998</v>
      </c>
      <c r="C162" s="31">
        <v>0.93059999999999998</v>
      </c>
      <c r="D162" s="31">
        <v>0.93059999999999998</v>
      </c>
      <c r="E162" s="31">
        <v>0.96</v>
      </c>
      <c r="F162" s="31">
        <v>0.93059999999999998</v>
      </c>
      <c r="G162" s="31">
        <v>0.93059999999999998</v>
      </c>
      <c r="H162" s="32">
        <v>0.93059999999999998</v>
      </c>
      <c r="J162" s="25">
        <f t="shared" si="7"/>
        <v>41000</v>
      </c>
      <c r="K162" s="26">
        <f t="shared" si="8"/>
        <v>160</v>
      </c>
    </row>
    <row r="163" spans="1:11" x14ac:dyDescent="0.25">
      <c r="A163" s="195">
        <v>41030</v>
      </c>
      <c r="B163" s="31">
        <f t="shared" si="6"/>
        <v>0.93059999999999998</v>
      </c>
      <c r="C163" s="31">
        <v>0.93059999999999998</v>
      </c>
      <c r="D163" s="31">
        <v>0.93059999999999998</v>
      </c>
      <c r="E163" s="31">
        <v>0.96</v>
      </c>
      <c r="F163" s="31">
        <v>0.93059999999999998</v>
      </c>
      <c r="G163" s="31">
        <v>0.93059999999999998</v>
      </c>
      <c r="H163" s="32">
        <v>0.93059999999999998</v>
      </c>
      <c r="J163" s="25">
        <f t="shared" si="7"/>
        <v>41030</v>
      </c>
      <c r="K163" s="26">
        <f t="shared" si="8"/>
        <v>161</v>
      </c>
    </row>
    <row r="164" spans="1:11" x14ac:dyDescent="0.25">
      <c r="A164" s="195">
        <v>41061</v>
      </c>
      <c r="B164" s="31">
        <f t="shared" si="6"/>
        <v>0.93059999999999998</v>
      </c>
      <c r="C164" s="31">
        <v>0.93059999999999998</v>
      </c>
      <c r="D164" s="31">
        <v>0.93059999999999998</v>
      </c>
      <c r="E164" s="31">
        <v>0.96</v>
      </c>
      <c r="F164" s="31">
        <v>0.93059999999999998</v>
      </c>
      <c r="G164" s="31">
        <v>0.93059999999999998</v>
      </c>
      <c r="H164" s="32">
        <v>0.93059999999999998</v>
      </c>
      <c r="J164" s="25">
        <f t="shared" si="7"/>
        <v>41061</v>
      </c>
      <c r="K164" s="26">
        <f t="shared" si="8"/>
        <v>162</v>
      </c>
    </row>
    <row r="165" spans="1:11" x14ac:dyDescent="0.25">
      <c r="A165" s="195">
        <v>41091</v>
      </c>
      <c r="B165" s="31">
        <f t="shared" si="6"/>
        <v>0.93059999999999998</v>
      </c>
      <c r="C165" s="31">
        <v>0.93059999999999998</v>
      </c>
      <c r="D165" s="31">
        <v>0.93059999999999998</v>
      </c>
      <c r="E165" s="31">
        <v>0.96</v>
      </c>
      <c r="F165" s="31">
        <v>0.93059999999999998</v>
      </c>
      <c r="G165" s="31">
        <v>0.93059999999999998</v>
      </c>
      <c r="H165" s="32">
        <v>0.93059999999999998</v>
      </c>
      <c r="J165" s="25">
        <f t="shared" si="7"/>
        <v>41091</v>
      </c>
      <c r="K165" s="26">
        <f t="shared" si="8"/>
        <v>163</v>
      </c>
    </row>
    <row r="166" spans="1:11" x14ac:dyDescent="0.25">
      <c r="A166" s="195">
        <v>41122</v>
      </c>
      <c r="B166" s="31">
        <f t="shared" si="6"/>
        <v>0.93059999999999998</v>
      </c>
      <c r="C166" s="31">
        <v>0.93059999999999998</v>
      </c>
      <c r="D166" s="31">
        <v>0.93059999999999998</v>
      </c>
      <c r="E166" s="31">
        <v>0.96</v>
      </c>
      <c r="F166" s="31">
        <v>0.93059999999999998</v>
      </c>
      <c r="G166" s="31">
        <v>0.93059999999999998</v>
      </c>
      <c r="H166" s="32">
        <v>0.93059999999999998</v>
      </c>
      <c r="J166" s="25">
        <f t="shared" si="7"/>
        <v>41122</v>
      </c>
      <c r="K166" s="26">
        <f t="shared" si="8"/>
        <v>164</v>
      </c>
    </row>
    <row r="167" spans="1:11" x14ac:dyDescent="0.25">
      <c r="A167" s="195">
        <v>41153</v>
      </c>
      <c r="B167" s="31">
        <f t="shared" si="6"/>
        <v>0.93059999999999998</v>
      </c>
      <c r="C167" s="31">
        <v>0.93059999999999998</v>
      </c>
      <c r="D167" s="31">
        <v>0.93059999999999998</v>
      </c>
      <c r="E167" s="31">
        <v>0.96</v>
      </c>
      <c r="F167" s="31">
        <v>0.93059999999999998</v>
      </c>
      <c r="G167" s="31">
        <v>0.93059999999999998</v>
      </c>
      <c r="H167" s="32">
        <v>0.93059999999999998</v>
      </c>
      <c r="J167" s="25">
        <f t="shared" si="7"/>
        <v>41153</v>
      </c>
      <c r="K167" s="26">
        <f t="shared" si="8"/>
        <v>165</v>
      </c>
    </row>
    <row r="168" spans="1:11" x14ac:dyDescent="0.25">
      <c r="A168" s="195">
        <v>41183</v>
      </c>
      <c r="B168" s="31">
        <f t="shared" si="6"/>
        <v>0.93059999999999998</v>
      </c>
      <c r="C168" s="31">
        <v>0.93059999999999998</v>
      </c>
      <c r="D168" s="31">
        <v>0.93059999999999998</v>
      </c>
      <c r="E168" s="31">
        <v>0.96</v>
      </c>
      <c r="F168" s="31">
        <v>0.93059999999999998</v>
      </c>
      <c r="G168" s="31">
        <v>0.93059999999999998</v>
      </c>
      <c r="H168" s="32">
        <v>0.93059999999999998</v>
      </c>
      <c r="J168" s="25">
        <f t="shared" si="7"/>
        <v>41183</v>
      </c>
      <c r="K168" s="26">
        <f t="shared" si="8"/>
        <v>166</v>
      </c>
    </row>
    <row r="169" spans="1:11" x14ac:dyDescent="0.25">
      <c r="A169" s="195">
        <v>41214</v>
      </c>
      <c r="B169" s="31">
        <f t="shared" si="6"/>
        <v>0.93059999999999998</v>
      </c>
      <c r="C169" s="31">
        <v>0.93059999999999998</v>
      </c>
      <c r="D169" s="31">
        <v>0.93059999999999998</v>
      </c>
      <c r="E169" s="31">
        <v>0.96</v>
      </c>
      <c r="F169" s="31">
        <v>0.93059999999999998</v>
      </c>
      <c r="G169" s="31">
        <v>0.93059999999999998</v>
      </c>
      <c r="H169" s="32">
        <v>0.93059999999999998</v>
      </c>
      <c r="J169" s="25">
        <f t="shared" si="7"/>
        <v>41214</v>
      </c>
      <c r="K169" s="26">
        <f t="shared" si="8"/>
        <v>167</v>
      </c>
    </row>
    <row r="170" spans="1:11" x14ac:dyDescent="0.25">
      <c r="A170" s="195">
        <v>41244</v>
      </c>
      <c r="B170" s="31">
        <f t="shared" si="6"/>
        <v>0.93059999999999998</v>
      </c>
      <c r="C170" s="31">
        <v>0.93059999999999998</v>
      </c>
      <c r="D170" s="31">
        <v>0.93059999999999998</v>
      </c>
      <c r="E170" s="31">
        <v>0.96</v>
      </c>
      <c r="F170" s="31">
        <v>0.93059999999999998</v>
      </c>
      <c r="G170" s="31">
        <v>0.93059999999999998</v>
      </c>
      <c r="H170" s="32">
        <v>0.93059999999999998</v>
      </c>
      <c r="J170" s="25">
        <f t="shared" si="7"/>
        <v>41244</v>
      </c>
      <c r="K170" s="26">
        <f t="shared" si="8"/>
        <v>168</v>
      </c>
    </row>
    <row r="171" spans="1:11" x14ac:dyDescent="0.25">
      <c r="A171" s="195">
        <v>41275</v>
      </c>
      <c r="B171" s="31">
        <f t="shared" si="6"/>
        <v>0.93059999999999998</v>
      </c>
      <c r="C171" s="31">
        <v>0.93059999999999998</v>
      </c>
      <c r="D171" s="31">
        <v>0.93059999999999998</v>
      </c>
      <c r="E171" s="31">
        <v>0.96</v>
      </c>
      <c r="F171" s="31">
        <v>0.93059999999999998</v>
      </c>
      <c r="G171" s="31">
        <v>0.93059999999999998</v>
      </c>
      <c r="H171" s="32">
        <v>0.93059999999999998</v>
      </c>
      <c r="J171" s="25">
        <f t="shared" si="7"/>
        <v>41275</v>
      </c>
      <c r="K171" s="26">
        <f t="shared" si="8"/>
        <v>169</v>
      </c>
    </row>
    <row r="172" spans="1:11" x14ac:dyDescent="0.25">
      <c r="A172" s="195">
        <v>41306</v>
      </c>
      <c r="B172" s="31">
        <f t="shared" si="6"/>
        <v>0.93059999999999998</v>
      </c>
      <c r="C172" s="31">
        <v>0.93059999999999998</v>
      </c>
      <c r="D172" s="31">
        <v>0.93059999999999998</v>
      </c>
      <c r="E172" s="31">
        <v>0.96</v>
      </c>
      <c r="F172" s="31">
        <v>0.93059999999999998</v>
      </c>
      <c r="G172" s="31">
        <v>0.93059999999999998</v>
      </c>
      <c r="H172" s="32">
        <v>0.93059999999999998</v>
      </c>
      <c r="J172" s="25">
        <f t="shared" si="7"/>
        <v>41306</v>
      </c>
      <c r="K172" s="26">
        <f t="shared" si="8"/>
        <v>170</v>
      </c>
    </row>
    <row r="173" spans="1:11" x14ac:dyDescent="0.25">
      <c r="A173" s="195">
        <v>41334</v>
      </c>
      <c r="B173" s="31">
        <f t="shared" si="6"/>
        <v>0.93059999999999998</v>
      </c>
      <c r="C173" s="31">
        <v>0.93059999999999998</v>
      </c>
      <c r="D173" s="31">
        <v>0.93059999999999998</v>
      </c>
      <c r="E173" s="31">
        <v>0.96</v>
      </c>
      <c r="F173" s="31">
        <v>0.93059999999999998</v>
      </c>
      <c r="G173" s="31">
        <v>0.93059999999999998</v>
      </c>
      <c r="H173" s="32">
        <v>0.93059999999999998</v>
      </c>
      <c r="J173" s="25">
        <f t="shared" si="7"/>
        <v>41334</v>
      </c>
      <c r="K173" s="26">
        <f t="shared" si="8"/>
        <v>171</v>
      </c>
    </row>
    <row r="174" spans="1:11" x14ac:dyDescent="0.25">
      <c r="A174" s="195">
        <v>41365</v>
      </c>
      <c r="B174" s="31">
        <f t="shared" si="6"/>
        <v>0.93059999999999998</v>
      </c>
      <c r="C174" s="31">
        <v>0.93059999999999998</v>
      </c>
      <c r="D174" s="31">
        <v>0.93059999999999998</v>
      </c>
      <c r="E174" s="31">
        <v>0.96</v>
      </c>
      <c r="F174" s="31">
        <v>0.93059999999999998</v>
      </c>
      <c r="G174" s="31">
        <v>0.93059999999999998</v>
      </c>
      <c r="H174" s="32">
        <v>0.93059999999999998</v>
      </c>
      <c r="J174" s="25">
        <f t="shared" si="7"/>
        <v>41365</v>
      </c>
      <c r="K174" s="26">
        <f t="shared" si="8"/>
        <v>172</v>
      </c>
    </row>
    <row r="175" spans="1:11" x14ac:dyDescent="0.25">
      <c r="A175" s="195">
        <v>41395</v>
      </c>
      <c r="B175" s="31">
        <f t="shared" si="6"/>
        <v>0.93059999999999998</v>
      </c>
      <c r="C175" s="31">
        <v>0.93059999999999998</v>
      </c>
      <c r="D175" s="31">
        <v>0.93059999999999998</v>
      </c>
      <c r="E175" s="31">
        <v>0.96</v>
      </c>
      <c r="F175" s="31">
        <v>0.93059999999999998</v>
      </c>
      <c r="G175" s="31">
        <v>0.93059999999999998</v>
      </c>
      <c r="H175" s="32">
        <v>0.93059999999999998</v>
      </c>
      <c r="J175" s="25">
        <f t="shared" si="7"/>
        <v>41395</v>
      </c>
      <c r="K175" s="26">
        <f t="shared" si="8"/>
        <v>173</v>
      </c>
    </row>
    <row r="176" spans="1:11" x14ac:dyDescent="0.25">
      <c r="A176" s="195">
        <v>41426</v>
      </c>
      <c r="B176" s="31">
        <f t="shared" si="6"/>
        <v>0.93059999999999998</v>
      </c>
      <c r="C176" s="31">
        <v>0.93059999999999998</v>
      </c>
      <c r="D176" s="31">
        <v>0.93059999999999998</v>
      </c>
      <c r="E176" s="31">
        <v>0.96</v>
      </c>
      <c r="F176" s="31">
        <v>0.93059999999999998</v>
      </c>
      <c r="G176" s="31">
        <v>0.93059999999999998</v>
      </c>
      <c r="H176" s="32">
        <v>0.93059999999999998</v>
      </c>
      <c r="J176" s="25">
        <f t="shared" si="7"/>
        <v>41426</v>
      </c>
      <c r="K176" s="26">
        <f t="shared" si="8"/>
        <v>174</v>
      </c>
    </row>
    <row r="177" spans="1:11" x14ac:dyDescent="0.25">
      <c r="A177" s="195">
        <v>41456</v>
      </c>
      <c r="B177" s="31">
        <f t="shared" si="6"/>
        <v>0.93059999999999998</v>
      </c>
      <c r="C177" s="31">
        <v>0.93059999999999998</v>
      </c>
      <c r="D177" s="31">
        <v>0.93059999999999998</v>
      </c>
      <c r="E177" s="31">
        <v>0.96</v>
      </c>
      <c r="F177" s="31">
        <v>0.93059999999999998</v>
      </c>
      <c r="G177" s="31">
        <v>0.93059999999999998</v>
      </c>
      <c r="H177" s="32">
        <v>0.93059999999999998</v>
      </c>
      <c r="J177" s="25">
        <f t="shared" si="7"/>
        <v>41456</v>
      </c>
      <c r="K177" s="26">
        <f t="shared" si="8"/>
        <v>175</v>
      </c>
    </row>
    <row r="178" spans="1:11" x14ac:dyDescent="0.25">
      <c r="A178" s="195">
        <v>41487</v>
      </c>
      <c r="B178" s="31">
        <f t="shared" si="6"/>
        <v>0.93059999999999998</v>
      </c>
      <c r="C178" s="31">
        <v>0.93059999999999998</v>
      </c>
      <c r="D178" s="31">
        <v>0.93059999999999998</v>
      </c>
      <c r="E178" s="31">
        <v>0.96</v>
      </c>
      <c r="F178" s="31">
        <v>0.93059999999999998</v>
      </c>
      <c r="G178" s="31">
        <v>0.93059999999999998</v>
      </c>
      <c r="H178" s="32">
        <v>0.93059999999999998</v>
      </c>
      <c r="J178" s="25">
        <f t="shared" si="7"/>
        <v>41487</v>
      </c>
      <c r="K178" s="26">
        <f t="shared" si="8"/>
        <v>176</v>
      </c>
    </row>
    <row r="179" spans="1:11" x14ac:dyDescent="0.25">
      <c r="A179" s="195">
        <v>41518</v>
      </c>
      <c r="B179" s="31">
        <f t="shared" si="6"/>
        <v>0.93059999999999998</v>
      </c>
      <c r="C179" s="31">
        <v>0.93059999999999998</v>
      </c>
      <c r="D179" s="31">
        <v>0.93059999999999998</v>
      </c>
      <c r="E179" s="31">
        <v>0.96</v>
      </c>
      <c r="F179" s="31">
        <v>0.93059999999999998</v>
      </c>
      <c r="G179" s="31">
        <v>0.93059999999999998</v>
      </c>
      <c r="H179" s="32">
        <v>0.93059999999999998</v>
      </c>
      <c r="J179" s="25">
        <f t="shared" si="7"/>
        <v>41518</v>
      </c>
      <c r="K179" s="26">
        <f t="shared" si="8"/>
        <v>177</v>
      </c>
    </row>
    <row r="180" spans="1:11" x14ac:dyDescent="0.25">
      <c r="A180" s="195">
        <v>41548</v>
      </c>
      <c r="B180" s="31">
        <f t="shared" si="6"/>
        <v>0.93059999999999998</v>
      </c>
      <c r="C180" s="31">
        <v>0.93059999999999998</v>
      </c>
      <c r="D180" s="31">
        <v>0.93059999999999998</v>
      </c>
      <c r="E180" s="31">
        <v>0.96</v>
      </c>
      <c r="F180" s="31">
        <v>0.93059999999999998</v>
      </c>
      <c r="G180" s="31">
        <v>0.93059999999999998</v>
      </c>
      <c r="H180" s="32">
        <v>0.93059999999999998</v>
      </c>
      <c r="J180" s="25">
        <f t="shared" si="7"/>
        <v>41548</v>
      </c>
      <c r="K180" s="26">
        <f t="shared" si="8"/>
        <v>178</v>
      </c>
    </row>
    <row r="181" spans="1:11" x14ac:dyDescent="0.25">
      <c r="A181" s="195">
        <v>41579</v>
      </c>
      <c r="B181" s="31">
        <f t="shared" si="6"/>
        <v>0.93059999999999998</v>
      </c>
      <c r="C181" s="31">
        <v>0.93059999999999998</v>
      </c>
      <c r="D181" s="31">
        <v>0.93059999999999998</v>
      </c>
      <c r="E181" s="31">
        <v>0.96</v>
      </c>
      <c r="F181" s="31">
        <v>0.93059999999999998</v>
      </c>
      <c r="G181" s="31">
        <v>0.93059999999999998</v>
      </c>
      <c r="H181" s="32">
        <v>0.93059999999999998</v>
      </c>
      <c r="J181" s="25">
        <f t="shared" si="7"/>
        <v>41579</v>
      </c>
      <c r="K181" s="26">
        <f t="shared" si="8"/>
        <v>179</v>
      </c>
    </row>
    <row r="182" spans="1:11" x14ac:dyDescent="0.25">
      <c r="A182" s="195">
        <v>41609</v>
      </c>
      <c r="B182" s="31">
        <f t="shared" si="6"/>
        <v>0.93059999999999998</v>
      </c>
      <c r="C182" s="31">
        <v>0.93059999999999998</v>
      </c>
      <c r="D182" s="31">
        <v>0.93059999999999998</v>
      </c>
      <c r="E182" s="31">
        <v>0.96</v>
      </c>
      <c r="F182" s="31">
        <v>0.93059999999999998</v>
      </c>
      <c r="G182" s="31">
        <v>0.93059999999999998</v>
      </c>
      <c r="H182" s="32">
        <v>0.93059999999999998</v>
      </c>
      <c r="J182" s="25">
        <f t="shared" si="7"/>
        <v>41609</v>
      </c>
      <c r="K182" s="26">
        <f t="shared" si="8"/>
        <v>180</v>
      </c>
    </row>
    <row r="183" spans="1:11" x14ac:dyDescent="0.25">
      <c r="A183" s="195">
        <v>41640</v>
      </c>
      <c r="B183" s="31">
        <f t="shared" si="6"/>
        <v>0.93059999999999998</v>
      </c>
      <c r="C183" s="31">
        <v>0.93059999999999998</v>
      </c>
      <c r="D183" s="31">
        <v>0.93059999999999998</v>
      </c>
      <c r="E183" s="31">
        <v>0.96</v>
      </c>
      <c r="F183" s="31">
        <v>0.93059999999999998</v>
      </c>
      <c r="G183" s="31">
        <v>0.93059999999999998</v>
      </c>
      <c r="H183" s="32">
        <v>0.93059999999999998</v>
      </c>
      <c r="J183" s="25">
        <f t="shared" si="7"/>
        <v>41640</v>
      </c>
      <c r="K183" s="26">
        <f t="shared" si="8"/>
        <v>181</v>
      </c>
    </row>
    <row r="184" spans="1:11" x14ac:dyDescent="0.25">
      <c r="A184" s="195">
        <v>41671</v>
      </c>
      <c r="B184" s="31">
        <f t="shared" si="6"/>
        <v>0.93059999999999998</v>
      </c>
      <c r="C184" s="31">
        <v>0.93059999999999998</v>
      </c>
      <c r="D184" s="31">
        <v>0.93059999999999998</v>
      </c>
      <c r="E184" s="31">
        <v>0.96</v>
      </c>
      <c r="F184" s="31">
        <v>0.93059999999999998</v>
      </c>
      <c r="G184" s="31">
        <v>0.93059999999999998</v>
      </c>
      <c r="H184" s="32">
        <v>0.93059999999999998</v>
      </c>
      <c r="J184" s="25">
        <f t="shared" si="7"/>
        <v>41671</v>
      </c>
      <c r="K184" s="26">
        <f t="shared" si="8"/>
        <v>182</v>
      </c>
    </row>
    <row r="185" spans="1:11" x14ac:dyDescent="0.25">
      <c r="A185" s="195">
        <v>41699</v>
      </c>
      <c r="B185" s="31">
        <f t="shared" si="6"/>
        <v>0.93059999999999998</v>
      </c>
      <c r="C185" s="31">
        <v>0.93059999999999998</v>
      </c>
      <c r="D185" s="31">
        <v>0.93059999999999998</v>
      </c>
      <c r="E185" s="31">
        <v>0.96</v>
      </c>
      <c r="F185" s="31">
        <v>0.93059999999999998</v>
      </c>
      <c r="G185" s="31">
        <v>0.93059999999999998</v>
      </c>
      <c r="H185" s="32">
        <v>0.93059999999999998</v>
      </c>
      <c r="J185" s="25">
        <f t="shared" si="7"/>
        <v>41699</v>
      </c>
      <c r="K185" s="26">
        <f t="shared" si="8"/>
        <v>183</v>
      </c>
    </row>
    <row r="186" spans="1:11" x14ac:dyDescent="0.25">
      <c r="A186" s="195">
        <v>41730</v>
      </c>
      <c r="B186" s="31">
        <f t="shared" si="6"/>
        <v>0.93059999999999998</v>
      </c>
      <c r="C186" s="31">
        <v>0.93059999999999998</v>
      </c>
      <c r="D186" s="31">
        <v>0.93059999999999998</v>
      </c>
      <c r="E186" s="31">
        <v>0.96</v>
      </c>
      <c r="F186" s="31">
        <v>0.93059999999999998</v>
      </c>
      <c r="G186" s="31">
        <v>0.93059999999999998</v>
      </c>
      <c r="H186" s="32">
        <v>0.93059999999999998</v>
      </c>
      <c r="J186" s="25">
        <f t="shared" si="7"/>
        <v>41730</v>
      </c>
      <c r="K186" s="26">
        <f t="shared" si="8"/>
        <v>184</v>
      </c>
    </row>
    <row r="187" spans="1:11" x14ac:dyDescent="0.25">
      <c r="A187" s="195">
        <v>41760</v>
      </c>
      <c r="B187" s="31">
        <f t="shared" si="6"/>
        <v>0.93059999999999998</v>
      </c>
      <c r="C187" s="31">
        <v>0.93059999999999998</v>
      </c>
      <c r="D187" s="31">
        <v>0.93059999999999998</v>
      </c>
      <c r="E187" s="31">
        <v>0.96</v>
      </c>
      <c r="F187" s="31">
        <v>0.93059999999999998</v>
      </c>
      <c r="G187" s="31">
        <v>0.93059999999999998</v>
      </c>
      <c r="H187" s="32">
        <v>0.93059999999999998</v>
      </c>
      <c r="J187" s="25">
        <f t="shared" si="7"/>
        <v>41760</v>
      </c>
      <c r="K187" s="26">
        <f t="shared" si="8"/>
        <v>185</v>
      </c>
    </row>
    <row r="188" spans="1:11" x14ac:dyDescent="0.25">
      <c r="A188" s="195">
        <v>41791</v>
      </c>
      <c r="B188" s="31">
        <f t="shared" si="6"/>
        <v>0.93059999999999998</v>
      </c>
      <c r="C188" s="31">
        <v>0.93059999999999998</v>
      </c>
      <c r="D188" s="31">
        <v>0.93059999999999998</v>
      </c>
      <c r="E188" s="31">
        <v>0.96</v>
      </c>
      <c r="F188" s="31">
        <v>0.93059999999999998</v>
      </c>
      <c r="G188" s="31">
        <v>0.93059999999999998</v>
      </c>
      <c r="H188" s="32">
        <v>0.93059999999999998</v>
      </c>
      <c r="J188" s="25">
        <f t="shared" si="7"/>
        <v>41791</v>
      </c>
      <c r="K188" s="26">
        <f t="shared" si="8"/>
        <v>186</v>
      </c>
    </row>
    <row r="189" spans="1:11" x14ac:dyDescent="0.25">
      <c r="A189" s="195">
        <v>41821</v>
      </c>
      <c r="B189" s="31">
        <f t="shared" si="6"/>
        <v>0.93059999999999998</v>
      </c>
      <c r="C189" s="31">
        <v>0.93059999999999998</v>
      </c>
      <c r="D189" s="31">
        <v>0.93059999999999998</v>
      </c>
      <c r="E189" s="31">
        <v>0.96</v>
      </c>
      <c r="F189" s="31">
        <v>0.93059999999999998</v>
      </c>
      <c r="G189" s="31">
        <v>0.93059999999999998</v>
      </c>
      <c r="H189" s="32">
        <v>0.93059999999999998</v>
      </c>
      <c r="J189" s="25">
        <f t="shared" si="7"/>
        <v>41821</v>
      </c>
      <c r="K189" s="26">
        <f t="shared" si="8"/>
        <v>187</v>
      </c>
    </row>
    <row r="190" spans="1:11" x14ac:dyDescent="0.25">
      <c r="A190" s="195">
        <v>41852</v>
      </c>
      <c r="B190" s="31">
        <f t="shared" si="6"/>
        <v>0.93059999999999998</v>
      </c>
      <c r="C190" s="31">
        <v>0.93059999999999998</v>
      </c>
      <c r="D190" s="31">
        <v>0.93059999999999998</v>
      </c>
      <c r="E190" s="31">
        <v>0.96</v>
      </c>
      <c r="F190" s="31">
        <v>0.93059999999999998</v>
      </c>
      <c r="G190" s="31">
        <v>0.93059999999999998</v>
      </c>
      <c r="H190" s="32">
        <v>0.93059999999999998</v>
      </c>
      <c r="J190" s="25">
        <f t="shared" si="7"/>
        <v>41852</v>
      </c>
      <c r="K190" s="26">
        <f t="shared" si="8"/>
        <v>188</v>
      </c>
    </row>
    <row r="191" spans="1:11" x14ac:dyDescent="0.25">
      <c r="A191" s="195">
        <v>41883</v>
      </c>
      <c r="B191" s="31">
        <f t="shared" si="6"/>
        <v>0.93059999999999998</v>
      </c>
      <c r="C191" s="31">
        <v>0.93059999999999998</v>
      </c>
      <c r="D191" s="31">
        <v>0.93059999999999998</v>
      </c>
      <c r="E191" s="31">
        <v>0.96</v>
      </c>
      <c r="F191" s="31">
        <v>0.93059999999999998</v>
      </c>
      <c r="G191" s="31">
        <v>0.93059999999999998</v>
      </c>
      <c r="H191" s="32">
        <v>0.93059999999999998</v>
      </c>
      <c r="J191" s="25">
        <f t="shared" si="7"/>
        <v>41883</v>
      </c>
      <c r="K191" s="26">
        <f t="shared" si="8"/>
        <v>189</v>
      </c>
    </row>
    <row r="192" spans="1:11" x14ac:dyDescent="0.25">
      <c r="A192" s="195">
        <v>41913</v>
      </c>
      <c r="B192" s="31">
        <f t="shared" si="6"/>
        <v>0.93059999999999998</v>
      </c>
      <c r="C192" s="31">
        <v>0.93059999999999998</v>
      </c>
      <c r="D192" s="31">
        <v>0.93059999999999998</v>
      </c>
      <c r="E192" s="31">
        <v>0.96</v>
      </c>
      <c r="F192" s="31">
        <v>0.93059999999999998</v>
      </c>
      <c r="G192" s="31">
        <v>0.93059999999999998</v>
      </c>
      <c r="H192" s="32">
        <v>0.93059999999999998</v>
      </c>
      <c r="J192" s="25">
        <f t="shared" si="7"/>
        <v>41913</v>
      </c>
      <c r="K192" s="26">
        <f t="shared" si="8"/>
        <v>190</v>
      </c>
    </row>
    <row r="193" spans="1:11" x14ac:dyDescent="0.25">
      <c r="A193" s="195">
        <v>41944</v>
      </c>
      <c r="B193" s="31">
        <f t="shared" si="6"/>
        <v>0.93059999999999998</v>
      </c>
      <c r="C193" s="31">
        <v>0.93059999999999998</v>
      </c>
      <c r="D193" s="31">
        <v>0.93059999999999998</v>
      </c>
      <c r="E193" s="31">
        <v>0.96</v>
      </c>
      <c r="F193" s="31">
        <v>0.93059999999999998</v>
      </c>
      <c r="G193" s="31">
        <v>0.93059999999999998</v>
      </c>
      <c r="H193" s="32">
        <v>0.93059999999999998</v>
      </c>
      <c r="J193" s="25">
        <f t="shared" si="7"/>
        <v>41944</v>
      </c>
      <c r="K193" s="26">
        <f t="shared" si="8"/>
        <v>191</v>
      </c>
    </row>
    <row r="194" spans="1:11" x14ac:dyDescent="0.25">
      <c r="A194" s="195">
        <v>41974</v>
      </c>
      <c r="B194" s="31">
        <f t="shared" si="6"/>
        <v>0.93059999999999998</v>
      </c>
      <c r="C194" s="31">
        <v>0.93059999999999998</v>
      </c>
      <c r="D194" s="31">
        <v>0.93059999999999998</v>
      </c>
      <c r="E194" s="31">
        <v>0.96</v>
      </c>
      <c r="F194" s="31">
        <v>0.93059999999999998</v>
      </c>
      <c r="G194" s="31">
        <v>0.93059999999999998</v>
      </c>
      <c r="H194" s="32">
        <v>0.93059999999999998</v>
      </c>
      <c r="J194" s="25">
        <f t="shared" si="7"/>
        <v>41974</v>
      </c>
      <c r="K194" s="26">
        <f t="shared" si="8"/>
        <v>192</v>
      </c>
    </row>
    <row r="195" spans="1:11" x14ac:dyDescent="0.25">
      <c r="A195" s="195">
        <v>42005</v>
      </c>
      <c r="B195" s="31">
        <f t="shared" si="6"/>
        <v>0.93059999999999998</v>
      </c>
      <c r="C195" s="31">
        <v>0.93059999999999998</v>
      </c>
      <c r="D195" s="31">
        <v>0.93059999999999998</v>
      </c>
      <c r="E195" s="31">
        <v>0.96</v>
      </c>
      <c r="F195" s="31">
        <v>0.93059999999999998</v>
      </c>
      <c r="G195" s="31">
        <v>0.93059999999999998</v>
      </c>
      <c r="H195" s="32">
        <v>0.93059999999999998</v>
      </c>
      <c r="J195" s="25">
        <f t="shared" si="7"/>
        <v>42005</v>
      </c>
      <c r="K195" s="26">
        <f t="shared" si="8"/>
        <v>193</v>
      </c>
    </row>
    <row r="196" spans="1:11" x14ac:dyDescent="0.25">
      <c r="A196" s="195">
        <v>42036</v>
      </c>
      <c r="B196" s="31">
        <f t="shared" si="6"/>
        <v>0.93059999999999998</v>
      </c>
      <c r="C196" s="31">
        <v>0.93059999999999998</v>
      </c>
      <c r="D196" s="31">
        <v>0.93059999999999998</v>
      </c>
      <c r="E196" s="31">
        <v>0.96</v>
      </c>
      <c r="F196" s="31">
        <v>0.93059999999999998</v>
      </c>
      <c r="G196" s="31">
        <v>0.93059999999999998</v>
      </c>
      <c r="H196" s="32">
        <v>0.93059999999999998</v>
      </c>
      <c r="J196" s="25">
        <f t="shared" si="7"/>
        <v>42036</v>
      </c>
      <c r="K196" s="26">
        <f t="shared" si="8"/>
        <v>194</v>
      </c>
    </row>
    <row r="197" spans="1:11" x14ac:dyDescent="0.25">
      <c r="A197" s="195">
        <v>42064</v>
      </c>
      <c r="B197" s="31">
        <f t="shared" ref="B197:B229" si="9">C197</f>
        <v>0.93059999999999998</v>
      </c>
      <c r="C197" s="31">
        <v>0.93059999999999998</v>
      </c>
      <c r="D197" s="31">
        <v>0.93059999999999998</v>
      </c>
      <c r="E197" s="31">
        <v>0.96</v>
      </c>
      <c r="F197" s="31">
        <v>0.93059999999999998</v>
      </c>
      <c r="G197" s="31">
        <v>0.93059999999999998</v>
      </c>
      <c r="H197" s="32">
        <v>0.93059999999999998</v>
      </c>
      <c r="J197" s="25">
        <f t="shared" ref="J197:J229" si="10">A197</f>
        <v>42064</v>
      </c>
      <c r="K197" s="26">
        <f t="shared" si="8"/>
        <v>195</v>
      </c>
    </row>
    <row r="198" spans="1:11" x14ac:dyDescent="0.25">
      <c r="A198" s="195">
        <v>42095</v>
      </c>
      <c r="B198" s="31">
        <f t="shared" si="9"/>
        <v>0.93059999999999998</v>
      </c>
      <c r="C198" s="31">
        <v>0.93059999999999998</v>
      </c>
      <c r="D198" s="31">
        <v>0.93059999999999998</v>
      </c>
      <c r="E198" s="31">
        <v>0.96</v>
      </c>
      <c r="F198" s="31">
        <v>0.93059999999999998</v>
      </c>
      <c r="G198" s="31">
        <v>0.93059999999999998</v>
      </c>
      <c r="H198" s="32">
        <v>0.93059999999999998</v>
      </c>
      <c r="J198" s="25">
        <f t="shared" si="10"/>
        <v>42095</v>
      </c>
      <c r="K198" s="26">
        <f t="shared" ref="K198:K229" si="11">K197+1</f>
        <v>196</v>
      </c>
    </row>
    <row r="199" spans="1:11" x14ac:dyDescent="0.25">
      <c r="A199" s="195">
        <v>42125</v>
      </c>
      <c r="B199" s="31">
        <f t="shared" si="9"/>
        <v>0.93059999999999998</v>
      </c>
      <c r="C199" s="31">
        <v>0.93059999999999998</v>
      </c>
      <c r="D199" s="31">
        <v>0.93059999999999998</v>
      </c>
      <c r="E199" s="31">
        <v>0.96</v>
      </c>
      <c r="F199" s="31">
        <v>0.93059999999999998</v>
      </c>
      <c r="G199" s="31">
        <v>0.93059999999999998</v>
      </c>
      <c r="H199" s="32">
        <v>0.93059999999999998</v>
      </c>
      <c r="J199" s="25">
        <f t="shared" si="10"/>
        <v>42125</v>
      </c>
      <c r="K199" s="26">
        <f t="shared" si="11"/>
        <v>197</v>
      </c>
    </row>
    <row r="200" spans="1:11" x14ac:dyDescent="0.25">
      <c r="A200" s="195">
        <v>42156</v>
      </c>
      <c r="B200" s="31">
        <f t="shared" si="9"/>
        <v>0.93059999999999998</v>
      </c>
      <c r="C200" s="31">
        <v>0.93059999999999998</v>
      </c>
      <c r="D200" s="31">
        <v>0.93059999999999998</v>
      </c>
      <c r="E200" s="31">
        <v>0.96</v>
      </c>
      <c r="F200" s="31">
        <v>0.93059999999999998</v>
      </c>
      <c r="G200" s="31">
        <v>0.93059999999999998</v>
      </c>
      <c r="H200" s="32">
        <v>0.93059999999999998</v>
      </c>
      <c r="J200" s="25">
        <f t="shared" si="10"/>
        <v>42156</v>
      </c>
      <c r="K200" s="26">
        <f t="shared" si="11"/>
        <v>198</v>
      </c>
    </row>
    <row r="201" spans="1:11" x14ac:dyDescent="0.25">
      <c r="A201" s="195">
        <v>42186</v>
      </c>
      <c r="B201" s="31">
        <f t="shared" si="9"/>
        <v>0.93059999999999998</v>
      </c>
      <c r="C201" s="31">
        <v>0.93059999999999998</v>
      </c>
      <c r="D201" s="31">
        <v>0.93059999999999998</v>
      </c>
      <c r="E201" s="31">
        <v>0.96</v>
      </c>
      <c r="F201" s="31">
        <v>0.93059999999999998</v>
      </c>
      <c r="G201" s="31">
        <v>0.93059999999999998</v>
      </c>
      <c r="H201" s="32">
        <v>0.93059999999999998</v>
      </c>
      <c r="J201" s="25">
        <f t="shared" si="10"/>
        <v>42186</v>
      </c>
      <c r="K201" s="26">
        <f t="shared" si="11"/>
        <v>199</v>
      </c>
    </row>
    <row r="202" spans="1:11" x14ac:dyDescent="0.25">
      <c r="A202" s="195">
        <v>42217</v>
      </c>
      <c r="B202" s="31">
        <f t="shared" si="9"/>
        <v>0.93059999999999998</v>
      </c>
      <c r="C202" s="31">
        <v>0.93059999999999998</v>
      </c>
      <c r="D202" s="31">
        <v>0.93059999999999998</v>
      </c>
      <c r="E202" s="31">
        <v>0.96</v>
      </c>
      <c r="F202" s="31">
        <v>0.93059999999999998</v>
      </c>
      <c r="G202" s="31">
        <v>0.93059999999999998</v>
      </c>
      <c r="H202" s="32">
        <v>0.93059999999999998</v>
      </c>
      <c r="J202" s="25">
        <f t="shared" si="10"/>
        <v>42217</v>
      </c>
      <c r="K202" s="26">
        <f t="shared" si="11"/>
        <v>200</v>
      </c>
    </row>
    <row r="203" spans="1:11" x14ac:dyDescent="0.25">
      <c r="A203" s="195">
        <v>42248</v>
      </c>
      <c r="B203" s="31">
        <f t="shared" si="9"/>
        <v>0.93059999999999998</v>
      </c>
      <c r="C203" s="31">
        <v>0.93059999999999998</v>
      </c>
      <c r="D203" s="31">
        <v>0.93059999999999998</v>
      </c>
      <c r="E203" s="31">
        <v>0.96</v>
      </c>
      <c r="F203" s="31">
        <v>0.93059999999999998</v>
      </c>
      <c r="G203" s="31">
        <v>0.93059999999999998</v>
      </c>
      <c r="H203" s="32">
        <v>0.93059999999999998</v>
      </c>
      <c r="J203" s="25">
        <f t="shared" si="10"/>
        <v>42248</v>
      </c>
      <c r="K203" s="26">
        <f t="shared" si="11"/>
        <v>201</v>
      </c>
    </row>
    <row r="204" spans="1:11" x14ac:dyDescent="0.25">
      <c r="A204" s="195">
        <v>42278</v>
      </c>
      <c r="B204" s="31">
        <f t="shared" si="9"/>
        <v>0.93059999999999998</v>
      </c>
      <c r="C204" s="31">
        <v>0.93059999999999998</v>
      </c>
      <c r="D204" s="31">
        <v>0.93059999999999998</v>
      </c>
      <c r="E204" s="31">
        <v>0.96</v>
      </c>
      <c r="F204" s="31">
        <v>0.93059999999999998</v>
      </c>
      <c r="G204" s="31">
        <v>0.93059999999999998</v>
      </c>
      <c r="H204" s="32">
        <v>0.93059999999999998</v>
      </c>
      <c r="J204" s="25">
        <f t="shared" si="10"/>
        <v>42278</v>
      </c>
      <c r="K204" s="26">
        <f t="shared" si="11"/>
        <v>202</v>
      </c>
    </row>
    <row r="205" spans="1:11" x14ac:dyDescent="0.25">
      <c r="A205" s="195">
        <v>42309</v>
      </c>
      <c r="B205" s="31">
        <f t="shared" si="9"/>
        <v>0.93059999999999998</v>
      </c>
      <c r="C205" s="31">
        <v>0.93059999999999998</v>
      </c>
      <c r="D205" s="31">
        <v>0.93059999999999998</v>
      </c>
      <c r="E205" s="31">
        <v>0.96</v>
      </c>
      <c r="F205" s="31">
        <v>0.93059999999999998</v>
      </c>
      <c r="G205" s="31">
        <v>0.93059999999999998</v>
      </c>
      <c r="H205" s="32">
        <v>0.93059999999999998</v>
      </c>
      <c r="J205" s="25">
        <f t="shared" si="10"/>
        <v>42309</v>
      </c>
      <c r="K205" s="26">
        <f t="shared" si="11"/>
        <v>203</v>
      </c>
    </row>
    <row r="206" spans="1:11" x14ac:dyDescent="0.25">
      <c r="A206" s="195">
        <v>42339</v>
      </c>
      <c r="B206" s="31">
        <f t="shared" si="9"/>
        <v>0.93059999999999998</v>
      </c>
      <c r="C206" s="31">
        <v>0.93059999999999998</v>
      </c>
      <c r="D206" s="31">
        <v>0.93059999999999998</v>
      </c>
      <c r="E206" s="31">
        <v>0.96</v>
      </c>
      <c r="F206" s="31">
        <v>0.93059999999999998</v>
      </c>
      <c r="G206" s="31">
        <v>0.93059999999999998</v>
      </c>
      <c r="H206" s="32">
        <v>0.93059999999999998</v>
      </c>
      <c r="J206" s="25">
        <f t="shared" si="10"/>
        <v>42339</v>
      </c>
      <c r="K206" s="26">
        <f t="shared" si="11"/>
        <v>204</v>
      </c>
    </row>
    <row r="207" spans="1:11" x14ac:dyDescent="0.25">
      <c r="A207" s="195">
        <v>42370</v>
      </c>
      <c r="B207" s="31">
        <f t="shared" si="9"/>
        <v>0.93059999999999998</v>
      </c>
      <c r="C207" s="31">
        <v>0.93059999999999998</v>
      </c>
      <c r="D207" s="31">
        <v>0.93059999999999998</v>
      </c>
      <c r="E207" s="31">
        <v>0.96</v>
      </c>
      <c r="F207" s="31">
        <v>0.93059999999999998</v>
      </c>
      <c r="G207" s="31">
        <v>0.93059999999999998</v>
      </c>
      <c r="H207" s="32">
        <v>0.93059999999999998</v>
      </c>
      <c r="J207" s="25">
        <f t="shared" si="10"/>
        <v>42370</v>
      </c>
      <c r="K207" s="26">
        <f t="shared" si="11"/>
        <v>205</v>
      </c>
    </row>
    <row r="208" spans="1:11" x14ac:dyDescent="0.25">
      <c r="A208" s="195">
        <v>42401</v>
      </c>
      <c r="B208" s="31">
        <f t="shared" si="9"/>
        <v>0.93059999999999998</v>
      </c>
      <c r="C208" s="31">
        <v>0.93059999999999998</v>
      </c>
      <c r="D208" s="31">
        <v>0.93059999999999998</v>
      </c>
      <c r="E208" s="31">
        <v>0.96</v>
      </c>
      <c r="F208" s="31">
        <v>0.93059999999999998</v>
      </c>
      <c r="G208" s="31">
        <v>0.93059999999999998</v>
      </c>
      <c r="H208" s="32">
        <v>0.93059999999999998</v>
      </c>
      <c r="J208" s="25">
        <f t="shared" si="10"/>
        <v>42401</v>
      </c>
      <c r="K208" s="26">
        <f t="shared" si="11"/>
        <v>206</v>
      </c>
    </row>
    <row r="209" spans="1:11" x14ac:dyDescent="0.25">
      <c r="A209" s="195">
        <v>42430</v>
      </c>
      <c r="B209" s="31">
        <f t="shared" si="9"/>
        <v>0.93059999999999998</v>
      </c>
      <c r="C209" s="31">
        <v>0.93059999999999998</v>
      </c>
      <c r="D209" s="31">
        <v>0.93059999999999998</v>
      </c>
      <c r="E209" s="31">
        <v>0.96</v>
      </c>
      <c r="F209" s="31">
        <v>0.93059999999999998</v>
      </c>
      <c r="G209" s="31">
        <v>0.93059999999999998</v>
      </c>
      <c r="H209" s="32">
        <v>0.93059999999999998</v>
      </c>
      <c r="J209" s="25">
        <f t="shared" si="10"/>
        <v>42430</v>
      </c>
      <c r="K209" s="26">
        <f t="shared" si="11"/>
        <v>207</v>
      </c>
    </row>
    <row r="210" spans="1:11" x14ac:dyDescent="0.25">
      <c r="A210" s="195">
        <v>42461</v>
      </c>
      <c r="B210" s="31">
        <f t="shared" si="9"/>
        <v>0.93059999999999998</v>
      </c>
      <c r="C210" s="31">
        <v>0.93059999999999998</v>
      </c>
      <c r="D210" s="31">
        <v>0.93059999999999998</v>
      </c>
      <c r="E210" s="31">
        <v>0.96</v>
      </c>
      <c r="F210" s="31">
        <v>0.93059999999999998</v>
      </c>
      <c r="G210" s="31">
        <v>0.93059999999999998</v>
      </c>
      <c r="H210" s="32">
        <v>0.93059999999999998</v>
      </c>
      <c r="J210" s="25">
        <f t="shared" si="10"/>
        <v>42461</v>
      </c>
      <c r="K210" s="26">
        <f t="shared" si="11"/>
        <v>208</v>
      </c>
    </row>
    <row r="211" spans="1:11" x14ac:dyDescent="0.25">
      <c r="A211" s="195">
        <v>42491</v>
      </c>
      <c r="B211" s="31">
        <f t="shared" si="9"/>
        <v>0.93059999999999998</v>
      </c>
      <c r="C211" s="31">
        <v>0.93059999999999998</v>
      </c>
      <c r="D211" s="31">
        <v>0.93059999999999998</v>
      </c>
      <c r="E211" s="31">
        <v>0.96</v>
      </c>
      <c r="F211" s="31">
        <v>0.93059999999999998</v>
      </c>
      <c r="G211" s="31">
        <v>0.93059999999999998</v>
      </c>
      <c r="H211" s="32">
        <v>0.93059999999999998</v>
      </c>
      <c r="J211" s="25">
        <f t="shared" si="10"/>
        <v>42491</v>
      </c>
      <c r="K211" s="26">
        <f t="shared" si="11"/>
        <v>209</v>
      </c>
    </row>
    <row r="212" spans="1:11" x14ac:dyDescent="0.25">
      <c r="A212" s="195">
        <v>42522</v>
      </c>
      <c r="B212" s="31">
        <f t="shared" si="9"/>
        <v>0.93059999999999998</v>
      </c>
      <c r="C212" s="31">
        <v>0.93059999999999998</v>
      </c>
      <c r="D212" s="31">
        <v>0.93059999999999998</v>
      </c>
      <c r="E212" s="31">
        <v>0.96</v>
      </c>
      <c r="F212" s="31">
        <v>0.93059999999999998</v>
      </c>
      <c r="G212" s="31">
        <v>0.93059999999999998</v>
      </c>
      <c r="H212" s="32">
        <v>0.93059999999999998</v>
      </c>
      <c r="J212" s="25">
        <f t="shared" si="10"/>
        <v>42522</v>
      </c>
      <c r="K212" s="26">
        <f t="shared" si="11"/>
        <v>210</v>
      </c>
    </row>
    <row r="213" spans="1:11" x14ac:dyDescent="0.25">
      <c r="A213" s="195">
        <v>42552</v>
      </c>
      <c r="B213" s="31">
        <f t="shared" si="9"/>
        <v>0.93059999999999998</v>
      </c>
      <c r="C213" s="31">
        <v>0.93059999999999998</v>
      </c>
      <c r="D213" s="31">
        <v>0.93059999999999998</v>
      </c>
      <c r="E213" s="31">
        <v>0.96</v>
      </c>
      <c r="F213" s="31">
        <v>0.93059999999999998</v>
      </c>
      <c r="G213" s="31">
        <v>0.93059999999999998</v>
      </c>
      <c r="H213" s="32">
        <v>0.93059999999999998</v>
      </c>
      <c r="J213" s="25">
        <f t="shared" si="10"/>
        <v>42552</v>
      </c>
      <c r="K213" s="26">
        <f t="shared" si="11"/>
        <v>211</v>
      </c>
    </row>
    <row r="214" spans="1:11" x14ac:dyDescent="0.25">
      <c r="A214" s="195">
        <v>42583</v>
      </c>
      <c r="B214" s="31">
        <f t="shared" si="9"/>
        <v>0.93059999999999998</v>
      </c>
      <c r="C214" s="31">
        <v>0.93059999999999998</v>
      </c>
      <c r="D214" s="31">
        <v>0.93059999999999998</v>
      </c>
      <c r="E214" s="31">
        <v>0.96</v>
      </c>
      <c r="F214" s="31">
        <v>0.93059999999999998</v>
      </c>
      <c r="G214" s="31">
        <v>0.93059999999999998</v>
      </c>
      <c r="H214" s="32">
        <v>0.93059999999999998</v>
      </c>
      <c r="J214" s="25">
        <f t="shared" si="10"/>
        <v>42583</v>
      </c>
      <c r="K214" s="26">
        <f t="shared" si="11"/>
        <v>212</v>
      </c>
    </row>
    <row r="215" spans="1:11" x14ac:dyDescent="0.25">
      <c r="A215" s="195">
        <v>42614</v>
      </c>
      <c r="B215" s="31">
        <f t="shared" si="9"/>
        <v>0.93059999999999998</v>
      </c>
      <c r="C215" s="31">
        <v>0.93059999999999998</v>
      </c>
      <c r="D215" s="31">
        <v>0.93059999999999998</v>
      </c>
      <c r="E215" s="31">
        <v>0.96</v>
      </c>
      <c r="F215" s="31">
        <v>0.93059999999999998</v>
      </c>
      <c r="G215" s="31">
        <v>0.93059999999999998</v>
      </c>
      <c r="H215" s="32">
        <v>0.93059999999999998</v>
      </c>
      <c r="J215" s="25">
        <f t="shared" si="10"/>
        <v>42614</v>
      </c>
      <c r="K215" s="26">
        <f t="shared" si="11"/>
        <v>213</v>
      </c>
    </row>
    <row r="216" spans="1:11" x14ac:dyDescent="0.25">
      <c r="A216" s="195">
        <v>42644</v>
      </c>
      <c r="B216" s="31">
        <f t="shared" si="9"/>
        <v>0.93059999999999998</v>
      </c>
      <c r="C216" s="31">
        <v>0.93059999999999998</v>
      </c>
      <c r="D216" s="31">
        <v>0.93059999999999998</v>
      </c>
      <c r="E216" s="31">
        <v>0.96</v>
      </c>
      <c r="F216" s="31">
        <v>0.93059999999999998</v>
      </c>
      <c r="G216" s="31">
        <v>0.93059999999999998</v>
      </c>
      <c r="H216" s="32">
        <v>0.93059999999999998</v>
      </c>
      <c r="J216" s="25">
        <f t="shared" si="10"/>
        <v>42644</v>
      </c>
      <c r="K216" s="26">
        <f t="shared" si="11"/>
        <v>214</v>
      </c>
    </row>
    <row r="217" spans="1:11" x14ac:dyDescent="0.25">
      <c r="A217" s="195">
        <v>42675</v>
      </c>
      <c r="B217" s="31">
        <f t="shared" si="9"/>
        <v>0.93059999999999998</v>
      </c>
      <c r="C217" s="31">
        <v>0.93059999999999998</v>
      </c>
      <c r="D217" s="31">
        <v>0.93059999999999998</v>
      </c>
      <c r="E217" s="31">
        <v>0.96</v>
      </c>
      <c r="F217" s="31">
        <v>0.93059999999999998</v>
      </c>
      <c r="G217" s="31">
        <v>0.93059999999999998</v>
      </c>
      <c r="H217" s="32">
        <v>0.93059999999999998</v>
      </c>
      <c r="J217" s="25">
        <f t="shared" si="10"/>
        <v>42675</v>
      </c>
      <c r="K217" s="26">
        <f t="shared" si="11"/>
        <v>215</v>
      </c>
    </row>
    <row r="218" spans="1:11" x14ac:dyDescent="0.25">
      <c r="A218" s="195">
        <v>42705</v>
      </c>
      <c r="B218" s="31">
        <f t="shared" si="9"/>
        <v>0.93059999999999998</v>
      </c>
      <c r="C218" s="31">
        <v>0.93059999999999998</v>
      </c>
      <c r="D218" s="31">
        <v>0.93059999999999998</v>
      </c>
      <c r="E218" s="31">
        <v>0.96</v>
      </c>
      <c r="F218" s="31">
        <v>0.93059999999999998</v>
      </c>
      <c r="G218" s="31">
        <v>0.93059999999999998</v>
      </c>
      <c r="H218" s="32">
        <v>0.93059999999999998</v>
      </c>
      <c r="J218" s="25">
        <f t="shared" si="10"/>
        <v>42705</v>
      </c>
      <c r="K218" s="26">
        <f t="shared" si="11"/>
        <v>216</v>
      </c>
    </row>
    <row r="219" spans="1:11" x14ac:dyDescent="0.25">
      <c r="A219" s="195">
        <v>42736</v>
      </c>
      <c r="B219" s="31">
        <f t="shared" si="9"/>
        <v>0.93059999999999998</v>
      </c>
      <c r="C219" s="31">
        <v>0.93059999999999998</v>
      </c>
      <c r="D219" s="31">
        <v>0.93059999999999998</v>
      </c>
      <c r="E219" s="31">
        <v>0.96</v>
      </c>
      <c r="F219" s="31">
        <v>0.93059999999999998</v>
      </c>
      <c r="G219" s="31">
        <v>0.93059999999999998</v>
      </c>
      <c r="H219" s="32">
        <v>0.93059999999999998</v>
      </c>
      <c r="J219" s="25">
        <f t="shared" si="10"/>
        <v>42736</v>
      </c>
      <c r="K219" s="26">
        <f t="shared" si="11"/>
        <v>217</v>
      </c>
    </row>
    <row r="220" spans="1:11" x14ac:dyDescent="0.25">
      <c r="A220" s="195">
        <v>42767</v>
      </c>
      <c r="B220" s="31">
        <f t="shared" si="9"/>
        <v>0.93059999999999998</v>
      </c>
      <c r="C220" s="31">
        <v>0.93059999999999998</v>
      </c>
      <c r="D220" s="31">
        <v>0.93059999999999998</v>
      </c>
      <c r="E220" s="31">
        <v>0.96</v>
      </c>
      <c r="F220" s="31">
        <v>0.93059999999999998</v>
      </c>
      <c r="G220" s="31">
        <v>0.93059999999999998</v>
      </c>
      <c r="H220" s="32">
        <v>0.93059999999999998</v>
      </c>
      <c r="J220" s="25">
        <f t="shared" si="10"/>
        <v>42767</v>
      </c>
      <c r="K220" s="26">
        <f t="shared" si="11"/>
        <v>218</v>
      </c>
    </row>
    <row r="221" spans="1:11" x14ac:dyDescent="0.25">
      <c r="A221" s="195">
        <v>42795</v>
      </c>
      <c r="B221" s="31">
        <f t="shared" si="9"/>
        <v>0.93059999999999998</v>
      </c>
      <c r="C221" s="31">
        <v>0.93059999999999998</v>
      </c>
      <c r="D221" s="31">
        <v>0.93059999999999998</v>
      </c>
      <c r="E221" s="31">
        <v>0.96</v>
      </c>
      <c r="F221" s="31">
        <v>0.93059999999999998</v>
      </c>
      <c r="G221" s="31">
        <v>0.93059999999999998</v>
      </c>
      <c r="H221" s="32">
        <v>0.93059999999999998</v>
      </c>
      <c r="J221" s="25">
        <f t="shared" si="10"/>
        <v>42795</v>
      </c>
      <c r="K221" s="26">
        <f t="shared" si="11"/>
        <v>219</v>
      </c>
    </row>
    <row r="222" spans="1:11" x14ac:dyDescent="0.25">
      <c r="A222" s="195">
        <v>42826</v>
      </c>
      <c r="B222" s="31">
        <f t="shared" si="9"/>
        <v>0.93059999999999998</v>
      </c>
      <c r="C222" s="31">
        <v>0.93059999999999998</v>
      </c>
      <c r="D222" s="31">
        <v>0.93059999999999998</v>
      </c>
      <c r="E222" s="31">
        <v>0.96</v>
      </c>
      <c r="F222" s="31">
        <v>0.93059999999999998</v>
      </c>
      <c r="G222" s="31">
        <v>0.93059999999999998</v>
      </c>
      <c r="H222" s="32">
        <v>0.93059999999999998</v>
      </c>
      <c r="J222" s="25">
        <f t="shared" si="10"/>
        <v>42826</v>
      </c>
      <c r="K222" s="26">
        <f t="shared" si="11"/>
        <v>220</v>
      </c>
    </row>
    <row r="223" spans="1:11" x14ac:dyDescent="0.25">
      <c r="A223" s="195">
        <v>42856</v>
      </c>
      <c r="B223" s="31">
        <f t="shared" si="9"/>
        <v>0.93059999999999998</v>
      </c>
      <c r="C223" s="31">
        <v>0.93059999999999998</v>
      </c>
      <c r="D223" s="31">
        <v>0.93059999999999998</v>
      </c>
      <c r="E223" s="31">
        <v>0.96</v>
      </c>
      <c r="F223" s="31">
        <v>0.93059999999999998</v>
      </c>
      <c r="G223" s="31">
        <v>0.93059999999999998</v>
      </c>
      <c r="H223" s="32">
        <v>0.93059999999999998</v>
      </c>
      <c r="J223" s="25">
        <f t="shared" si="10"/>
        <v>42856</v>
      </c>
      <c r="K223" s="26">
        <f t="shared" si="11"/>
        <v>221</v>
      </c>
    </row>
    <row r="224" spans="1:11" x14ac:dyDescent="0.25">
      <c r="A224" s="195">
        <v>42887</v>
      </c>
      <c r="B224" s="31">
        <f t="shared" si="9"/>
        <v>0.93059999999999998</v>
      </c>
      <c r="C224" s="31">
        <v>0.93059999999999998</v>
      </c>
      <c r="D224" s="31">
        <v>0.93059999999999998</v>
      </c>
      <c r="E224" s="31">
        <v>0.96</v>
      </c>
      <c r="F224" s="31">
        <v>0.93059999999999998</v>
      </c>
      <c r="G224" s="31">
        <v>0.93059999999999998</v>
      </c>
      <c r="H224" s="32">
        <v>0.93059999999999998</v>
      </c>
      <c r="J224" s="25">
        <f t="shared" si="10"/>
        <v>42887</v>
      </c>
      <c r="K224" s="26">
        <f t="shared" si="11"/>
        <v>222</v>
      </c>
    </row>
    <row r="225" spans="1:11" x14ac:dyDescent="0.25">
      <c r="A225" s="195">
        <v>42917</v>
      </c>
      <c r="B225" s="31">
        <f t="shared" si="9"/>
        <v>0.93059999999999998</v>
      </c>
      <c r="C225" s="31">
        <v>0.93059999999999998</v>
      </c>
      <c r="D225" s="31">
        <v>0.93059999999999998</v>
      </c>
      <c r="E225" s="31">
        <v>0.96</v>
      </c>
      <c r="F225" s="31">
        <v>0.93059999999999998</v>
      </c>
      <c r="G225" s="31">
        <v>0.93059999999999998</v>
      </c>
      <c r="H225" s="32">
        <v>0.93059999999999998</v>
      </c>
      <c r="J225" s="25">
        <f t="shared" si="10"/>
        <v>42917</v>
      </c>
      <c r="K225" s="26">
        <f t="shared" si="11"/>
        <v>223</v>
      </c>
    </row>
    <row r="226" spans="1:11" x14ac:dyDescent="0.25">
      <c r="A226" s="195">
        <v>42948</v>
      </c>
      <c r="B226" s="31">
        <f t="shared" si="9"/>
        <v>0.93059999999999998</v>
      </c>
      <c r="C226" s="31">
        <v>0.93059999999999998</v>
      </c>
      <c r="D226" s="31">
        <v>0.93059999999999998</v>
      </c>
      <c r="E226" s="31">
        <v>0.96</v>
      </c>
      <c r="F226" s="31">
        <v>0.93059999999999998</v>
      </c>
      <c r="G226" s="31">
        <v>0.93059999999999998</v>
      </c>
      <c r="H226" s="32">
        <v>0.93059999999999998</v>
      </c>
      <c r="J226" s="25">
        <f t="shared" si="10"/>
        <v>42948</v>
      </c>
      <c r="K226" s="26">
        <f t="shared" si="11"/>
        <v>224</v>
      </c>
    </row>
    <row r="227" spans="1:11" x14ac:dyDescent="0.25">
      <c r="A227" s="195">
        <v>42979</v>
      </c>
      <c r="B227" s="31">
        <f t="shared" si="9"/>
        <v>0.93059999999999998</v>
      </c>
      <c r="C227" s="31">
        <v>0.93059999999999998</v>
      </c>
      <c r="D227" s="31">
        <v>0.93059999999999998</v>
      </c>
      <c r="E227" s="31">
        <v>0.96</v>
      </c>
      <c r="F227" s="31">
        <v>0.93059999999999998</v>
      </c>
      <c r="G227" s="31">
        <v>0.93059999999999998</v>
      </c>
      <c r="H227" s="32">
        <v>0.93059999999999998</v>
      </c>
      <c r="J227" s="25">
        <f t="shared" si="10"/>
        <v>42979</v>
      </c>
      <c r="K227" s="26">
        <f t="shared" si="11"/>
        <v>225</v>
      </c>
    </row>
    <row r="228" spans="1:11" x14ac:dyDescent="0.25">
      <c r="A228" s="195">
        <v>43009</v>
      </c>
      <c r="B228" s="31">
        <f t="shared" si="9"/>
        <v>0.93059999999999998</v>
      </c>
      <c r="C228" s="31">
        <v>0.93059999999999998</v>
      </c>
      <c r="D228" s="31">
        <v>0.93059999999999998</v>
      </c>
      <c r="E228" s="31">
        <v>0.96</v>
      </c>
      <c r="F228" s="31">
        <v>0.93059999999999998</v>
      </c>
      <c r="G228" s="31">
        <v>0.93059999999999998</v>
      </c>
      <c r="H228" s="32">
        <v>0.93059999999999998</v>
      </c>
      <c r="J228" s="25">
        <f t="shared" si="10"/>
        <v>43009</v>
      </c>
      <c r="K228" s="26">
        <f t="shared" si="11"/>
        <v>226</v>
      </c>
    </row>
    <row r="229" spans="1:11" x14ac:dyDescent="0.25">
      <c r="A229" s="196">
        <v>43040</v>
      </c>
      <c r="B229" s="33">
        <f t="shared" si="9"/>
        <v>0.93059999999999998</v>
      </c>
      <c r="C229" s="33">
        <v>0.93059999999999998</v>
      </c>
      <c r="D229" s="33">
        <v>0.93059999999999998</v>
      </c>
      <c r="E229" s="31">
        <v>0.96</v>
      </c>
      <c r="F229" s="33">
        <v>0.93059999999999998</v>
      </c>
      <c r="G229" s="33">
        <v>0.93059999999999998</v>
      </c>
      <c r="H229" s="34">
        <v>0.93059999999999998</v>
      </c>
      <c r="J229" s="27">
        <f t="shared" si="10"/>
        <v>43040</v>
      </c>
      <c r="K229" s="28">
        <f t="shared" si="11"/>
        <v>227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B2:X272"/>
  <sheetViews>
    <sheetView topLeftCell="E3" workbookViewId="0">
      <selection activeCell="M3" sqref="M3:N42"/>
    </sheetView>
  </sheetViews>
  <sheetFormatPr defaultRowHeight="13.2" x14ac:dyDescent="0.25"/>
  <cols>
    <col min="1" max="1" width="2.109375" customWidth="1"/>
    <col min="2" max="2" width="13" customWidth="1"/>
    <col min="3" max="3" width="15.33203125" customWidth="1"/>
    <col min="4" max="4" width="12.33203125" bestFit="1" customWidth="1"/>
    <col min="5" max="5" width="14.5546875" bestFit="1" customWidth="1"/>
    <col min="6" max="6" width="15.6640625" customWidth="1"/>
    <col min="7" max="8" width="14.5546875" bestFit="1" customWidth="1"/>
    <col min="9" max="9" width="18.6640625" customWidth="1"/>
    <col min="10" max="10" width="13.109375" customWidth="1"/>
    <col min="12" max="12" width="12.5546875" customWidth="1"/>
    <col min="14" max="14" width="16.33203125" customWidth="1"/>
  </cols>
  <sheetData>
    <row r="2" spans="2:24" ht="13.8" thickBot="1" x14ac:dyDescent="0.3">
      <c r="B2" s="144" t="s">
        <v>113</v>
      </c>
    </row>
    <row r="3" spans="2:24" ht="13.8" thickBot="1" x14ac:dyDescent="0.3">
      <c r="B3" s="166"/>
      <c r="C3" s="167" t="s">
        <v>115</v>
      </c>
      <c r="D3" s="167"/>
      <c r="E3" s="167"/>
      <c r="F3" s="167"/>
      <c r="G3" s="167"/>
      <c r="H3" s="167"/>
      <c r="I3" s="167"/>
      <c r="J3" s="168" t="s">
        <v>116</v>
      </c>
      <c r="M3" s="179" t="s">
        <v>119</v>
      </c>
      <c r="N3" s="180"/>
    </row>
    <row r="4" spans="2:24" ht="13.8" thickBot="1" x14ac:dyDescent="0.3">
      <c r="B4" s="169" t="s">
        <v>114</v>
      </c>
      <c r="C4" s="170" t="str">
        <f>'Extendible Collars'!AA6</f>
        <v>IF-PAN/TX/OK</v>
      </c>
      <c r="D4" s="170" t="str">
        <f>'Extendible Collars'!AB6</f>
        <v>IF-SONAT/LA</v>
      </c>
      <c r="E4" s="170" t="str">
        <f>'Extendible Collars'!AC6</f>
        <v>IF-COLGULF/LA</v>
      </c>
      <c r="F4" s="170" t="str">
        <f>'Extendible Collars'!AD6</f>
        <v>IF-TRANSCO/Z1</v>
      </c>
      <c r="G4" s="170" t="str">
        <f>'Extendible Collars'!AE6</f>
        <v>IF-TRANSCO/Z2</v>
      </c>
      <c r="H4" s="170" t="str">
        <f>'Extendible Collars'!AF6</f>
        <v>IF-TRANSCO/Z3</v>
      </c>
      <c r="I4" s="170" t="str">
        <f>'Extendible Collars'!AG6</f>
        <v>IF-HPL/SHPCHAN</v>
      </c>
      <c r="J4" s="171" t="s">
        <v>121</v>
      </c>
      <c r="M4" s="177"/>
      <c r="N4" s="174" t="s">
        <v>117</v>
      </c>
    </row>
    <row r="5" spans="2:24" ht="13.8" thickBot="1" x14ac:dyDescent="0.3">
      <c r="B5" s="164">
        <f>'Extendible Collars'!Z16</f>
        <v>36465</v>
      </c>
      <c r="C5" s="182">
        <f>'Extendible Collars'!AA16/10000</f>
        <v>0</v>
      </c>
      <c r="D5" s="163">
        <f>'Extendible Collars'!AB16/10000</f>
        <v>0</v>
      </c>
      <c r="E5" s="163">
        <f>'Extendible Collars'!AC16/10000</f>
        <v>0</v>
      </c>
      <c r="F5" s="163">
        <f>'Extendible Collars'!AD16/10000</f>
        <v>0</v>
      </c>
      <c r="G5" s="163">
        <f>'Extendible Collars'!AE16/10000</f>
        <v>0</v>
      </c>
      <c r="H5" s="163">
        <f>'Extendible Collars'!AF16/10000</f>
        <v>0</v>
      </c>
      <c r="I5" s="163">
        <f>'Extendible Collars'!AG16/10000</f>
        <v>0</v>
      </c>
      <c r="J5" s="187">
        <f t="shared" ref="J5:J30" si="0">SUM(C5:I5)</f>
        <v>0</v>
      </c>
      <c r="M5" s="178"/>
      <c r="N5" s="174" t="s">
        <v>120</v>
      </c>
      <c r="V5" s="144" t="s">
        <v>267</v>
      </c>
    </row>
    <row r="6" spans="2:24" x14ac:dyDescent="0.25">
      <c r="B6" s="164">
        <f>'Extendible Collars'!Z17</f>
        <v>36495</v>
      </c>
      <c r="C6" s="182">
        <f>'Extendible Collars'!AA17/10000</f>
        <v>0</v>
      </c>
      <c r="D6" s="163">
        <f>'Extendible Collars'!AB17/10000</f>
        <v>0</v>
      </c>
      <c r="E6" s="163">
        <f>'Extendible Collars'!AC17/10000</f>
        <v>0</v>
      </c>
      <c r="F6" s="163">
        <f>'Extendible Collars'!AD17/10000</f>
        <v>0</v>
      </c>
      <c r="G6" s="163">
        <f>'Extendible Collars'!AE17/10000</f>
        <v>0</v>
      </c>
      <c r="H6" s="163">
        <f>'Extendible Collars'!AF17/10000</f>
        <v>0</v>
      </c>
      <c r="I6" s="163">
        <f>'Extendible Collars'!AG17/10000</f>
        <v>0</v>
      </c>
      <c r="J6" s="187">
        <f t="shared" si="0"/>
        <v>0</v>
      </c>
      <c r="M6" s="293">
        <f t="shared" ref="M6:M41" si="1">B41</f>
        <v>36586</v>
      </c>
      <c r="N6" s="383">
        <v>0</v>
      </c>
      <c r="V6" s="384" t="s">
        <v>263</v>
      </c>
      <c r="W6" s="385"/>
      <c r="X6" s="386">
        <f>COUNT(B5:J5)</f>
        <v>9</v>
      </c>
    </row>
    <row r="7" spans="2:24" x14ac:dyDescent="0.25">
      <c r="B7" s="164">
        <f>'Extendible Collars'!Z18</f>
        <v>36526</v>
      </c>
      <c r="C7" s="182">
        <f>'Extendible Collars'!AA18/10000</f>
        <v>0</v>
      </c>
      <c r="D7" s="163">
        <f>'Extendible Collars'!AB18/10000</f>
        <v>0</v>
      </c>
      <c r="E7" s="163">
        <f>'Extendible Collars'!AC18/10000</f>
        <v>0</v>
      </c>
      <c r="F7" s="163">
        <f>'Extendible Collars'!AD18/10000</f>
        <v>0</v>
      </c>
      <c r="G7" s="163">
        <f>'Extendible Collars'!AE18/10000</f>
        <v>0</v>
      </c>
      <c r="H7" s="163">
        <f>'Extendible Collars'!AF18/10000</f>
        <v>0</v>
      </c>
      <c r="I7" s="163">
        <f>'Extendible Collars'!AG18/10000</f>
        <v>0</v>
      </c>
      <c r="J7" s="187">
        <f t="shared" si="0"/>
        <v>0</v>
      </c>
      <c r="M7" s="293">
        <f t="shared" si="1"/>
        <v>36617</v>
      </c>
      <c r="N7" s="383">
        <v>0</v>
      </c>
      <c r="V7" s="387" t="s">
        <v>264</v>
      </c>
      <c r="W7" s="388"/>
      <c r="X7" s="389">
        <f>COUNT(B36:I36)</f>
        <v>8</v>
      </c>
    </row>
    <row r="8" spans="2:24" x14ac:dyDescent="0.25">
      <c r="B8" s="164">
        <f>'Extendible Collars'!Z19</f>
        <v>36557</v>
      </c>
      <c r="C8" s="182">
        <f>'Extendible Collars'!AA19/10000</f>
        <v>0</v>
      </c>
      <c r="D8" s="163">
        <f>'Extendible Collars'!AB19/10000</f>
        <v>0</v>
      </c>
      <c r="E8" s="163">
        <f>'Extendible Collars'!AC19/10000</f>
        <v>0</v>
      </c>
      <c r="F8" s="163">
        <f>'Extendible Collars'!AD19/10000</f>
        <v>0</v>
      </c>
      <c r="G8" s="163">
        <f>'Extendible Collars'!AE19/10000</f>
        <v>0</v>
      </c>
      <c r="H8" s="163">
        <f>'Extendible Collars'!AF19/10000</f>
        <v>0</v>
      </c>
      <c r="I8" s="163">
        <f>'Extendible Collars'!AG19/10000</f>
        <v>0</v>
      </c>
      <c r="J8" s="187">
        <f t="shared" si="0"/>
        <v>0</v>
      </c>
      <c r="M8" s="293">
        <f t="shared" si="1"/>
        <v>36647</v>
      </c>
      <c r="N8" s="383">
        <f t="shared" ref="N8:N41" si="2">INDEX(extendiblecollarpos,MATCH(M8,extendiblecollarmonths),extdcollarcount)+INDEX(basisoptpos,MATCH(M8,basisoptmonths),basisoptcount)+INDEX(basketoptpos,MATCH(M8,basketoptmonths),basketoptcount)+INDEX(digitaloptpos,MATCH(M8,digitaloptmonths),digitaloptcount)</f>
        <v>0.57348464241951391</v>
      </c>
      <c r="V8" s="387" t="s">
        <v>265</v>
      </c>
      <c r="W8" s="388"/>
      <c r="X8" s="389">
        <f>COUNT(B83:C83)</f>
        <v>2</v>
      </c>
    </row>
    <row r="9" spans="2:24" ht="13.8" thickBot="1" x14ac:dyDescent="0.3">
      <c r="B9" s="164">
        <f>'Extendible Collars'!Z20</f>
        <v>36586</v>
      </c>
      <c r="C9" s="182">
        <f>'Extendible Collars'!AA20/10000</f>
        <v>0</v>
      </c>
      <c r="D9" s="163">
        <f>'Extendible Collars'!AB20/10000</f>
        <v>0</v>
      </c>
      <c r="E9" s="163">
        <f>'Extendible Collars'!AC20/10000</f>
        <v>0</v>
      </c>
      <c r="F9" s="163">
        <f>'Extendible Collars'!AD20/10000</f>
        <v>0</v>
      </c>
      <c r="G9" s="163">
        <f>'Extendible Collars'!AE20/10000</f>
        <v>0</v>
      </c>
      <c r="H9" s="163">
        <f>'Extendible Collars'!AF20/10000</f>
        <v>0</v>
      </c>
      <c r="I9" s="163">
        <f>'Extendible Collars'!AG20/10000</f>
        <v>0</v>
      </c>
      <c r="J9" s="187">
        <f t="shared" si="0"/>
        <v>0</v>
      </c>
      <c r="M9" s="293">
        <f t="shared" si="1"/>
        <v>36678</v>
      </c>
      <c r="N9" s="383">
        <f t="shared" si="2"/>
        <v>1.0646978529432969</v>
      </c>
      <c r="V9" s="390" t="s">
        <v>266</v>
      </c>
      <c r="W9" s="391"/>
      <c r="X9" s="392">
        <f>COUNT(E83:I83)</f>
        <v>5</v>
      </c>
    </row>
    <row r="10" spans="2:24" x14ac:dyDescent="0.25">
      <c r="B10" s="164">
        <f>'Extendible Collars'!Z21</f>
        <v>36617</v>
      </c>
      <c r="C10" s="182">
        <f>'Extendible Collars'!AA21/10000</f>
        <v>0</v>
      </c>
      <c r="D10" s="163">
        <f>'Extendible Collars'!AB21/10000</f>
        <v>0</v>
      </c>
      <c r="E10" s="163">
        <f>'Extendible Collars'!AC21/10000</f>
        <v>0</v>
      </c>
      <c r="F10" s="163">
        <f>'Extendible Collars'!AD21/10000</f>
        <v>0</v>
      </c>
      <c r="G10" s="163">
        <f>'Extendible Collars'!AE21/10000</f>
        <v>0</v>
      </c>
      <c r="H10" s="163">
        <f>'Extendible Collars'!AF21/10000</f>
        <v>0</v>
      </c>
      <c r="I10" s="163">
        <f>'Extendible Collars'!AG21/10000</f>
        <v>0</v>
      </c>
      <c r="J10" s="187">
        <f t="shared" si="0"/>
        <v>0</v>
      </c>
      <c r="M10" s="293">
        <f t="shared" si="1"/>
        <v>36708</v>
      </c>
      <c r="N10" s="383">
        <f t="shared" si="2"/>
        <v>1.5298038576124746</v>
      </c>
    </row>
    <row r="11" spans="2:24" x14ac:dyDescent="0.25">
      <c r="B11" s="164">
        <f>'Extendible Collars'!Z22</f>
        <v>36647</v>
      </c>
      <c r="C11" s="182">
        <f>'Extendible Collars'!AA22/10000</f>
        <v>0</v>
      </c>
      <c r="D11" s="163">
        <f>'Extendible Collars'!AB22/10000</f>
        <v>0</v>
      </c>
      <c r="E11" s="163">
        <f>'Extendible Collars'!AC22/10000</f>
        <v>0</v>
      </c>
      <c r="F11" s="163">
        <f>'Extendible Collars'!AD22/10000</f>
        <v>0</v>
      </c>
      <c r="G11" s="163">
        <f>'Extendible Collars'!AE22/10000</f>
        <v>0</v>
      </c>
      <c r="H11" s="163">
        <f>'Extendible Collars'!AF22/10000</f>
        <v>0</v>
      </c>
      <c r="I11" s="163">
        <f>'Extendible Collars'!AG22/10000</f>
        <v>0</v>
      </c>
      <c r="J11" s="187">
        <f t="shared" si="0"/>
        <v>0</v>
      </c>
      <c r="M11" s="293">
        <f t="shared" si="1"/>
        <v>36739</v>
      </c>
      <c r="N11" s="383">
        <f t="shared" si="2"/>
        <v>1.9402470494688284</v>
      </c>
    </row>
    <row r="12" spans="2:24" x14ac:dyDescent="0.25">
      <c r="B12" s="164">
        <f>'Extendible Collars'!Z23</f>
        <v>36678</v>
      </c>
      <c r="C12" s="182">
        <f>'Extendible Collars'!AA23/10000</f>
        <v>0</v>
      </c>
      <c r="D12" s="163">
        <f>'Extendible Collars'!AB23/10000</f>
        <v>0</v>
      </c>
      <c r="E12" s="163">
        <f>'Extendible Collars'!AC23/10000</f>
        <v>0</v>
      </c>
      <c r="F12" s="163">
        <f>'Extendible Collars'!AD23/10000</f>
        <v>0</v>
      </c>
      <c r="G12" s="163">
        <f>'Extendible Collars'!AE23/10000</f>
        <v>0</v>
      </c>
      <c r="H12" s="163">
        <f>'Extendible Collars'!AF23/10000</f>
        <v>0</v>
      </c>
      <c r="I12" s="163">
        <f>'Extendible Collars'!AG23/10000</f>
        <v>0</v>
      </c>
      <c r="J12" s="187">
        <f t="shared" si="0"/>
        <v>0</v>
      </c>
      <c r="M12" s="293">
        <f t="shared" si="1"/>
        <v>36770</v>
      </c>
      <c r="N12" s="383">
        <f t="shared" si="2"/>
        <v>2.0452046409520408</v>
      </c>
    </row>
    <row r="13" spans="2:24" x14ac:dyDescent="0.25">
      <c r="B13" s="164">
        <f>'Extendible Collars'!Z26</f>
        <v>36708</v>
      </c>
      <c r="C13" s="182">
        <f>'Extendible Collars'!AA26/10000</f>
        <v>0</v>
      </c>
      <c r="D13" s="163">
        <f>'Extendible Collars'!AB26/10000</f>
        <v>0</v>
      </c>
      <c r="E13" s="163">
        <f>'Extendible Collars'!AC26/10000</f>
        <v>0</v>
      </c>
      <c r="F13" s="163">
        <f>'Extendible Collars'!AD26/10000</f>
        <v>0</v>
      </c>
      <c r="G13" s="163">
        <f>'Extendible Collars'!AE26/10000</f>
        <v>0</v>
      </c>
      <c r="H13" s="163">
        <f>'Extendible Collars'!AF26/10000</f>
        <v>0</v>
      </c>
      <c r="I13" s="163">
        <f>'Extendible Collars'!AG26/10000</f>
        <v>0</v>
      </c>
      <c r="J13" s="187">
        <f t="shared" si="0"/>
        <v>0</v>
      </c>
      <c r="M13" s="293">
        <f t="shared" si="1"/>
        <v>36800</v>
      </c>
      <c r="N13" s="383">
        <f t="shared" si="2"/>
        <v>2.3984468634248115</v>
      </c>
    </row>
    <row r="14" spans="2:24" x14ac:dyDescent="0.25">
      <c r="B14" s="164">
        <f>'Extendible Collars'!Z27</f>
        <v>36739</v>
      </c>
      <c r="C14" s="182">
        <f>'Extendible Collars'!AA27/10000</f>
        <v>0</v>
      </c>
      <c r="D14" s="163">
        <f>'Extendible Collars'!AB27/10000</f>
        <v>0</v>
      </c>
      <c r="E14" s="163">
        <f>'Extendible Collars'!AC27/10000</f>
        <v>0</v>
      </c>
      <c r="F14" s="163">
        <f>'Extendible Collars'!AD27/10000</f>
        <v>0</v>
      </c>
      <c r="G14" s="163">
        <f>'Extendible Collars'!AE27/10000</f>
        <v>0</v>
      </c>
      <c r="H14" s="163">
        <f>'Extendible Collars'!AF27/10000</f>
        <v>0</v>
      </c>
      <c r="I14" s="163">
        <f>'Extendible Collars'!AG27/10000</f>
        <v>0</v>
      </c>
      <c r="J14" s="187">
        <f t="shared" si="0"/>
        <v>0</v>
      </c>
      <c r="M14" s="293">
        <f t="shared" si="1"/>
        <v>36831</v>
      </c>
      <c r="N14" s="383">
        <f t="shared" si="2"/>
        <v>10.296451734218142</v>
      </c>
    </row>
    <row r="15" spans="2:24" x14ac:dyDescent="0.25">
      <c r="B15" s="164">
        <f>'Extendible Collars'!Z28</f>
        <v>36770</v>
      </c>
      <c r="C15" s="182">
        <f>'Extendible Collars'!AA28/10000</f>
        <v>0</v>
      </c>
      <c r="D15" s="163">
        <f>'Extendible Collars'!AB28/10000</f>
        <v>0</v>
      </c>
      <c r="E15" s="163">
        <f>'Extendible Collars'!AC28/10000</f>
        <v>0</v>
      </c>
      <c r="F15" s="163">
        <f>'Extendible Collars'!AD28/10000</f>
        <v>0</v>
      </c>
      <c r="G15" s="163">
        <f>'Extendible Collars'!AE28/10000</f>
        <v>0</v>
      </c>
      <c r="H15" s="163">
        <f>'Extendible Collars'!AF28/10000</f>
        <v>0</v>
      </c>
      <c r="I15" s="163">
        <f>'Extendible Collars'!AG28/10000</f>
        <v>0</v>
      </c>
      <c r="J15" s="187">
        <f t="shared" si="0"/>
        <v>0</v>
      </c>
      <c r="M15" s="293">
        <f t="shared" si="1"/>
        <v>36861</v>
      </c>
      <c r="N15" s="383">
        <f t="shared" si="2"/>
        <v>0.43072016207422281</v>
      </c>
    </row>
    <row r="16" spans="2:24" x14ac:dyDescent="0.25">
      <c r="B16" s="164">
        <f>'Extendible Collars'!Z29</f>
        <v>36800</v>
      </c>
      <c r="C16" s="182">
        <f>'Extendible Collars'!AA29/10000</f>
        <v>0</v>
      </c>
      <c r="D16" s="163">
        <f>'Extendible Collars'!AB29/10000</f>
        <v>0</v>
      </c>
      <c r="E16" s="163">
        <f>'Extendible Collars'!AC29/10000</f>
        <v>0</v>
      </c>
      <c r="F16" s="163">
        <f>'Extendible Collars'!AD29/10000</f>
        <v>0</v>
      </c>
      <c r="G16" s="163">
        <f>'Extendible Collars'!AE29/10000</f>
        <v>0</v>
      </c>
      <c r="H16" s="163">
        <f>'Extendible Collars'!AF29/10000</f>
        <v>0</v>
      </c>
      <c r="I16" s="163">
        <f>'Extendible Collars'!AG29/10000</f>
        <v>0</v>
      </c>
      <c r="J16" s="187">
        <f t="shared" si="0"/>
        <v>0</v>
      </c>
      <c r="M16" s="293">
        <f t="shared" si="1"/>
        <v>36892</v>
      </c>
      <c r="N16" s="383">
        <f t="shared" si="2"/>
        <v>0.26761609258337771</v>
      </c>
    </row>
    <row r="17" spans="2:14" x14ac:dyDescent="0.25">
      <c r="B17" s="164">
        <f>'Extendible Collars'!Z30</f>
        <v>36831</v>
      </c>
      <c r="C17" s="182">
        <f>'Extendible Collars'!AA30/10000</f>
        <v>0</v>
      </c>
      <c r="D17" s="163">
        <f>'Extendible Collars'!AB30/10000</f>
        <v>0</v>
      </c>
      <c r="E17" s="163">
        <f>'Extendible Collars'!AC30/10000</f>
        <v>0</v>
      </c>
      <c r="F17" s="163">
        <f>'Extendible Collars'!AD30/10000</f>
        <v>0</v>
      </c>
      <c r="G17" s="163">
        <f>'Extendible Collars'!AE30/10000</f>
        <v>0</v>
      </c>
      <c r="H17" s="163">
        <f>'Extendible Collars'!AF30/10000</f>
        <v>0</v>
      </c>
      <c r="I17" s="163">
        <f>'Extendible Collars'!AG30/10000</f>
        <v>0</v>
      </c>
      <c r="J17" s="187">
        <f t="shared" si="0"/>
        <v>0</v>
      </c>
      <c r="M17" s="293">
        <f t="shared" si="1"/>
        <v>36923</v>
      </c>
      <c r="N17" s="383">
        <f t="shared" si="2"/>
        <v>0.19188556681824331</v>
      </c>
    </row>
    <row r="18" spans="2:14" x14ac:dyDescent="0.25">
      <c r="B18" s="164">
        <f>'Extendible Collars'!Z31</f>
        <v>36861</v>
      </c>
      <c r="C18" s="182">
        <f>'Extendible Collars'!AA31/10000</f>
        <v>0</v>
      </c>
      <c r="D18" s="163">
        <f>'Extendible Collars'!AB31/10000</f>
        <v>0</v>
      </c>
      <c r="E18" s="163">
        <f>'Extendible Collars'!AC31/10000</f>
        <v>0</v>
      </c>
      <c r="F18" s="163">
        <f>'Extendible Collars'!AD31/10000</f>
        <v>0</v>
      </c>
      <c r="G18" s="163">
        <f>'Extendible Collars'!AE31/10000</f>
        <v>0</v>
      </c>
      <c r="H18" s="163">
        <f>'Extendible Collars'!AF31/10000</f>
        <v>0</v>
      </c>
      <c r="I18" s="163">
        <f>'Extendible Collars'!AG31/10000</f>
        <v>0</v>
      </c>
      <c r="J18" s="187">
        <f t="shared" si="0"/>
        <v>0</v>
      </c>
      <c r="M18" s="293">
        <f t="shared" si="1"/>
        <v>36951</v>
      </c>
      <c r="N18" s="383">
        <f t="shared" si="2"/>
        <v>2.4777819739108309</v>
      </c>
    </row>
    <row r="19" spans="2:14" x14ac:dyDescent="0.25">
      <c r="B19" s="164">
        <f>'Extendible Collars'!Z32</f>
        <v>36892</v>
      </c>
      <c r="C19" s="182">
        <f>'Extendible Collars'!AA32/10000</f>
        <v>0</v>
      </c>
      <c r="D19" s="163">
        <f>'Extendible Collars'!AB32/10000</f>
        <v>0</v>
      </c>
      <c r="E19" s="163">
        <f>'Extendible Collars'!AC32/10000</f>
        <v>0</v>
      </c>
      <c r="F19" s="163">
        <f>'Extendible Collars'!AD32/10000</f>
        <v>0</v>
      </c>
      <c r="G19" s="163">
        <f>'Extendible Collars'!AE32/10000</f>
        <v>0</v>
      </c>
      <c r="H19" s="163">
        <f>'Extendible Collars'!AF32/10000</f>
        <v>0</v>
      </c>
      <c r="I19" s="163">
        <f>'Extendible Collars'!AG32/10000</f>
        <v>0</v>
      </c>
      <c r="J19" s="187">
        <f t="shared" si="0"/>
        <v>0</v>
      </c>
      <c r="M19" s="293">
        <f t="shared" si="1"/>
        <v>36982</v>
      </c>
      <c r="N19" s="383">
        <f t="shared" si="2"/>
        <v>0.77097706600747773</v>
      </c>
    </row>
    <row r="20" spans="2:14" x14ac:dyDescent="0.25">
      <c r="B20" s="164">
        <f>'Extendible Collars'!Z33</f>
        <v>36923</v>
      </c>
      <c r="C20" s="182">
        <f>'Extendible Collars'!AA33/10000</f>
        <v>0</v>
      </c>
      <c r="D20" s="163">
        <f>'Extendible Collars'!AB33/10000</f>
        <v>0</v>
      </c>
      <c r="E20" s="163">
        <f>'Extendible Collars'!AC33/10000</f>
        <v>0</v>
      </c>
      <c r="F20" s="163">
        <f>'Extendible Collars'!AD33/10000</f>
        <v>0</v>
      </c>
      <c r="G20" s="163">
        <f>'Extendible Collars'!AE33/10000</f>
        <v>0</v>
      </c>
      <c r="H20" s="163">
        <f>'Extendible Collars'!AF33/10000</f>
        <v>0</v>
      </c>
      <c r="I20" s="163">
        <f>'Extendible Collars'!AG33/10000</f>
        <v>0</v>
      </c>
      <c r="J20" s="187">
        <f t="shared" si="0"/>
        <v>0</v>
      </c>
      <c r="M20" s="293">
        <f t="shared" si="1"/>
        <v>37012</v>
      </c>
      <c r="N20" s="383">
        <f t="shared" si="2"/>
        <v>0.74452120027244095</v>
      </c>
    </row>
    <row r="21" spans="2:14" x14ac:dyDescent="0.25">
      <c r="B21" s="164">
        <f>'Extendible Collars'!Z34</f>
        <v>36951</v>
      </c>
      <c r="C21" s="182">
        <f>'Extendible Collars'!AA34/10000</f>
        <v>0</v>
      </c>
      <c r="D21" s="163">
        <f>'Extendible Collars'!AB34/10000</f>
        <v>0</v>
      </c>
      <c r="E21" s="163">
        <f>'Extendible Collars'!AC34/10000</f>
        <v>0</v>
      </c>
      <c r="F21" s="163">
        <f>'Extendible Collars'!AD34/10000</f>
        <v>0</v>
      </c>
      <c r="G21" s="163">
        <f>'Extendible Collars'!AE34/10000</f>
        <v>0</v>
      </c>
      <c r="H21" s="163">
        <f>'Extendible Collars'!AF34/10000</f>
        <v>0</v>
      </c>
      <c r="I21" s="163">
        <f>'Extendible Collars'!AG34/10000</f>
        <v>0</v>
      </c>
      <c r="J21" s="187">
        <f t="shared" si="0"/>
        <v>0</v>
      </c>
      <c r="M21" s="293">
        <f t="shared" si="1"/>
        <v>37043</v>
      </c>
      <c r="N21" s="383">
        <f t="shared" si="2"/>
        <v>0.74952118483608066</v>
      </c>
    </row>
    <row r="22" spans="2:14" x14ac:dyDescent="0.25">
      <c r="B22" s="164">
        <f>'Extendible Collars'!Z35</f>
        <v>36982</v>
      </c>
      <c r="C22" s="182">
        <f>'Extendible Collars'!AA35/10000</f>
        <v>0</v>
      </c>
      <c r="D22" s="163">
        <f>'Extendible Collars'!AB35/10000</f>
        <v>0</v>
      </c>
      <c r="E22" s="163">
        <f>'Extendible Collars'!AC35/10000</f>
        <v>0</v>
      </c>
      <c r="F22" s="163">
        <f>'Extendible Collars'!AD35/10000</f>
        <v>0</v>
      </c>
      <c r="G22" s="163">
        <f>'Extendible Collars'!AE35/10000</f>
        <v>0</v>
      </c>
      <c r="H22" s="163">
        <f>'Extendible Collars'!AF35/10000</f>
        <v>0</v>
      </c>
      <c r="I22" s="163">
        <f>'Extendible Collars'!AG35/10000</f>
        <v>0</v>
      </c>
      <c r="J22" s="187">
        <f t="shared" si="0"/>
        <v>0</v>
      </c>
      <c r="M22" s="293">
        <f t="shared" si="1"/>
        <v>37073</v>
      </c>
      <c r="N22" s="383">
        <f t="shared" si="2"/>
        <v>0.7726924766857497</v>
      </c>
    </row>
    <row r="23" spans="2:14" x14ac:dyDescent="0.25">
      <c r="B23" s="164">
        <f>'Extendible Collars'!Z36</f>
        <v>37012</v>
      </c>
      <c r="C23" s="182">
        <f>'Extendible Collars'!AA36/10000</f>
        <v>0</v>
      </c>
      <c r="D23" s="163">
        <f>'Extendible Collars'!AB36/10000</f>
        <v>0</v>
      </c>
      <c r="E23" s="163">
        <f>'Extendible Collars'!AC36/10000</f>
        <v>0</v>
      </c>
      <c r="F23" s="163">
        <f>'Extendible Collars'!AD36/10000</f>
        <v>0</v>
      </c>
      <c r="G23" s="163">
        <f>'Extendible Collars'!AE36/10000</f>
        <v>0</v>
      </c>
      <c r="H23" s="163">
        <f>'Extendible Collars'!AF36/10000</f>
        <v>0</v>
      </c>
      <c r="I23" s="163">
        <f>'Extendible Collars'!AG36/10000</f>
        <v>0</v>
      </c>
      <c r="J23" s="187">
        <f t="shared" si="0"/>
        <v>0</v>
      </c>
      <c r="M23" s="293">
        <f t="shared" si="1"/>
        <v>37104</v>
      </c>
      <c r="N23" s="383">
        <f t="shared" si="2"/>
        <v>0.79751296652134629</v>
      </c>
    </row>
    <row r="24" spans="2:14" x14ac:dyDescent="0.25">
      <c r="B24" s="164">
        <f>'Extendible Collars'!Z37</f>
        <v>37043</v>
      </c>
      <c r="C24" s="182">
        <f>'Extendible Collars'!AA37/10000</f>
        <v>0</v>
      </c>
      <c r="D24" s="163">
        <f>'Extendible Collars'!AB37/10000</f>
        <v>0</v>
      </c>
      <c r="E24" s="163">
        <f>'Extendible Collars'!AC37/10000</f>
        <v>0</v>
      </c>
      <c r="F24" s="163">
        <f>'Extendible Collars'!AD37/10000</f>
        <v>0</v>
      </c>
      <c r="G24" s="163">
        <f>'Extendible Collars'!AE37/10000</f>
        <v>0</v>
      </c>
      <c r="H24" s="163">
        <f>'Extendible Collars'!AF37/10000</f>
        <v>0</v>
      </c>
      <c r="I24" s="163">
        <f>'Extendible Collars'!AG37/10000</f>
        <v>0</v>
      </c>
      <c r="J24" s="187">
        <f t="shared" si="0"/>
        <v>0</v>
      </c>
      <c r="M24" s="293">
        <f t="shared" si="1"/>
        <v>37135</v>
      </c>
      <c r="N24" s="383">
        <f t="shared" si="2"/>
        <v>0.82234566574405477</v>
      </c>
    </row>
    <row r="25" spans="2:14" x14ac:dyDescent="0.25">
      <c r="B25" s="164">
        <f>'Extendible Collars'!Z38</f>
        <v>37073</v>
      </c>
      <c r="C25" s="182">
        <f>'Extendible Collars'!AA38/10000</f>
        <v>0</v>
      </c>
      <c r="D25" s="163">
        <f>'Extendible Collars'!AB38/10000</f>
        <v>0</v>
      </c>
      <c r="E25" s="163">
        <f>'Extendible Collars'!AC38/10000</f>
        <v>0</v>
      </c>
      <c r="F25" s="163">
        <f>'Extendible Collars'!AD38/10000</f>
        <v>0</v>
      </c>
      <c r="G25" s="163">
        <f>'Extendible Collars'!AE38/10000</f>
        <v>0</v>
      </c>
      <c r="H25" s="163">
        <f>'Extendible Collars'!AF38/10000</f>
        <v>0</v>
      </c>
      <c r="I25" s="163">
        <f>'Extendible Collars'!AG38/10000</f>
        <v>0</v>
      </c>
      <c r="J25" s="187">
        <f t="shared" si="0"/>
        <v>0</v>
      </c>
      <c r="M25" s="293">
        <f t="shared" si="1"/>
        <v>37165</v>
      </c>
      <c r="N25" s="383">
        <f t="shared" si="2"/>
        <v>0.8642764654929953</v>
      </c>
    </row>
    <row r="26" spans="2:14" x14ac:dyDescent="0.25">
      <c r="B26" s="164">
        <f>'Extendible Collars'!Z39</f>
        <v>37104</v>
      </c>
      <c r="C26" s="182">
        <f>'Extendible Collars'!AA39/10000</f>
        <v>0</v>
      </c>
      <c r="D26" s="163">
        <f>'Extendible Collars'!AB39/10000</f>
        <v>0</v>
      </c>
      <c r="E26" s="163">
        <f>'Extendible Collars'!AC39/10000</f>
        <v>0</v>
      </c>
      <c r="F26" s="163">
        <f>'Extendible Collars'!AD39/10000</f>
        <v>0</v>
      </c>
      <c r="G26" s="163">
        <f>'Extendible Collars'!AE39/10000</f>
        <v>0</v>
      </c>
      <c r="H26" s="163">
        <f>'Extendible Collars'!AF39/10000</f>
        <v>0</v>
      </c>
      <c r="I26" s="163">
        <f>'Extendible Collars'!AG39/10000</f>
        <v>0</v>
      </c>
      <c r="J26" s="187">
        <f t="shared" si="0"/>
        <v>0</v>
      </c>
      <c r="M26" s="293">
        <f t="shared" si="1"/>
        <v>37196</v>
      </c>
      <c r="N26" s="383">
        <f t="shared" si="2"/>
        <v>-3.2425436980491038</v>
      </c>
    </row>
    <row r="27" spans="2:14" x14ac:dyDescent="0.25">
      <c r="B27" s="164">
        <f>'Extendible Collars'!Z40</f>
        <v>37135</v>
      </c>
      <c r="C27" s="182">
        <f>'Extendible Collars'!AA40/10000</f>
        <v>0</v>
      </c>
      <c r="D27" s="163">
        <f>'Extendible Collars'!AB40/10000</f>
        <v>0</v>
      </c>
      <c r="E27" s="163">
        <f>'Extendible Collars'!AC40/10000</f>
        <v>0</v>
      </c>
      <c r="F27" s="163">
        <f>'Extendible Collars'!AD40/10000</f>
        <v>0</v>
      </c>
      <c r="G27" s="163">
        <f>'Extendible Collars'!AE40/10000</f>
        <v>0</v>
      </c>
      <c r="H27" s="163">
        <f>'Extendible Collars'!AF40/10000</f>
        <v>0</v>
      </c>
      <c r="I27" s="163">
        <f>'Extendible Collars'!AG40/10000</f>
        <v>0</v>
      </c>
      <c r="J27" s="187">
        <f t="shared" si="0"/>
        <v>0</v>
      </c>
      <c r="M27" s="293">
        <f t="shared" si="1"/>
        <v>37226</v>
      </c>
      <c r="N27" s="383">
        <f t="shared" si="2"/>
        <v>-3.209045365978568</v>
      </c>
    </row>
    <row r="28" spans="2:14" x14ac:dyDescent="0.25">
      <c r="B28" s="164">
        <f>'Extendible Collars'!Z41</f>
        <v>37165</v>
      </c>
      <c r="C28" s="182">
        <f>'Extendible Collars'!AA41/10000</f>
        <v>0</v>
      </c>
      <c r="D28" s="163">
        <f>'Extendible Collars'!AB41/10000</f>
        <v>0</v>
      </c>
      <c r="E28" s="163">
        <f>'Extendible Collars'!AC41/10000</f>
        <v>0</v>
      </c>
      <c r="F28" s="163">
        <f>'Extendible Collars'!AD41/10000</f>
        <v>0</v>
      </c>
      <c r="G28" s="163">
        <f>'Extendible Collars'!AE41/10000</f>
        <v>0</v>
      </c>
      <c r="H28" s="163">
        <f>'Extendible Collars'!AF41/10000</f>
        <v>0</v>
      </c>
      <c r="I28" s="163">
        <f>'Extendible Collars'!AG41/10000</f>
        <v>0</v>
      </c>
      <c r="J28" s="187">
        <f t="shared" si="0"/>
        <v>0</v>
      </c>
      <c r="M28" s="293">
        <f t="shared" si="1"/>
        <v>37257</v>
      </c>
      <c r="N28" s="383">
        <f t="shared" si="2"/>
        <v>-1.8788785577043658</v>
      </c>
    </row>
    <row r="29" spans="2:14" x14ac:dyDescent="0.25">
      <c r="B29" s="164">
        <f>'Extendible Collars'!Z42</f>
        <v>37196</v>
      </c>
      <c r="C29" s="182">
        <f>'Extendible Collars'!AA42/10000</f>
        <v>0</v>
      </c>
      <c r="D29" s="163">
        <f>'Extendible Collars'!AB42/10000</f>
        <v>0</v>
      </c>
      <c r="E29" s="163">
        <f>'Extendible Collars'!AC42/10000</f>
        <v>0</v>
      </c>
      <c r="F29" s="163">
        <f>'Extendible Collars'!AD42/10000</f>
        <v>0</v>
      </c>
      <c r="G29" s="163">
        <f>'Extendible Collars'!AE42/10000</f>
        <v>0</v>
      </c>
      <c r="H29" s="163">
        <f>'Extendible Collars'!AF42/10000</f>
        <v>0</v>
      </c>
      <c r="I29" s="163">
        <f>'Extendible Collars'!AG42/10000</f>
        <v>0</v>
      </c>
      <c r="J29" s="187">
        <f t="shared" si="0"/>
        <v>0</v>
      </c>
      <c r="M29" s="293">
        <f t="shared" si="1"/>
        <v>37288</v>
      </c>
      <c r="N29" s="383">
        <f t="shared" si="2"/>
        <v>-2.6653724092039162</v>
      </c>
    </row>
    <row r="30" spans="2:14" ht="13.8" thickBot="1" x14ac:dyDescent="0.3">
      <c r="B30" s="164">
        <f>'Extendible Collars'!Z43</f>
        <v>37226</v>
      </c>
      <c r="C30" s="183">
        <f>'Extendible Collars'!AA43/10000</f>
        <v>0</v>
      </c>
      <c r="D30" s="184">
        <f>'Extendible Collars'!AB43/10000</f>
        <v>0</v>
      </c>
      <c r="E30" s="184">
        <f>'Extendible Collars'!AC43/10000</f>
        <v>0</v>
      </c>
      <c r="F30" s="184">
        <f>'Extendible Collars'!AD43/10000</f>
        <v>0</v>
      </c>
      <c r="G30" s="184">
        <f>'Extendible Collars'!AE43/10000</f>
        <v>0</v>
      </c>
      <c r="H30" s="184">
        <f>'Extendible Collars'!AF43/10000</f>
        <v>0</v>
      </c>
      <c r="I30" s="184">
        <f>'Extendible Collars'!AG43/10000</f>
        <v>0</v>
      </c>
      <c r="J30" s="188">
        <f t="shared" si="0"/>
        <v>0</v>
      </c>
      <c r="M30" s="293">
        <f t="shared" si="1"/>
        <v>37316</v>
      </c>
      <c r="N30" s="383">
        <f t="shared" si="2"/>
        <v>-3.394775341224781</v>
      </c>
    </row>
    <row r="31" spans="2:14" ht="13.8" thickBot="1" x14ac:dyDescent="0.3">
      <c r="B31" s="165" t="s">
        <v>116</v>
      </c>
      <c r="C31" s="185">
        <f t="shared" ref="C31:J31" si="3">SUM(C5:C30)</f>
        <v>0</v>
      </c>
      <c r="D31" s="181">
        <f t="shared" si="3"/>
        <v>0</v>
      </c>
      <c r="E31" s="181">
        <f t="shared" si="3"/>
        <v>0</v>
      </c>
      <c r="F31" s="181">
        <f t="shared" si="3"/>
        <v>0</v>
      </c>
      <c r="G31" s="181">
        <f t="shared" si="3"/>
        <v>0</v>
      </c>
      <c r="H31" s="181">
        <f t="shared" si="3"/>
        <v>0</v>
      </c>
      <c r="I31" s="181">
        <f t="shared" si="3"/>
        <v>0</v>
      </c>
      <c r="J31" s="192">
        <f t="shared" si="3"/>
        <v>0</v>
      </c>
      <c r="M31" s="293">
        <f t="shared" si="1"/>
        <v>37347</v>
      </c>
      <c r="N31" s="383">
        <f t="shared" si="2"/>
        <v>0</v>
      </c>
    </row>
    <row r="32" spans="2:14" ht="13.8" thickBot="1" x14ac:dyDescent="0.3">
      <c r="M32" s="293">
        <f t="shared" si="1"/>
        <v>37377</v>
      </c>
      <c r="N32" s="383">
        <f t="shared" si="2"/>
        <v>0</v>
      </c>
    </row>
    <row r="33" spans="2:14" x14ac:dyDescent="0.25">
      <c r="B33" s="166" t="s">
        <v>65</v>
      </c>
      <c r="C33" s="167"/>
      <c r="D33" s="167"/>
      <c r="E33" s="167"/>
      <c r="F33" s="167"/>
      <c r="G33" s="167"/>
      <c r="H33" s="167"/>
      <c r="I33" s="168"/>
      <c r="M33" s="293">
        <f t="shared" si="1"/>
        <v>37408</v>
      </c>
      <c r="N33" s="383">
        <f t="shared" si="2"/>
        <v>0</v>
      </c>
    </row>
    <row r="34" spans="2:14" x14ac:dyDescent="0.25">
      <c r="B34" s="172"/>
      <c r="C34" s="173" t="s">
        <v>115</v>
      </c>
      <c r="D34" s="173"/>
      <c r="E34" s="173"/>
      <c r="F34" s="173"/>
      <c r="G34" s="173"/>
      <c r="H34" s="173"/>
      <c r="I34" s="174" t="s">
        <v>116</v>
      </c>
      <c r="M34" s="293">
        <f t="shared" si="1"/>
        <v>37438</v>
      </c>
      <c r="N34" s="383">
        <f t="shared" si="2"/>
        <v>0</v>
      </c>
    </row>
    <row r="35" spans="2:14" ht="12.75" customHeight="1" thickBot="1" x14ac:dyDescent="0.3">
      <c r="B35" s="169" t="s">
        <v>114</v>
      </c>
      <c r="C35" s="170" t="str">
        <f>'Basis Options'!AB6</f>
        <v>IF-TRANSCO/Z6</v>
      </c>
      <c r="D35" s="170" t="str">
        <f>'Basis Options'!AC6</f>
        <v>IF-CGT/APPALAC</v>
      </c>
      <c r="E35" s="170" t="str">
        <f>'Basis Options'!AD6</f>
        <v>IF-NWPL_ROCKY_M</v>
      </c>
      <c r="F35" s="170" t="str">
        <f>'Basis Options'!AE6</f>
        <v>NGI/CHI. GATE</v>
      </c>
      <c r="G35" s="170" t="str">
        <f>'Basis Options'!AF6</f>
        <v>IF-HPL/SHPCHAN</v>
      </c>
      <c r="H35" s="144" t="s">
        <v>122</v>
      </c>
      <c r="I35" s="171" t="s">
        <v>121</v>
      </c>
      <c r="M35" s="293">
        <f t="shared" si="1"/>
        <v>37469</v>
      </c>
      <c r="N35" s="383">
        <f t="shared" si="2"/>
        <v>0</v>
      </c>
    </row>
    <row r="36" spans="2:14" x14ac:dyDescent="0.25">
      <c r="B36" s="164">
        <f>'Basis Options'!AK15</f>
        <v>36434</v>
      </c>
      <c r="C36" s="163">
        <f>'Basis Options'!AL15/10000</f>
        <v>0</v>
      </c>
      <c r="D36" s="163">
        <f>'Basis Options'!AM15/10000</f>
        <v>0</v>
      </c>
      <c r="E36" s="163">
        <f>'Basis Options'!AN15/10000</f>
        <v>0</v>
      </c>
      <c r="F36" s="163">
        <f>'Basis Options'!AO15/10000</f>
        <v>0</v>
      </c>
      <c r="G36" s="163">
        <f>'Basis Options'!AP15/10000</f>
        <v>0</v>
      </c>
      <c r="H36" s="163">
        <f>'Basis Options'!AQ15/10000</f>
        <v>0</v>
      </c>
      <c r="I36" s="187">
        <f t="shared" ref="I36:I78" si="4">SUM(C36:H36)</f>
        <v>0</v>
      </c>
      <c r="M36" s="293">
        <f t="shared" si="1"/>
        <v>37500</v>
      </c>
      <c r="N36" s="383">
        <f t="shared" si="2"/>
        <v>0</v>
      </c>
    </row>
    <row r="37" spans="2:14" x14ac:dyDescent="0.25">
      <c r="B37" s="164">
        <f>'Basis Options'!AK16</f>
        <v>36465</v>
      </c>
      <c r="C37" s="163">
        <f>'Basis Options'!AL16/10000</f>
        <v>0</v>
      </c>
      <c r="D37" s="163">
        <f>'Basis Options'!AM16/10000</f>
        <v>0</v>
      </c>
      <c r="E37" s="163">
        <f>'Basis Options'!AN16/10000</f>
        <v>0</v>
      </c>
      <c r="F37" s="163">
        <f>'Basis Options'!AO16/10000</f>
        <v>0</v>
      </c>
      <c r="G37" s="163">
        <f>'Basis Options'!AP16/10000</f>
        <v>0</v>
      </c>
      <c r="H37" s="163">
        <f>'Basis Options'!AQ16/10000</f>
        <v>0</v>
      </c>
      <c r="I37" s="187">
        <f t="shared" si="4"/>
        <v>0</v>
      </c>
      <c r="M37" s="293">
        <f t="shared" si="1"/>
        <v>37530</v>
      </c>
      <c r="N37" s="383">
        <f t="shared" si="2"/>
        <v>0</v>
      </c>
    </row>
    <row r="38" spans="2:14" x14ac:dyDescent="0.25">
      <c r="B38" s="164">
        <f>'Basis Options'!AK17</f>
        <v>36495</v>
      </c>
      <c r="C38" s="163">
        <f>'Basis Options'!AL17/10000</f>
        <v>0</v>
      </c>
      <c r="D38" s="163">
        <f>'Basis Options'!AM17/10000</f>
        <v>0</v>
      </c>
      <c r="E38" s="163">
        <f>'Basis Options'!AN17/10000</f>
        <v>0</v>
      </c>
      <c r="F38" s="163">
        <f>'Basis Options'!AO17/10000</f>
        <v>0</v>
      </c>
      <c r="G38" s="163">
        <f>'Basis Options'!AP17/10000</f>
        <v>0</v>
      </c>
      <c r="H38" s="163">
        <f>'Basis Options'!AQ17/10000</f>
        <v>0</v>
      </c>
      <c r="I38" s="187">
        <f t="shared" si="4"/>
        <v>0</v>
      </c>
      <c r="M38" s="293">
        <f t="shared" si="1"/>
        <v>37561</v>
      </c>
      <c r="N38" s="383">
        <f t="shared" si="2"/>
        <v>0</v>
      </c>
    </row>
    <row r="39" spans="2:14" x14ac:dyDescent="0.25">
      <c r="B39" s="164">
        <f>'Basis Options'!AK18</f>
        <v>36526</v>
      </c>
      <c r="C39" s="163">
        <f>'Basis Options'!AL18/10000</f>
        <v>0</v>
      </c>
      <c r="D39" s="163">
        <f>'Basis Options'!AM18/10000</f>
        <v>0</v>
      </c>
      <c r="E39" s="163">
        <f>'Basis Options'!AN18/10000</f>
        <v>0</v>
      </c>
      <c r="F39" s="163">
        <f>'Basis Options'!AO18/10000</f>
        <v>0</v>
      </c>
      <c r="G39" s="163">
        <f>'Basis Options'!AP18/10000</f>
        <v>0</v>
      </c>
      <c r="H39" s="163">
        <f>'Basis Options'!AQ18/10000</f>
        <v>0</v>
      </c>
      <c r="I39" s="187">
        <f t="shared" si="4"/>
        <v>0</v>
      </c>
      <c r="M39" s="293">
        <f t="shared" si="1"/>
        <v>37591</v>
      </c>
      <c r="N39" s="383">
        <f t="shared" si="2"/>
        <v>0</v>
      </c>
    </row>
    <row r="40" spans="2:14" x14ac:dyDescent="0.25">
      <c r="B40" s="164">
        <f>'Basis Options'!AK19</f>
        <v>36557</v>
      </c>
      <c r="C40" s="163">
        <f>'Basis Options'!AL19/10000</f>
        <v>0</v>
      </c>
      <c r="D40" s="163">
        <f>'Basis Options'!AM19/10000</f>
        <v>0</v>
      </c>
      <c r="E40" s="163">
        <f>'Basis Options'!AN19/10000</f>
        <v>0</v>
      </c>
      <c r="F40" s="163">
        <f>'Basis Options'!AO19/10000</f>
        <v>0</v>
      </c>
      <c r="G40" s="163">
        <f>'Basis Options'!AP19/10000</f>
        <v>0</v>
      </c>
      <c r="H40" s="163">
        <f>'Basis Options'!AQ19/10000</f>
        <v>0</v>
      </c>
      <c r="I40" s="187">
        <f t="shared" si="4"/>
        <v>0</v>
      </c>
      <c r="M40" s="293">
        <f t="shared" si="1"/>
        <v>37622</v>
      </c>
      <c r="N40" s="383">
        <f t="shared" si="2"/>
        <v>0</v>
      </c>
    </row>
    <row r="41" spans="2:14" ht="13.8" thickBot="1" x14ac:dyDescent="0.3">
      <c r="B41" s="164">
        <f>'Basis Options'!AK20</f>
        <v>36586</v>
      </c>
      <c r="C41" s="163">
        <f>'Basis Options'!AL20/10000</f>
        <v>0</v>
      </c>
      <c r="D41" s="163">
        <f>'Basis Options'!AM20/10000</f>
        <v>0</v>
      </c>
      <c r="E41" s="163">
        <f>'Basis Options'!AN20/10000</f>
        <v>0</v>
      </c>
      <c r="F41" s="163">
        <f>'Basis Options'!AO20/10000</f>
        <v>0</v>
      </c>
      <c r="G41" s="163">
        <f>'Basis Options'!AP20/10000</f>
        <v>0</v>
      </c>
      <c r="H41" s="163">
        <f>'Basis Options'!AQ20/10000</f>
        <v>0</v>
      </c>
      <c r="I41" s="187">
        <f t="shared" si="4"/>
        <v>0</v>
      </c>
      <c r="M41" s="293">
        <f t="shared" si="1"/>
        <v>37653</v>
      </c>
      <c r="N41" s="383">
        <f t="shared" si="2"/>
        <v>0</v>
      </c>
    </row>
    <row r="42" spans="2:14" ht="13.8" thickBot="1" x14ac:dyDescent="0.3">
      <c r="B42" s="164">
        <f>'Basis Options'!AK21</f>
        <v>36617</v>
      </c>
      <c r="C42" s="163">
        <f>'Basis Options'!AL21/10000</f>
        <v>0</v>
      </c>
      <c r="D42" s="163">
        <f>'Basis Options'!AM21/10000</f>
        <v>0</v>
      </c>
      <c r="E42" s="163">
        <f>'Basis Options'!AN21/10000</f>
        <v>0</v>
      </c>
      <c r="F42" s="163">
        <f>'Basis Options'!AO21/10000</f>
        <v>0</v>
      </c>
      <c r="G42" s="163">
        <f>'Basis Options'!AP21/10000</f>
        <v>0</v>
      </c>
      <c r="H42" s="163">
        <f>'Basis Options'!AQ21/10000</f>
        <v>0</v>
      </c>
      <c r="I42" s="187">
        <f t="shared" si="4"/>
        <v>0</v>
      </c>
      <c r="M42" s="178" t="s">
        <v>116</v>
      </c>
      <c r="N42" s="191">
        <f>SUM(N6:N41)</f>
        <v>14.347572089825197</v>
      </c>
    </row>
    <row r="43" spans="2:14" x14ac:dyDescent="0.25">
      <c r="B43" s="164">
        <f>'Basis Options'!AK22</f>
        <v>36647</v>
      </c>
      <c r="C43" s="163">
        <f>'Basis Options'!AL22/10000</f>
        <v>-0.42751741145894046</v>
      </c>
      <c r="D43" s="163">
        <f>'Basis Options'!AM22/10000</f>
        <v>0.21426214886112138</v>
      </c>
      <c r="E43" s="163">
        <f>'Basis Options'!AN22/10000</f>
        <v>0.77927868478268536</v>
      </c>
      <c r="F43" s="163">
        <f>'Basis Options'!AO22/10000</f>
        <v>0</v>
      </c>
      <c r="G43" s="163">
        <f>'Basis Options'!AP22/10000</f>
        <v>0</v>
      </c>
      <c r="H43" s="163">
        <f>'Basis Options'!AQ22/10000</f>
        <v>0</v>
      </c>
      <c r="I43" s="187">
        <f t="shared" si="4"/>
        <v>0.56602342218486634</v>
      </c>
    </row>
    <row r="44" spans="2:14" x14ac:dyDescent="0.25">
      <c r="B44" s="164">
        <f>'Basis Options'!AK23</f>
        <v>36678</v>
      </c>
      <c r="C44" s="163">
        <f>'Basis Options'!AL23/10000</f>
        <v>-0.77289958118385982</v>
      </c>
      <c r="D44" s="163">
        <f>'Basis Options'!AM23/10000</f>
        <v>0.41182382158206021</v>
      </c>
      <c r="E44" s="163">
        <f>'Basis Options'!AN23/10000</f>
        <v>1.4230009674688393</v>
      </c>
      <c r="F44" s="163">
        <f>'Basis Options'!AO23/10000</f>
        <v>0</v>
      </c>
      <c r="G44" s="163">
        <f>'Basis Options'!AP23/10000</f>
        <v>0</v>
      </c>
      <c r="H44" s="163">
        <f>'Basis Options'!AQ23/10000</f>
        <v>0</v>
      </c>
      <c r="I44" s="187">
        <f t="shared" si="4"/>
        <v>1.0619252078670396</v>
      </c>
    </row>
    <row r="45" spans="2:14" x14ac:dyDescent="0.25">
      <c r="B45" s="164">
        <f>'Basis Options'!AK24</f>
        <v>36708</v>
      </c>
      <c r="C45" s="163">
        <f>'Basis Options'!AL24/10000</f>
        <v>-0.92384254931875331</v>
      </c>
      <c r="D45" s="163">
        <f>'Basis Options'!AM24/10000</f>
        <v>0.55793172930431023</v>
      </c>
      <c r="E45" s="163">
        <f>'Basis Options'!AN24/10000</f>
        <v>1.8957146776269176</v>
      </c>
      <c r="F45" s="163">
        <f>'Basis Options'!AO24/10000</f>
        <v>0</v>
      </c>
      <c r="G45" s="163">
        <f>'Basis Options'!AP24/10000</f>
        <v>0</v>
      </c>
      <c r="H45" s="163">
        <f>'Basis Options'!AQ24/10000</f>
        <v>0</v>
      </c>
      <c r="I45" s="187">
        <f t="shared" si="4"/>
        <v>1.5298038576124746</v>
      </c>
    </row>
    <row r="46" spans="2:14" x14ac:dyDescent="0.25">
      <c r="B46" s="164">
        <f>'Basis Options'!AK25</f>
        <v>36739</v>
      </c>
      <c r="C46" s="163">
        <f>'Basis Options'!AL25/10000</f>
        <v>-1.1520479257523606</v>
      </c>
      <c r="D46" s="163">
        <f>'Basis Options'!AM25/10000</f>
        <v>0.69192853632094919</v>
      </c>
      <c r="E46" s="163">
        <f>'Basis Options'!AN25/10000</f>
        <v>2.4003664389002397</v>
      </c>
      <c r="F46" s="163">
        <f>'Basis Options'!AO25/10000</f>
        <v>0</v>
      </c>
      <c r="G46" s="163">
        <f>'Basis Options'!AP25/10000</f>
        <v>0</v>
      </c>
      <c r="H46" s="163">
        <f>'Basis Options'!AQ25/10000</f>
        <v>0</v>
      </c>
      <c r="I46" s="187">
        <f t="shared" si="4"/>
        <v>1.9402470494688284</v>
      </c>
    </row>
    <row r="47" spans="2:14" x14ac:dyDescent="0.25">
      <c r="B47" s="164">
        <f>'Basis Options'!AK26</f>
        <v>36770</v>
      </c>
      <c r="C47" s="163">
        <f>'Basis Options'!AL26/10000</f>
        <v>-1.4069662139814318</v>
      </c>
      <c r="D47" s="163">
        <f>'Basis Options'!AM26/10000</f>
        <v>0.79568741642971585</v>
      </c>
      <c r="E47" s="163">
        <f>'Basis Options'!AN26/10000</f>
        <v>2.6564834385037566</v>
      </c>
      <c r="F47" s="163">
        <f>'Basis Options'!AO26/10000</f>
        <v>0</v>
      </c>
      <c r="G47" s="163">
        <f>'Basis Options'!AP26/10000</f>
        <v>0</v>
      </c>
      <c r="H47" s="163">
        <f>'Basis Options'!AQ26/10000</f>
        <v>0</v>
      </c>
      <c r="I47" s="187">
        <f t="shared" si="4"/>
        <v>2.0452046409520408</v>
      </c>
    </row>
    <row r="48" spans="2:14" x14ac:dyDescent="0.25">
      <c r="B48" s="164">
        <f>'Basis Options'!AK27</f>
        <v>36800</v>
      </c>
      <c r="C48" s="163">
        <f>'Basis Options'!AL27/10000</f>
        <v>-1.4930053170524624</v>
      </c>
      <c r="D48" s="163">
        <f>'Basis Options'!AM27/10000</f>
        <v>0.89129254498301302</v>
      </c>
      <c r="E48" s="163">
        <f>'Basis Options'!AN27/10000</f>
        <v>3.0001596354942608</v>
      </c>
      <c r="F48" s="163">
        <f>'Basis Options'!AO27/10000</f>
        <v>0</v>
      </c>
      <c r="G48" s="163">
        <f>'Basis Options'!AP27/10000</f>
        <v>0</v>
      </c>
      <c r="H48" s="163">
        <f>'Basis Options'!AQ27/10000</f>
        <v>0</v>
      </c>
      <c r="I48" s="187">
        <f t="shared" si="4"/>
        <v>2.3984468634248115</v>
      </c>
    </row>
    <row r="49" spans="2:9" x14ac:dyDescent="0.25">
      <c r="B49" s="164">
        <f>'Basis Options'!AK28</f>
        <v>36831</v>
      </c>
      <c r="C49" s="163">
        <f>'Basis Options'!AL28/10000</f>
        <v>9.4537540315526059</v>
      </c>
      <c r="D49" s="163">
        <f>'Basis Options'!AM28/10000</f>
        <v>0.84269770266553534</v>
      </c>
      <c r="E49" s="163">
        <f>'Basis Options'!AN28/10000</f>
        <v>0</v>
      </c>
      <c r="F49" s="163">
        <f>'Basis Options'!AO28/10000</f>
        <v>0</v>
      </c>
      <c r="G49" s="163">
        <f>'Basis Options'!AP28/10000</f>
        <v>0</v>
      </c>
      <c r="H49" s="163">
        <f>'Basis Options'!AQ28/10000</f>
        <v>0</v>
      </c>
      <c r="I49" s="187">
        <f t="shared" si="4"/>
        <v>10.296451734218142</v>
      </c>
    </row>
    <row r="50" spans="2:9" x14ac:dyDescent="0.25">
      <c r="B50" s="164">
        <f>'Basis Options'!AK29</f>
        <v>36861</v>
      </c>
      <c r="C50" s="163">
        <f>'Basis Options'!AL29/10000</f>
        <v>-0.58537222900281771</v>
      </c>
      <c r="D50" s="163">
        <f>'Basis Options'!AM29/10000</f>
        <v>1.0160923910770405</v>
      </c>
      <c r="E50" s="163">
        <f>'Basis Options'!AN29/10000</f>
        <v>0</v>
      </c>
      <c r="F50" s="163">
        <f>'Basis Options'!AO29/10000</f>
        <v>0</v>
      </c>
      <c r="G50" s="163">
        <f>'Basis Options'!AP29/10000</f>
        <v>0</v>
      </c>
      <c r="H50" s="163">
        <f>'Basis Options'!AQ29/10000</f>
        <v>0</v>
      </c>
      <c r="I50" s="187">
        <f t="shared" si="4"/>
        <v>0.43072016207422281</v>
      </c>
    </row>
    <row r="51" spans="2:9" x14ac:dyDescent="0.25">
      <c r="B51" s="164">
        <f>'Basis Options'!AK30</f>
        <v>36892</v>
      </c>
      <c r="C51" s="163">
        <f>'Basis Options'!AL30/10000</f>
        <v>-0.82569098749726177</v>
      </c>
      <c r="D51" s="163">
        <f>'Basis Options'!AM30/10000</f>
        <v>1.0933070800806395</v>
      </c>
      <c r="E51" s="163">
        <f>'Basis Options'!AN30/10000</f>
        <v>0</v>
      </c>
      <c r="F51" s="163">
        <f>'Basis Options'!AO30/10000</f>
        <v>0</v>
      </c>
      <c r="G51" s="163">
        <f>'Basis Options'!AP30/10000</f>
        <v>0</v>
      </c>
      <c r="H51" s="163">
        <f>'Basis Options'!AQ30/10000</f>
        <v>0</v>
      </c>
      <c r="I51" s="187">
        <f t="shared" si="4"/>
        <v>0.26761609258337771</v>
      </c>
    </row>
    <row r="52" spans="2:9" x14ac:dyDescent="0.25">
      <c r="B52" s="164">
        <f>'Basis Options'!AK31</f>
        <v>36923</v>
      </c>
      <c r="C52" s="163">
        <f>'Basis Options'!AL31/10000</f>
        <v>-0.82154018213864988</v>
      </c>
      <c r="D52" s="163">
        <f>'Basis Options'!AM31/10000</f>
        <v>1.0134257489568932</v>
      </c>
      <c r="E52" s="163">
        <f>'Basis Options'!AN31/10000</f>
        <v>0</v>
      </c>
      <c r="F52" s="163">
        <f>'Basis Options'!AO31/10000</f>
        <v>0</v>
      </c>
      <c r="G52" s="163">
        <f>'Basis Options'!AP31/10000</f>
        <v>0</v>
      </c>
      <c r="H52" s="163">
        <f>'Basis Options'!AQ31/10000</f>
        <v>0</v>
      </c>
      <c r="I52" s="187">
        <f t="shared" si="4"/>
        <v>0.19188556681824331</v>
      </c>
    </row>
    <row r="53" spans="2:9" x14ac:dyDescent="0.25">
      <c r="B53" s="164">
        <f>'Basis Options'!AK32</f>
        <v>36951</v>
      </c>
      <c r="C53" s="163">
        <f>'Basis Options'!AL32/10000</f>
        <v>1.4848529464058724</v>
      </c>
      <c r="D53" s="163">
        <f>'Basis Options'!AM32/10000</f>
        <v>0.99292902750495848</v>
      </c>
      <c r="E53" s="163">
        <f>'Basis Options'!AN32/10000</f>
        <v>0</v>
      </c>
      <c r="F53" s="163">
        <f>'Basis Options'!AO32/10000</f>
        <v>0</v>
      </c>
      <c r="G53" s="163">
        <f>'Basis Options'!AP32/10000</f>
        <v>0</v>
      </c>
      <c r="H53" s="163">
        <f>'Basis Options'!AQ32/10000</f>
        <v>0</v>
      </c>
      <c r="I53" s="187">
        <f t="shared" si="4"/>
        <v>2.4777819739108309</v>
      </c>
    </row>
    <row r="54" spans="2:9" x14ac:dyDescent="0.25">
      <c r="B54" s="164">
        <f>'Basis Options'!AK33</f>
        <v>36982</v>
      </c>
      <c r="C54" s="163">
        <f>'Basis Options'!AL33/10000</f>
        <v>0.77097706600747773</v>
      </c>
      <c r="D54" s="163">
        <f>'Basis Options'!AM33/10000</f>
        <v>0</v>
      </c>
      <c r="E54" s="163">
        <f>'Basis Options'!AN33/10000</f>
        <v>0</v>
      </c>
      <c r="F54" s="163">
        <f>'Basis Options'!AO33/10000</f>
        <v>0</v>
      </c>
      <c r="G54" s="163">
        <f>'Basis Options'!AP33/10000</f>
        <v>0</v>
      </c>
      <c r="H54" s="163">
        <f>'Basis Options'!AQ33/10000</f>
        <v>0</v>
      </c>
      <c r="I54" s="187">
        <f t="shared" si="4"/>
        <v>0.77097706600747773</v>
      </c>
    </row>
    <row r="55" spans="2:9" x14ac:dyDescent="0.25">
      <c r="B55" s="164">
        <f>'Basis Options'!AK34</f>
        <v>37012</v>
      </c>
      <c r="C55" s="163">
        <f>'Basis Options'!AL34/10000</f>
        <v>0.74452120027244095</v>
      </c>
      <c r="D55" s="163">
        <f>'Basis Options'!AM34/10000</f>
        <v>0</v>
      </c>
      <c r="E55" s="163">
        <f>'Basis Options'!AN34/10000</f>
        <v>0</v>
      </c>
      <c r="F55" s="163">
        <f>'Basis Options'!AO34/10000</f>
        <v>0</v>
      </c>
      <c r="G55" s="163">
        <f>'Basis Options'!AP34/10000</f>
        <v>0</v>
      </c>
      <c r="H55" s="163">
        <f>'Basis Options'!AQ34/10000</f>
        <v>0</v>
      </c>
      <c r="I55" s="187">
        <f t="shared" si="4"/>
        <v>0.74452120027244095</v>
      </c>
    </row>
    <row r="56" spans="2:9" x14ac:dyDescent="0.25">
      <c r="B56" s="164">
        <f>'Basis Options'!AK35</f>
        <v>37043</v>
      </c>
      <c r="C56" s="163">
        <f>'Basis Options'!AL35/10000</f>
        <v>0.74952118483608066</v>
      </c>
      <c r="D56" s="163">
        <f>'Basis Options'!AM35/10000</f>
        <v>0</v>
      </c>
      <c r="E56" s="163">
        <f>'Basis Options'!AN35/10000</f>
        <v>0</v>
      </c>
      <c r="F56" s="163">
        <f>'Basis Options'!AO35/10000</f>
        <v>0</v>
      </c>
      <c r="G56" s="163">
        <f>'Basis Options'!AP35/10000</f>
        <v>0</v>
      </c>
      <c r="H56" s="163">
        <f>'Basis Options'!AQ35/10000</f>
        <v>0</v>
      </c>
      <c r="I56" s="187">
        <f t="shared" si="4"/>
        <v>0.74952118483608066</v>
      </c>
    </row>
    <row r="57" spans="2:9" x14ac:dyDescent="0.25">
      <c r="B57" s="164">
        <f>'Basis Options'!AK36</f>
        <v>37073</v>
      </c>
      <c r="C57" s="163">
        <f>'Basis Options'!AL36/10000</f>
        <v>0.7726924766857497</v>
      </c>
      <c r="D57" s="163">
        <f>'Basis Options'!AM36/10000</f>
        <v>0</v>
      </c>
      <c r="E57" s="163">
        <f>'Basis Options'!AN36/10000</f>
        <v>0</v>
      </c>
      <c r="F57" s="163">
        <f>'Basis Options'!AO36/10000</f>
        <v>0</v>
      </c>
      <c r="G57" s="163">
        <f>'Basis Options'!AP36/10000</f>
        <v>0</v>
      </c>
      <c r="H57" s="163">
        <f>'Basis Options'!AQ36/10000</f>
        <v>0</v>
      </c>
      <c r="I57" s="187">
        <f t="shared" si="4"/>
        <v>0.7726924766857497</v>
      </c>
    </row>
    <row r="58" spans="2:9" x14ac:dyDescent="0.25">
      <c r="B58" s="164">
        <f>'Basis Options'!AK37</f>
        <v>37104</v>
      </c>
      <c r="C58" s="163">
        <f>'Basis Options'!AL37/10000</f>
        <v>0.79751296652134629</v>
      </c>
      <c r="D58" s="163">
        <f>'Basis Options'!AM37/10000</f>
        <v>0</v>
      </c>
      <c r="E58" s="163">
        <f>'Basis Options'!AN37/10000</f>
        <v>0</v>
      </c>
      <c r="F58" s="163">
        <f>'Basis Options'!AO37/10000</f>
        <v>0</v>
      </c>
      <c r="G58" s="163">
        <f>'Basis Options'!AP37/10000</f>
        <v>0</v>
      </c>
      <c r="H58" s="163">
        <f>'Basis Options'!AQ37/10000</f>
        <v>0</v>
      </c>
      <c r="I58" s="187">
        <f t="shared" si="4"/>
        <v>0.79751296652134629</v>
      </c>
    </row>
    <row r="59" spans="2:9" x14ac:dyDescent="0.25">
      <c r="B59" s="164">
        <f>'Basis Options'!AK38</f>
        <v>37135</v>
      </c>
      <c r="C59" s="163">
        <f>'Basis Options'!AL38/10000</f>
        <v>0.82234566574405477</v>
      </c>
      <c r="D59" s="163">
        <f>'Basis Options'!AM38/10000</f>
        <v>0</v>
      </c>
      <c r="E59" s="163">
        <f>'Basis Options'!AN38/10000</f>
        <v>0</v>
      </c>
      <c r="F59" s="163">
        <f>'Basis Options'!AO38/10000</f>
        <v>0</v>
      </c>
      <c r="G59" s="163">
        <f>'Basis Options'!AP38/10000</f>
        <v>0</v>
      </c>
      <c r="H59" s="163">
        <f>'Basis Options'!AQ38/10000</f>
        <v>0</v>
      </c>
      <c r="I59" s="187">
        <f t="shared" si="4"/>
        <v>0.82234566574405477</v>
      </c>
    </row>
    <row r="60" spans="2:9" x14ac:dyDescent="0.25">
      <c r="B60" s="164">
        <f>'Basis Options'!AK39</f>
        <v>37165</v>
      </c>
      <c r="C60" s="163">
        <f>'Basis Options'!AL39/10000</f>
        <v>0.8642764654929953</v>
      </c>
      <c r="D60" s="163">
        <f>'Basis Options'!AM39/10000</f>
        <v>0</v>
      </c>
      <c r="E60" s="163">
        <f>'Basis Options'!AN39/10000</f>
        <v>0</v>
      </c>
      <c r="F60" s="163">
        <f>'Basis Options'!AO39/10000</f>
        <v>0</v>
      </c>
      <c r="G60" s="163">
        <f>'Basis Options'!AP39/10000</f>
        <v>0</v>
      </c>
      <c r="H60" s="163">
        <f>'Basis Options'!AQ39/10000</f>
        <v>0</v>
      </c>
      <c r="I60" s="187">
        <f t="shared" si="4"/>
        <v>0.8642764654929953</v>
      </c>
    </row>
    <row r="61" spans="2:9" x14ac:dyDescent="0.25">
      <c r="B61" s="164">
        <f>'Basis Options'!AK40</f>
        <v>37196</v>
      </c>
      <c r="C61" s="163">
        <f>'Basis Options'!AL40/10000</f>
        <v>-3.2425436980491038</v>
      </c>
      <c r="D61" s="163">
        <f>'Basis Options'!AM40/10000</f>
        <v>0</v>
      </c>
      <c r="E61" s="163">
        <f>'Basis Options'!AN40/10000</f>
        <v>0</v>
      </c>
      <c r="F61" s="163">
        <f>'Basis Options'!AO40/10000</f>
        <v>0</v>
      </c>
      <c r="G61" s="163">
        <f>'Basis Options'!AP40/10000</f>
        <v>0</v>
      </c>
      <c r="H61" s="163">
        <f>'Basis Options'!AQ40/10000</f>
        <v>0</v>
      </c>
      <c r="I61" s="187">
        <f t="shared" si="4"/>
        <v>-3.2425436980491038</v>
      </c>
    </row>
    <row r="62" spans="2:9" x14ac:dyDescent="0.25">
      <c r="B62" s="164">
        <f>'Basis Options'!AK41</f>
        <v>37226</v>
      </c>
      <c r="C62" s="163">
        <f>'Basis Options'!AL41/10000</f>
        <v>-3.209045365978568</v>
      </c>
      <c r="D62" s="163">
        <f>'Basis Options'!AM41/10000</f>
        <v>0</v>
      </c>
      <c r="E62" s="163">
        <f>'Basis Options'!AN41/10000</f>
        <v>0</v>
      </c>
      <c r="F62" s="163">
        <f>'Basis Options'!AO41/10000</f>
        <v>0</v>
      </c>
      <c r="G62" s="163">
        <f>'Basis Options'!AP41/10000</f>
        <v>0</v>
      </c>
      <c r="H62" s="163">
        <f>'Basis Options'!AQ41/10000</f>
        <v>0</v>
      </c>
      <c r="I62" s="187">
        <f t="shared" si="4"/>
        <v>-3.209045365978568</v>
      </c>
    </row>
    <row r="63" spans="2:9" x14ac:dyDescent="0.25">
      <c r="B63" s="164">
        <f>'Basis Options'!AK42</f>
        <v>37257</v>
      </c>
      <c r="C63" s="163">
        <f>'Basis Options'!AL42/10000</f>
        <v>-1.8788785577043658</v>
      </c>
      <c r="D63" s="163">
        <f>'Basis Options'!AM42/10000</f>
        <v>0</v>
      </c>
      <c r="E63" s="163">
        <f>'Basis Options'!AN42/10000</f>
        <v>0</v>
      </c>
      <c r="F63" s="163">
        <f>'Basis Options'!AO42/10000</f>
        <v>0</v>
      </c>
      <c r="G63" s="163">
        <f>'Basis Options'!AP42/10000</f>
        <v>0</v>
      </c>
      <c r="H63" s="163">
        <f>'Basis Options'!AQ42/10000</f>
        <v>0</v>
      </c>
      <c r="I63" s="187">
        <f t="shared" si="4"/>
        <v>-1.8788785577043658</v>
      </c>
    </row>
    <row r="64" spans="2:9" x14ac:dyDescent="0.25">
      <c r="B64" s="164">
        <f>'Basis Options'!AK43</f>
        <v>37288</v>
      </c>
      <c r="C64" s="163">
        <f>'Basis Options'!AL43/10000</f>
        <v>-2.6653724092039162</v>
      </c>
      <c r="D64" s="163">
        <f>'Basis Options'!AM43/10000</f>
        <v>0</v>
      </c>
      <c r="E64" s="163">
        <f>'Basis Options'!AN43/10000</f>
        <v>0</v>
      </c>
      <c r="F64" s="163">
        <f>'Basis Options'!AO43/10000</f>
        <v>0</v>
      </c>
      <c r="G64" s="163">
        <f>'Basis Options'!AP43/10000</f>
        <v>0</v>
      </c>
      <c r="H64" s="163">
        <f>'Basis Options'!AQ43/10000</f>
        <v>0</v>
      </c>
      <c r="I64" s="187">
        <f t="shared" si="4"/>
        <v>-2.6653724092039162</v>
      </c>
    </row>
    <row r="65" spans="2:12" x14ac:dyDescent="0.25">
      <c r="B65" s="164">
        <f>'Basis Options'!AK44</f>
        <v>37316</v>
      </c>
      <c r="C65" s="163">
        <f>'Basis Options'!AL44/10000</f>
        <v>-3.394775341224781</v>
      </c>
      <c r="D65" s="163">
        <f>'Basis Options'!AM44/10000</f>
        <v>0</v>
      </c>
      <c r="E65" s="163">
        <f>'Basis Options'!AN44/10000</f>
        <v>0</v>
      </c>
      <c r="F65" s="163">
        <f>'Basis Options'!AO44/10000</f>
        <v>0</v>
      </c>
      <c r="G65" s="163">
        <f>'Basis Options'!AP44/10000</f>
        <v>0</v>
      </c>
      <c r="H65" s="163">
        <f>'Basis Options'!AQ44/10000</f>
        <v>0</v>
      </c>
      <c r="I65" s="187">
        <f t="shared" si="4"/>
        <v>-3.394775341224781</v>
      </c>
    </row>
    <row r="66" spans="2:12" x14ac:dyDescent="0.25">
      <c r="B66" s="164">
        <f>'Basis Options'!AK45</f>
        <v>37347</v>
      </c>
      <c r="C66" s="163">
        <f>'Basis Options'!AL45/10000</f>
        <v>0</v>
      </c>
      <c r="D66" s="163">
        <f>'Basis Options'!AM45/10000</f>
        <v>0</v>
      </c>
      <c r="E66" s="163">
        <f>'Basis Options'!AN45/10000</f>
        <v>0</v>
      </c>
      <c r="F66" s="163">
        <f>'Basis Options'!AO45/10000</f>
        <v>0</v>
      </c>
      <c r="G66" s="163">
        <f>'Basis Options'!AP45/10000</f>
        <v>0</v>
      </c>
      <c r="H66" s="163">
        <f>'Basis Options'!AQ45/10000</f>
        <v>0</v>
      </c>
      <c r="I66" s="187">
        <f t="shared" si="4"/>
        <v>0</v>
      </c>
    </row>
    <row r="67" spans="2:12" x14ac:dyDescent="0.25">
      <c r="B67" s="164">
        <f>'Basis Options'!AK46</f>
        <v>37377</v>
      </c>
      <c r="C67" s="163">
        <f>'Basis Options'!AL46/10000</f>
        <v>0</v>
      </c>
      <c r="D67" s="163">
        <f>'Basis Options'!AM46/10000</f>
        <v>0</v>
      </c>
      <c r="E67" s="163">
        <f>'Basis Options'!AN46/10000</f>
        <v>0</v>
      </c>
      <c r="F67" s="163">
        <f>'Basis Options'!AO46/10000</f>
        <v>0</v>
      </c>
      <c r="G67" s="163">
        <f>'Basis Options'!AP46/10000</f>
        <v>0</v>
      </c>
      <c r="H67" s="163">
        <f>'Basis Options'!AQ46/10000</f>
        <v>0</v>
      </c>
      <c r="I67" s="187">
        <f t="shared" si="4"/>
        <v>0</v>
      </c>
    </row>
    <row r="68" spans="2:12" x14ac:dyDescent="0.25">
      <c r="B68" s="164">
        <f>'Basis Options'!AK47</f>
        <v>37408</v>
      </c>
      <c r="C68" s="163">
        <f>'Basis Options'!AL47/10000</f>
        <v>0</v>
      </c>
      <c r="D68" s="163">
        <f>'Basis Options'!AM47/10000</f>
        <v>0</v>
      </c>
      <c r="E68" s="163">
        <f>'Basis Options'!AN47/10000</f>
        <v>0</v>
      </c>
      <c r="F68" s="163">
        <f>'Basis Options'!AO47/10000</f>
        <v>0</v>
      </c>
      <c r="G68" s="163">
        <f>'Basis Options'!AP47/10000</f>
        <v>0</v>
      </c>
      <c r="H68" s="163">
        <f>'Basis Options'!AQ47/10000</f>
        <v>0</v>
      </c>
      <c r="I68" s="187">
        <f t="shared" si="4"/>
        <v>0</v>
      </c>
    </row>
    <row r="69" spans="2:12" x14ac:dyDescent="0.25">
      <c r="B69" s="164">
        <f>'Basis Options'!AK48</f>
        <v>37438</v>
      </c>
      <c r="C69" s="163">
        <f>'Basis Options'!AL48/10000</f>
        <v>0</v>
      </c>
      <c r="D69" s="163">
        <f>'Basis Options'!AM48/10000</f>
        <v>0</v>
      </c>
      <c r="E69" s="163">
        <f>'Basis Options'!AN48/10000</f>
        <v>0</v>
      </c>
      <c r="F69" s="163">
        <f>'Basis Options'!AO48/10000</f>
        <v>0</v>
      </c>
      <c r="G69" s="163">
        <f>'Basis Options'!AP48/10000</f>
        <v>0</v>
      </c>
      <c r="H69" s="163">
        <f>'Basis Options'!AQ48/10000</f>
        <v>0</v>
      </c>
      <c r="I69" s="187">
        <f t="shared" si="4"/>
        <v>0</v>
      </c>
    </row>
    <row r="70" spans="2:12" x14ac:dyDescent="0.25">
      <c r="B70" s="164">
        <f>'Basis Options'!AK49</f>
        <v>37469</v>
      </c>
      <c r="C70" s="163">
        <f>'Basis Options'!AL49/10000</f>
        <v>0</v>
      </c>
      <c r="D70" s="163">
        <f>'Basis Options'!AM49/10000</f>
        <v>0</v>
      </c>
      <c r="E70" s="163">
        <f>'Basis Options'!AN49/10000</f>
        <v>0</v>
      </c>
      <c r="F70" s="163">
        <f>'Basis Options'!AO49/10000</f>
        <v>0</v>
      </c>
      <c r="G70" s="163">
        <f>'Basis Options'!AP49/10000</f>
        <v>0</v>
      </c>
      <c r="H70" s="163">
        <f>'Basis Options'!AQ49/10000</f>
        <v>0</v>
      </c>
      <c r="I70" s="187">
        <f t="shared" si="4"/>
        <v>0</v>
      </c>
    </row>
    <row r="71" spans="2:12" x14ac:dyDescent="0.25">
      <c r="B71" s="164">
        <f>'Basis Options'!AK50</f>
        <v>37500</v>
      </c>
      <c r="C71" s="163">
        <f>'Basis Options'!AL50/10000</f>
        <v>0</v>
      </c>
      <c r="D71" s="163">
        <f>'Basis Options'!AM50/10000</f>
        <v>0</v>
      </c>
      <c r="E71" s="163">
        <f>'Basis Options'!AN50/10000</f>
        <v>0</v>
      </c>
      <c r="F71" s="163">
        <f>'Basis Options'!AO50/10000</f>
        <v>0</v>
      </c>
      <c r="G71" s="163">
        <f>'Basis Options'!AP50/10000</f>
        <v>0</v>
      </c>
      <c r="H71" s="163">
        <f>'Basis Options'!AQ50/10000</f>
        <v>0</v>
      </c>
      <c r="I71" s="187">
        <f t="shared" si="4"/>
        <v>0</v>
      </c>
    </row>
    <row r="72" spans="2:12" x14ac:dyDescent="0.25">
      <c r="B72" s="164">
        <f>'Basis Options'!AK51</f>
        <v>37530</v>
      </c>
      <c r="C72" s="163">
        <f>'Basis Options'!AL51/10000</f>
        <v>0</v>
      </c>
      <c r="D72" s="163">
        <f>'Basis Options'!AM51/10000</f>
        <v>0</v>
      </c>
      <c r="E72" s="163">
        <f>'Basis Options'!AN51/10000</f>
        <v>0</v>
      </c>
      <c r="F72" s="163">
        <f>'Basis Options'!AO51/10000</f>
        <v>0</v>
      </c>
      <c r="G72" s="163">
        <f>'Basis Options'!AP51/10000</f>
        <v>0</v>
      </c>
      <c r="H72" s="163">
        <f>'Basis Options'!AQ51/10000</f>
        <v>0</v>
      </c>
      <c r="I72" s="187">
        <f t="shared" si="4"/>
        <v>0</v>
      </c>
    </row>
    <row r="73" spans="2:12" x14ac:dyDescent="0.25">
      <c r="B73" s="164">
        <f>'Basis Options'!AK52</f>
        <v>37561</v>
      </c>
      <c r="C73" s="163">
        <f>'Basis Options'!AL52/10000</f>
        <v>0</v>
      </c>
      <c r="D73" s="163">
        <f>'Basis Options'!AM52/10000</f>
        <v>0</v>
      </c>
      <c r="E73" s="163">
        <f>'Basis Options'!AN52/10000</f>
        <v>0</v>
      </c>
      <c r="F73" s="163">
        <f>'Basis Options'!AO52/10000</f>
        <v>0</v>
      </c>
      <c r="G73" s="163">
        <f>'Basis Options'!AP52/10000</f>
        <v>0</v>
      </c>
      <c r="H73" s="163">
        <f>'Basis Options'!AQ52/10000</f>
        <v>0</v>
      </c>
      <c r="I73" s="187">
        <f t="shared" si="4"/>
        <v>0</v>
      </c>
    </row>
    <row r="74" spans="2:12" x14ac:dyDescent="0.25">
      <c r="B74" s="164">
        <f>'Basis Options'!AK53</f>
        <v>37591</v>
      </c>
      <c r="C74" s="163">
        <f>'Basis Options'!AL53/10000</f>
        <v>0</v>
      </c>
      <c r="D74" s="163">
        <f>'Basis Options'!AM53/10000</f>
        <v>0</v>
      </c>
      <c r="E74" s="163">
        <f>'Basis Options'!AN53/10000</f>
        <v>0</v>
      </c>
      <c r="F74" s="163">
        <f>'Basis Options'!AO53/10000</f>
        <v>0</v>
      </c>
      <c r="G74" s="163">
        <f>'Basis Options'!AP53/10000</f>
        <v>0</v>
      </c>
      <c r="H74" s="163">
        <f>'Basis Options'!AQ53/10000</f>
        <v>0</v>
      </c>
      <c r="I74" s="187">
        <f t="shared" si="4"/>
        <v>0</v>
      </c>
    </row>
    <row r="75" spans="2:12" x14ac:dyDescent="0.25">
      <c r="B75" s="164">
        <f>'Basis Options'!AK54</f>
        <v>37622</v>
      </c>
      <c r="C75" s="163">
        <f>'Basis Options'!AL54/10000</f>
        <v>0</v>
      </c>
      <c r="D75" s="163">
        <f>'Basis Options'!AM54/10000</f>
        <v>0</v>
      </c>
      <c r="E75" s="163">
        <f>'Basis Options'!AN54/10000</f>
        <v>0</v>
      </c>
      <c r="F75" s="163">
        <f>'Basis Options'!AO54/10000</f>
        <v>0</v>
      </c>
      <c r="G75" s="163">
        <f>'Basis Options'!AP54/10000</f>
        <v>0</v>
      </c>
      <c r="H75" s="163">
        <f>'Basis Options'!AQ54/10000</f>
        <v>0</v>
      </c>
      <c r="I75" s="187">
        <f t="shared" si="4"/>
        <v>0</v>
      </c>
    </row>
    <row r="76" spans="2:12" x14ac:dyDescent="0.25">
      <c r="B76" s="164">
        <f>'Basis Options'!AK55</f>
        <v>37653</v>
      </c>
      <c r="C76" s="163">
        <f>'Basis Options'!AL55/10000</f>
        <v>0</v>
      </c>
      <c r="D76" s="163">
        <f>'Basis Options'!AM55/10000</f>
        <v>0</v>
      </c>
      <c r="E76" s="163">
        <f>'Basis Options'!AN55/10000</f>
        <v>0</v>
      </c>
      <c r="F76" s="163">
        <f>'Basis Options'!AO55/10000</f>
        <v>0</v>
      </c>
      <c r="G76" s="163">
        <f>'Basis Options'!AP55/10000</f>
        <v>0</v>
      </c>
      <c r="H76" s="163">
        <f>'Basis Options'!AQ55/10000</f>
        <v>0</v>
      </c>
      <c r="I76" s="187">
        <f t="shared" si="4"/>
        <v>0</v>
      </c>
    </row>
    <row r="77" spans="2:12" ht="13.8" thickBot="1" x14ac:dyDescent="0.3">
      <c r="B77" s="164">
        <f>'Basis Options'!AK56</f>
        <v>37681</v>
      </c>
      <c r="C77" s="163">
        <f>'Basis Options'!AL56/10000</f>
        <v>0</v>
      </c>
      <c r="D77" s="163">
        <f>'Basis Options'!AM56/10000</f>
        <v>0</v>
      </c>
      <c r="E77" s="163">
        <f>'Basis Options'!AN56/10000</f>
        <v>0</v>
      </c>
      <c r="F77" s="163">
        <f>'Basis Options'!AO56/10000</f>
        <v>0</v>
      </c>
      <c r="G77" s="163">
        <f>'Basis Options'!AP56/10000</f>
        <v>0</v>
      </c>
      <c r="H77" s="163">
        <f>'Basis Options'!AQ56/10000</f>
        <v>0</v>
      </c>
      <c r="I77" s="187">
        <f t="shared" si="4"/>
        <v>0</v>
      </c>
    </row>
    <row r="78" spans="2:12" ht="13.8" thickBot="1" x14ac:dyDescent="0.3">
      <c r="B78" s="175" t="s">
        <v>116</v>
      </c>
      <c r="C78" s="186">
        <f t="shared" ref="C78:H78" si="5">SUM(C36:C77)</f>
        <v>-6.3390437660286514</v>
      </c>
      <c r="D78" s="186">
        <f t="shared" si="5"/>
        <v>8.5213781477662369</v>
      </c>
      <c r="E78" s="186">
        <f t="shared" si="5"/>
        <v>12.155003842776701</v>
      </c>
      <c r="F78" s="186">
        <f t="shared" si="5"/>
        <v>0</v>
      </c>
      <c r="G78" s="186">
        <f t="shared" si="5"/>
        <v>0</v>
      </c>
      <c r="H78" s="186">
        <f t="shared" si="5"/>
        <v>0</v>
      </c>
      <c r="I78" s="187">
        <f t="shared" si="4"/>
        <v>14.337338224514287</v>
      </c>
    </row>
    <row r="79" spans="2:12" ht="13.8" thickBot="1" x14ac:dyDescent="0.3">
      <c r="K79" s="344"/>
      <c r="L79" s="344"/>
    </row>
    <row r="80" spans="2:12" x14ac:dyDescent="0.25">
      <c r="B80" s="166" t="s">
        <v>118</v>
      </c>
      <c r="C80" s="168"/>
      <c r="E80" s="166" t="s">
        <v>246</v>
      </c>
      <c r="F80" s="167"/>
      <c r="G80" s="167"/>
      <c r="H80" s="167"/>
      <c r="I80" s="168"/>
      <c r="K80" s="344"/>
      <c r="L80" s="344"/>
    </row>
    <row r="81" spans="2:12" x14ac:dyDescent="0.25">
      <c r="B81" s="172"/>
      <c r="C81" s="174" t="s">
        <v>116</v>
      </c>
      <c r="E81" s="172"/>
      <c r="F81" s="173"/>
      <c r="G81" s="173"/>
      <c r="H81" s="173"/>
      <c r="I81" s="174"/>
      <c r="K81" s="345"/>
      <c r="L81" s="345"/>
    </row>
    <row r="82" spans="2:12" ht="13.8" thickBot="1" x14ac:dyDescent="0.3">
      <c r="B82" s="169" t="s">
        <v>114</v>
      </c>
      <c r="C82" s="171" t="s">
        <v>121</v>
      </c>
      <c r="E82" s="169" t="s">
        <v>114</v>
      </c>
      <c r="F82" s="170" t="s">
        <v>240</v>
      </c>
      <c r="G82" s="170" t="s">
        <v>251</v>
      </c>
      <c r="H82" s="170" t="s">
        <v>100</v>
      </c>
      <c r="I82" s="171" t="s">
        <v>116</v>
      </c>
      <c r="K82" s="345"/>
      <c r="L82" s="345"/>
    </row>
    <row r="83" spans="2:12" x14ac:dyDescent="0.25">
      <c r="B83" s="164">
        <f>'Basket Options'!S14</f>
        <v>36434</v>
      </c>
      <c r="C83" s="189">
        <f>'Basket Options'!T14/10000</f>
        <v>0</v>
      </c>
      <c r="E83" s="201">
        <f>Digital!W7</f>
        <v>36647</v>
      </c>
      <c r="F83" s="202">
        <f>Digital!X7/10000</f>
        <v>0</v>
      </c>
      <c r="G83" s="202">
        <f>Digital!Y7/10000</f>
        <v>7.4609967541639875E-3</v>
      </c>
      <c r="H83" s="203">
        <f>Digital!Z7/10000</f>
        <v>0</v>
      </c>
      <c r="I83" s="204">
        <f>SUM(F83:H83)</f>
        <v>7.4609967541639875E-3</v>
      </c>
      <c r="K83" s="345"/>
      <c r="L83" s="345"/>
    </row>
    <row r="84" spans="2:12" ht="12" customHeight="1" x14ac:dyDescent="0.25">
      <c r="B84" s="164">
        <f>'Basket Options'!S15</f>
        <v>36465</v>
      </c>
      <c r="C84" s="189">
        <f>'Basket Options'!T15/10000</f>
        <v>0</v>
      </c>
      <c r="E84" s="201">
        <f>Digital!W8</f>
        <v>36678</v>
      </c>
      <c r="F84" s="202">
        <f>Digital!X8/10000</f>
        <v>0</v>
      </c>
      <c r="G84" s="202">
        <f>Digital!Y8/10000</f>
        <v>0</v>
      </c>
      <c r="H84" s="203">
        <f>Digital!Z8/10000</f>
        <v>0</v>
      </c>
      <c r="I84" s="204">
        <f t="shared" ref="I84:I96" si="6">SUM(F84:H84)</f>
        <v>0</v>
      </c>
      <c r="K84" s="346"/>
      <c r="L84" s="347"/>
    </row>
    <row r="85" spans="2:12" x14ac:dyDescent="0.25">
      <c r="B85" s="164">
        <f>'Basket Options'!S16</f>
        <v>36495</v>
      </c>
      <c r="C85" s="189">
        <f>'Basket Options'!T16/10000</f>
        <v>0</v>
      </c>
      <c r="E85" s="201">
        <f>Digital!W9</f>
        <v>36708</v>
      </c>
      <c r="F85" s="202">
        <f>Digital!X9/10000</f>
        <v>0</v>
      </c>
      <c r="G85" s="202">
        <f>Digital!Y9/10000</f>
        <v>0</v>
      </c>
      <c r="H85" s="203">
        <f>Digital!Z9/10000</f>
        <v>0</v>
      </c>
      <c r="I85" s="204">
        <f t="shared" si="6"/>
        <v>0</v>
      </c>
      <c r="K85" s="346"/>
      <c r="L85" s="347"/>
    </row>
    <row r="86" spans="2:12" x14ac:dyDescent="0.25">
      <c r="B86" s="164">
        <f>'Basket Options'!S17</f>
        <v>36526</v>
      </c>
      <c r="C86" s="189">
        <f>'Basket Options'!T17/10000</f>
        <v>0</v>
      </c>
      <c r="E86" s="201">
        <f>Digital!W10</f>
        <v>36739</v>
      </c>
      <c r="F86" s="202">
        <f>Digital!X10/10000</f>
        <v>0</v>
      </c>
      <c r="G86" s="202">
        <f>Digital!Y10/10000</f>
        <v>0</v>
      </c>
      <c r="H86" s="203">
        <f>Digital!Z10/10000</f>
        <v>0</v>
      </c>
      <c r="I86" s="204">
        <f t="shared" si="6"/>
        <v>0</v>
      </c>
      <c r="K86" s="346"/>
      <c r="L86" s="347"/>
    </row>
    <row r="87" spans="2:12" x14ac:dyDescent="0.25">
      <c r="B87" s="164">
        <f>'Basket Options'!S18</f>
        <v>36557</v>
      </c>
      <c r="C87" s="189">
        <f>'Basket Options'!T18/10000</f>
        <v>0</v>
      </c>
      <c r="E87" s="201">
        <f>Digital!W11</f>
        <v>36770</v>
      </c>
      <c r="F87" s="202">
        <f>Digital!X11/10000</f>
        <v>0</v>
      </c>
      <c r="G87" s="202">
        <f>Digital!Y11/10000</f>
        <v>0</v>
      </c>
      <c r="H87" s="203">
        <f>Digital!Z11/10000</f>
        <v>0</v>
      </c>
      <c r="I87" s="204">
        <f t="shared" si="6"/>
        <v>0</v>
      </c>
      <c r="K87" s="346"/>
      <c r="L87" s="347"/>
    </row>
    <row r="88" spans="2:12" x14ac:dyDescent="0.25">
      <c r="B88" s="164">
        <f>'Basket Options'!S19</f>
        <v>36586</v>
      </c>
      <c r="C88" s="189">
        <f>'Basket Options'!T19/10000</f>
        <v>0</v>
      </c>
      <c r="E88" s="201">
        <f>Digital!W12</f>
        <v>36800</v>
      </c>
      <c r="F88" s="202">
        <f>Digital!X12/10000</f>
        <v>0</v>
      </c>
      <c r="G88" s="202">
        <f>Digital!Y12/10000</f>
        <v>0</v>
      </c>
      <c r="H88" s="203">
        <f>Digital!Z12/10000</f>
        <v>0</v>
      </c>
      <c r="I88" s="204">
        <f t="shared" si="6"/>
        <v>0</v>
      </c>
      <c r="K88" s="346"/>
      <c r="L88" s="347"/>
    </row>
    <row r="89" spans="2:12" x14ac:dyDescent="0.25">
      <c r="B89" s="164">
        <f>'Basket Options'!S20</f>
        <v>36617</v>
      </c>
      <c r="C89" s="189">
        <f>'Basket Options'!T20/10000</f>
        <v>0</v>
      </c>
      <c r="E89" s="201">
        <f>Digital!W13</f>
        <v>36831</v>
      </c>
      <c r="F89" s="202">
        <f>Digital!X13/10000</f>
        <v>0</v>
      </c>
      <c r="G89" s="202">
        <f>Digital!Y13/10000</f>
        <v>0</v>
      </c>
      <c r="H89" s="203">
        <f>Digital!Z13/10000</f>
        <v>0</v>
      </c>
      <c r="I89" s="204">
        <f t="shared" si="6"/>
        <v>0</v>
      </c>
      <c r="K89" s="346"/>
      <c r="L89" s="347"/>
    </row>
    <row r="90" spans="2:12" x14ac:dyDescent="0.25">
      <c r="B90" s="164">
        <f>'Basket Options'!S21</f>
        <v>36647</v>
      </c>
      <c r="C90" s="189">
        <f>'Basket Options'!T21/10000</f>
        <v>2.2348048355472126E-7</v>
      </c>
      <c r="E90" s="201">
        <f>Digital!W14</f>
        <v>36861</v>
      </c>
      <c r="F90" s="202">
        <f>Digital!X14/10000</f>
        <v>0</v>
      </c>
      <c r="G90" s="202">
        <f>Digital!Y14/10000</f>
        <v>0</v>
      </c>
      <c r="H90" s="203">
        <f>Digital!Z14/10000</f>
        <v>0</v>
      </c>
      <c r="I90" s="204">
        <f t="shared" si="6"/>
        <v>0</v>
      </c>
      <c r="K90" s="346"/>
      <c r="L90" s="347"/>
    </row>
    <row r="91" spans="2:12" x14ac:dyDescent="0.25">
      <c r="B91" s="164">
        <f>'Basket Options'!S22</f>
        <v>36678</v>
      </c>
      <c r="C91" s="189">
        <f>'Basket Options'!T22/10000</f>
        <v>2.7726450762573292E-3</v>
      </c>
      <c r="E91" s="201">
        <f>Digital!W15</f>
        <v>36892</v>
      </c>
      <c r="F91" s="202">
        <f>Digital!X15/10000</f>
        <v>0</v>
      </c>
      <c r="G91" s="202">
        <f>Digital!Y15/10000</f>
        <v>0</v>
      </c>
      <c r="H91" s="203">
        <f>Digital!Z15/10000</f>
        <v>0</v>
      </c>
      <c r="I91" s="204">
        <f t="shared" si="6"/>
        <v>0</v>
      </c>
      <c r="K91" s="346"/>
      <c r="L91" s="347"/>
    </row>
    <row r="92" spans="2:12" x14ac:dyDescent="0.25">
      <c r="B92" s="164">
        <f>'Basket Options'!S23</f>
        <v>36708</v>
      </c>
      <c r="C92" s="189">
        <f>'Basket Options'!T23/10000</f>
        <v>0</v>
      </c>
      <c r="E92" s="201">
        <f>Digital!W16</f>
        <v>36923</v>
      </c>
      <c r="F92" s="202">
        <f>Digital!X16/10000</f>
        <v>0</v>
      </c>
      <c r="G92" s="202">
        <f>Digital!Y16/10000</f>
        <v>0</v>
      </c>
      <c r="H92" s="203">
        <f>Digital!Z16/10000</f>
        <v>0</v>
      </c>
      <c r="I92" s="204">
        <f t="shared" si="6"/>
        <v>0</v>
      </c>
      <c r="K92" s="346"/>
      <c r="L92" s="347"/>
    </row>
    <row r="93" spans="2:12" x14ac:dyDescent="0.25">
      <c r="B93" s="164">
        <f>'Basket Options'!S24</f>
        <v>36739</v>
      </c>
      <c r="C93" s="189">
        <f>'Basket Options'!T24/10000</f>
        <v>0</v>
      </c>
      <c r="E93" s="201">
        <f>Digital!W17</f>
        <v>36951</v>
      </c>
      <c r="F93" s="202">
        <f>Digital!X17/10000</f>
        <v>0</v>
      </c>
      <c r="G93" s="202">
        <f>Digital!Y17/10000</f>
        <v>0</v>
      </c>
      <c r="H93" s="203">
        <f>Digital!Z17/10000</f>
        <v>0</v>
      </c>
      <c r="I93" s="204">
        <f t="shared" si="6"/>
        <v>0</v>
      </c>
      <c r="K93" s="346"/>
      <c r="L93" s="347"/>
    </row>
    <row r="94" spans="2:12" x14ac:dyDescent="0.25">
      <c r="B94" s="164">
        <f>'Basket Options'!S25</f>
        <v>36770</v>
      </c>
      <c r="C94" s="189">
        <f>'Basket Options'!T25/10000</f>
        <v>0</v>
      </c>
      <c r="E94" s="201">
        <f>Digital!W18</f>
        <v>36982</v>
      </c>
      <c r="F94" s="202">
        <f>Digital!X18/10000</f>
        <v>0</v>
      </c>
      <c r="G94" s="202">
        <f>Digital!Y18/10000</f>
        <v>0</v>
      </c>
      <c r="H94" s="203">
        <f>Digital!Z18/10000</f>
        <v>0</v>
      </c>
      <c r="I94" s="204">
        <f t="shared" si="6"/>
        <v>0</v>
      </c>
      <c r="K94" s="346"/>
      <c r="L94" s="347"/>
    </row>
    <row r="95" spans="2:12" x14ac:dyDescent="0.25">
      <c r="B95" s="164">
        <f>'Basket Options'!S26</f>
        <v>36800</v>
      </c>
      <c r="C95" s="189">
        <f>'Basket Options'!T26/10000</f>
        <v>0</v>
      </c>
      <c r="E95" s="201">
        <f>Digital!W19</f>
        <v>37012</v>
      </c>
      <c r="F95" s="202">
        <f>Digital!X19/10000</f>
        <v>0</v>
      </c>
      <c r="G95" s="202">
        <f>Digital!Y19/10000</f>
        <v>0</v>
      </c>
      <c r="H95" s="203">
        <f>Digital!Z19/10000</f>
        <v>0</v>
      </c>
      <c r="I95" s="204">
        <f t="shared" si="6"/>
        <v>0</v>
      </c>
      <c r="K95" s="346"/>
      <c r="L95" s="347"/>
    </row>
    <row r="96" spans="2:12" x14ac:dyDescent="0.25">
      <c r="B96" s="164">
        <f>'Basket Options'!S27</f>
        <v>36831</v>
      </c>
      <c r="C96" s="189">
        <f>'Basket Options'!T27/10000</f>
        <v>0</v>
      </c>
      <c r="E96" s="201">
        <f>Digital!W20</f>
        <v>37043</v>
      </c>
      <c r="F96" s="202">
        <f>Digital!X20/10000</f>
        <v>0</v>
      </c>
      <c r="G96" s="202">
        <f>Digital!Y20/10000</f>
        <v>0</v>
      </c>
      <c r="H96" s="203">
        <f>Digital!Z20/10000</f>
        <v>0</v>
      </c>
      <c r="I96" s="204">
        <f t="shared" si="6"/>
        <v>0</v>
      </c>
      <c r="K96" s="346"/>
      <c r="L96" s="347"/>
    </row>
    <row r="97" spans="2:12" x14ac:dyDescent="0.25">
      <c r="B97" s="164">
        <f>'Basket Options'!S28</f>
        <v>36861</v>
      </c>
      <c r="C97" s="189">
        <f>'Basket Options'!T28/10000</f>
        <v>0</v>
      </c>
      <c r="E97" s="201"/>
      <c r="F97" s="202"/>
      <c r="G97" s="202"/>
      <c r="H97" s="203"/>
      <c r="I97" s="204"/>
      <c r="K97" s="346"/>
      <c r="L97" s="347"/>
    </row>
    <row r="98" spans="2:12" x14ac:dyDescent="0.25">
      <c r="B98" s="164">
        <f>'Basket Options'!S29</f>
        <v>36892</v>
      </c>
      <c r="C98" s="189">
        <f>'Basket Options'!T29/10000</f>
        <v>0</v>
      </c>
      <c r="E98" s="201"/>
      <c r="F98" s="202"/>
      <c r="G98" s="202"/>
      <c r="H98" s="203"/>
      <c r="I98" s="204"/>
      <c r="K98" s="346"/>
      <c r="L98" s="347"/>
    </row>
    <row r="99" spans="2:12" x14ac:dyDescent="0.25">
      <c r="B99" s="164">
        <f>'Basket Options'!S30</f>
        <v>36923</v>
      </c>
      <c r="C99" s="189">
        <f>'Basket Options'!T30/10000</f>
        <v>0</v>
      </c>
      <c r="E99" s="201"/>
      <c r="F99" s="202"/>
      <c r="G99" s="202"/>
      <c r="H99" s="203"/>
      <c r="I99" s="204"/>
      <c r="K99" s="346"/>
      <c r="L99" s="347"/>
    </row>
    <row r="100" spans="2:12" x14ac:dyDescent="0.25">
      <c r="B100" s="164">
        <f>'Basket Options'!S31</f>
        <v>36951</v>
      </c>
      <c r="C100" s="189">
        <f>'Basket Options'!T31/10000</f>
        <v>0</v>
      </c>
      <c r="E100" s="201"/>
      <c r="F100" s="202"/>
      <c r="G100" s="202"/>
      <c r="H100" s="203"/>
      <c r="I100" s="204"/>
      <c r="K100" s="346"/>
      <c r="L100" s="347"/>
    </row>
    <row r="101" spans="2:12" x14ac:dyDescent="0.25">
      <c r="B101" s="164">
        <f>'Basket Options'!S32</f>
        <v>36982</v>
      </c>
      <c r="C101" s="189">
        <f>'Basket Options'!T32/10000</f>
        <v>0</v>
      </c>
      <c r="E101" s="201"/>
      <c r="F101" s="202"/>
      <c r="G101" s="202"/>
      <c r="H101" s="203"/>
      <c r="I101" s="204"/>
      <c r="K101" s="346"/>
      <c r="L101" s="347"/>
    </row>
    <row r="102" spans="2:12" x14ac:dyDescent="0.25">
      <c r="B102" s="164">
        <f>'Basket Options'!S33</f>
        <v>37012</v>
      </c>
      <c r="C102" s="189">
        <f>'Basket Options'!T33/10000</f>
        <v>0</v>
      </c>
      <c r="E102" s="201"/>
      <c r="F102" s="202"/>
      <c r="G102" s="202"/>
      <c r="H102" s="203"/>
      <c r="I102" s="204"/>
      <c r="K102" s="346"/>
      <c r="L102" s="347"/>
    </row>
    <row r="103" spans="2:12" x14ac:dyDescent="0.25">
      <c r="B103" s="164">
        <f>'Basket Options'!S34</f>
        <v>37043</v>
      </c>
      <c r="C103" s="189">
        <f>'Basket Options'!T34/10000</f>
        <v>0</v>
      </c>
      <c r="E103" s="201"/>
      <c r="F103" s="202"/>
      <c r="G103" s="202"/>
      <c r="H103" s="203"/>
      <c r="I103" s="204"/>
      <c r="K103" s="346"/>
      <c r="L103" s="347"/>
    </row>
    <row r="104" spans="2:12" x14ac:dyDescent="0.25">
      <c r="B104" s="164">
        <f>'Basket Options'!S35</f>
        <v>37073</v>
      </c>
      <c r="C104" s="189">
        <f>'Basket Options'!T35/10000</f>
        <v>0</v>
      </c>
      <c r="E104" s="201"/>
      <c r="F104" s="202"/>
      <c r="G104" s="202"/>
      <c r="H104" s="203"/>
      <c r="I104" s="204"/>
      <c r="K104" s="346"/>
      <c r="L104" s="347"/>
    </row>
    <row r="105" spans="2:12" x14ac:dyDescent="0.25">
      <c r="B105" s="164">
        <f>'Basket Options'!S36</f>
        <v>37104</v>
      </c>
      <c r="C105" s="189">
        <f>'Basket Options'!T36/10000</f>
        <v>0</v>
      </c>
      <c r="E105" s="201"/>
      <c r="F105" s="202"/>
      <c r="G105" s="202"/>
      <c r="H105" s="203"/>
      <c r="I105" s="204"/>
      <c r="K105" s="346"/>
      <c r="L105" s="347"/>
    </row>
    <row r="106" spans="2:12" x14ac:dyDescent="0.25">
      <c r="B106" s="164">
        <f>'Basket Options'!S37</f>
        <v>37135</v>
      </c>
      <c r="C106" s="189">
        <f>'Basket Options'!T37/10000</f>
        <v>0</v>
      </c>
      <c r="E106" s="201"/>
      <c r="F106" s="202"/>
      <c r="G106" s="202"/>
      <c r="H106" s="203"/>
      <c r="I106" s="204"/>
      <c r="K106" s="346"/>
      <c r="L106" s="347"/>
    </row>
    <row r="107" spans="2:12" x14ac:dyDescent="0.25">
      <c r="B107" s="164">
        <f>'Basket Options'!S38</f>
        <v>37165</v>
      </c>
      <c r="C107" s="189">
        <f>'Basket Options'!T38/10000</f>
        <v>0</v>
      </c>
      <c r="E107" s="201"/>
      <c r="F107" s="202"/>
      <c r="G107" s="202"/>
      <c r="H107" s="203"/>
      <c r="I107" s="204"/>
      <c r="K107" s="346"/>
      <c r="L107" s="347"/>
    </row>
    <row r="108" spans="2:12" x14ac:dyDescent="0.25">
      <c r="B108" s="164">
        <f>'Basket Options'!S39</f>
        <v>37196</v>
      </c>
      <c r="C108" s="189">
        <f>'Basket Options'!T39/10000</f>
        <v>0</v>
      </c>
      <c r="E108" s="201"/>
      <c r="F108" s="202"/>
      <c r="G108" s="202"/>
      <c r="H108" s="203"/>
      <c r="I108" s="204"/>
      <c r="K108" s="346"/>
      <c r="L108" s="347"/>
    </row>
    <row r="109" spans="2:12" ht="13.8" thickBot="1" x14ac:dyDescent="0.3">
      <c r="B109" s="164">
        <f>'Basket Options'!S40</f>
        <v>37226</v>
      </c>
      <c r="C109" s="189">
        <f>'Basket Options'!T40/10000</f>
        <v>0</v>
      </c>
      <c r="E109" s="201"/>
      <c r="F109" s="202"/>
      <c r="G109" s="202"/>
      <c r="H109" s="205"/>
      <c r="I109" s="204"/>
      <c r="K109" s="346"/>
      <c r="L109" s="347"/>
    </row>
    <row r="110" spans="2:12" ht="13.8" thickBot="1" x14ac:dyDescent="0.3">
      <c r="B110" s="176" t="s">
        <v>116</v>
      </c>
      <c r="C110" s="190">
        <f>SUM(C83:C109)</f>
        <v>2.7728685567408838E-3</v>
      </c>
      <c r="E110" s="179" t="s">
        <v>116</v>
      </c>
      <c r="F110" s="206">
        <f>SUM(F83:F109)</f>
        <v>0</v>
      </c>
      <c r="G110" s="206">
        <f>SUM(G83:G109)</f>
        <v>7.4609967541639875E-3</v>
      </c>
      <c r="H110" s="206"/>
      <c r="I110" s="207">
        <f>SUM(I83:I109)</f>
        <v>7.4609967541639875E-3</v>
      </c>
      <c r="K110" s="348"/>
      <c r="L110" s="349"/>
    </row>
    <row r="111" spans="2:12" x14ac:dyDescent="0.25">
      <c r="K111" s="264"/>
      <c r="L111" s="239"/>
    </row>
    <row r="112" spans="2:12" x14ac:dyDescent="0.25">
      <c r="K112" s="264"/>
      <c r="L112" s="239"/>
    </row>
    <row r="116" spans="2:3" ht="13.8" thickBot="1" x14ac:dyDescent="0.3"/>
    <row r="117" spans="2:3" ht="13.8" thickBot="1" x14ac:dyDescent="0.3">
      <c r="B117" s="179" t="s">
        <v>3</v>
      </c>
      <c r="C117" s="208" t="s">
        <v>41</v>
      </c>
    </row>
    <row r="118" spans="2:3" x14ac:dyDescent="0.25">
      <c r="B118" s="293">
        <v>36434</v>
      </c>
      <c r="C118" s="294">
        <f>VLOOKUP(B118,TotalPos,9)</f>
        <v>0</v>
      </c>
    </row>
    <row r="119" spans="2:3" x14ac:dyDescent="0.25">
      <c r="B119" s="293">
        <v>36465</v>
      </c>
      <c r="C119" s="294">
        <f t="shared" ref="C119:C182" si="7">VLOOKUP(B119,TotalPos,9)</f>
        <v>0</v>
      </c>
    </row>
    <row r="120" spans="2:3" x14ac:dyDescent="0.25">
      <c r="B120" s="293">
        <v>36495</v>
      </c>
      <c r="C120" s="294">
        <f t="shared" si="7"/>
        <v>0</v>
      </c>
    </row>
    <row r="121" spans="2:3" x14ac:dyDescent="0.25">
      <c r="B121" s="293">
        <v>36526</v>
      </c>
      <c r="C121" s="294">
        <f t="shared" si="7"/>
        <v>0</v>
      </c>
    </row>
    <row r="122" spans="2:3" x14ac:dyDescent="0.25">
      <c r="B122" s="293">
        <v>36557</v>
      </c>
      <c r="C122" s="294">
        <f t="shared" si="7"/>
        <v>0</v>
      </c>
    </row>
    <row r="123" spans="2:3" x14ac:dyDescent="0.25">
      <c r="B123" s="293">
        <v>36586</v>
      </c>
      <c r="C123" s="294">
        <f t="shared" si="7"/>
        <v>0</v>
      </c>
    </row>
    <row r="124" spans="2:3" x14ac:dyDescent="0.25">
      <c r="B124" s="293">
        <v>36617</v>
      </c>
      <c r="C124" s="294">
        <f t="shared" si="7"/>
        <v>0</v>
      </c>
    </row>
    <row r="125" spans="2:3" x14ac:dyDescent="0.25">
      <c r="B125" s="293">
        <v>36647</v>
      </c>
      <c r="C125" s="294">
        <f t="shared" si="7"/>
        <v>5734.8464241951378</v>
      </c>
    </row>
    <row r="126" spans="2:3" x14ac:dyDescent="0.25">
      <c r="B126" s="293">
        <v>36678</v>
      </c>
      <c r="C126" s="294">
        <f t="shared" si="7"/>
        <v>10646.97852943297</v>
      </c>
    </row>
    <row r="127" spans="2:3" x14ac:dyDescent="0.25">
      <c r="B127" s="293">
        <v>36708</v>
      </c>
      <c r="C127" s="294">
        <f t="shared" si="7"/>
        <v>15298.038576124745</v>
      </c>
    </row>
    <row r="128" spans="2:3" x14ac:dyDescent="0.25">
      <c r="B128" s="293">
        <v>36739</v>
      </c>
      <c r="C128" s="294">
        <f t="shared" si="7"/>
        <v>19402.470494688285</v>
      </c>
    </row>
    <row r="129" spans="2:3" x14ac:dyDescent="0.25">
      <c r="B129" s="293">
        <v>36770</v>
      </c>
      <c r="C129" s="294">
        <f t="shared" si="7"/>
        <v>20452.046409520408</v>
      </c>
    </row>
    <row r="130" spans="2:3" x14ac:dyDescent="0.25">
      <c r="B130" s="293">
        <v>36800</v>
      </c>
      <c r="C130" s="294">
        <f t="shared" si="7"/>
        <v>23984.468634248115</v>
      </c>
    </row>
    <row r="131" spans="2:3" x14ac:dyDescent="0.25">
      <c r="B131" s="293">
        <v>36831</v>
      </c>
      <c r="C131" s="294">
        <f t="shared" si="7"/>
        <v>102964.51734218141</v>
      </c>
    </row>
    <row r="132" spans="2:3" x14ac:dyDescent="0.25">
      <c r="B132" s="293">
        <v>36861</v>
      </c>
      <c r="C132" s="294">
        <f t="shared" si="7"/>
        <v>4307.2016207422275</v>
      </c>
    </row>
    <row r="133" spans="2:3" x14ac:dyDescent="0.25">
      <c r="B133" s="293">
        <v>36892</v>
      </c>
      <c r="C133" s="294">
        <f t="shared" si="7"/>
        <v>2676.1609258337776</v>
      </c>
    </row>
    <row r="134" spans="2:3" x14ac:dyDescent="0.25">
      <c r="B134" s="293">
        <v>36923</v>
      </c>
      <c r="C134" s="294">
        <f t="shared" si="7"/>
        <v>1918.8556681824339</v>
      </c>
    </row>
    <row r="135" spans="2:3" x14ac:dyDescent="0.25">
      <c r="B135" s="293">
        <v>36951</v>
      </c>
      <c r="C135" s="294">
        <f t="shared" si="7"/>
        <v>24777.819739108309</v>
      </c>
    </row>
    <row r="136" spans="2:3" x14ac:dyDescent="0.25">
      <c r="B136" s="293">
        <v>36982</v>
      </c>
      <c r="C136" s="294">
        <f t="shared" si="7"/>
        <v>7709.770660074777</v>
      </c>
    </row>
    <row r="137" spans="2:3" x14ac:dyDescent="0.25">
      <c r="B137" s="293">
        <v>37012</v>
      </c>
      <c r="C137" s="294">
        <f t="shared" si="7"/>
        <v>7445.2120027244091</v>
      </c>
    </row>
    <row r="138" spans="2:3" x14ac:dyDescent="0.25">
      <c r="B138" s="293">
        <v>37043</v>
      </c>
      <c r="C138" s="294">
        <f t="shared" si="7"/>
        <v>7495.2118483608065</v>
      </c>
    </row>
    <row r="139" spans="2:3" x14ac:dyDescent="0.25">
      <c r="B139" s="293">
        <v>37073</v>
      </c>
      <c r="C139" s="294">
        <f t="shared" si="7"/>
        <v>7726.9247668574972</v>
      </c>
    </row>
    <row r="140" spans="2:3" x14ac:dyDescent="0.25">
      <c r="B140" s="293">
        <v>37104</v>
      </c>
      <c r="C140" s="294">
        <f t="shared" si="7"/>
        <v>7975.1296652134624</v>
      </c>
    </row>
    <row r="141" spans="2:3" x14ac:dyDescent="0.25">
      <c r="B141" s="293">
        <v>37135</v>
      </c>
      <c r="C141" s="294">
        <f t="shared" si="7"/>
        <v>8223.4566574405471</v>
      </c>
    </row>
    <row r="142" spans="2:3" x14ac:dyDescent="0.25">
      <c r="B142" s="293">
        <v>37165</v>
      </c>
      <c r="C142" s="294">
        <f t="shared" si="7"/>
        <v>8642.7646549299534</v>
      </c>
    </row>
    <row r="143" spans="2:3" x14ac:dyDescent="0.25">
      <c r="B143" s="293">
        <v>37196</v>
      </c>
      <c r="C143" s="294">
        <f t="shared" si="7"/>
        <v>-32425.436980491038</v>
      </c>
    </row>
    <row r="144" spans="2:3" x14ac:dyDescent="0.25">
      <c r="B144" s="293">
        <v>37226</v>
      </c>
      <c r="C144" s="294">
        <f t="shared" si="7"/>
        <v>-32090.453659785679</v>
      </c>
    </row>
    <row r="145" spans="2:3" x14ac:dyDescent="0.25">
      <c r="B145" s="293">
        <v>37257</v>
      </c>
      <c r="C145" s="294">
        <f t="shared" si="7"/>
        <v>-18788.785577043658</v>
      </c>
    </row>
    <row r="146" spans="2:3" x14ac:dyDescent="0.25">
      <c r="B146" s="293">
        <v>37288</v>
      </c>
      <c r="C146" s="294">
        <f t="shared" si="7"/>
        <v>-26653.724092039163</v>
      </c>
    </row>
    <row r="147" spans="2:3" x14ac:dyDescent="0.25">
      <c r="B147" s="293">
        <v>37316</v>
      </c>
      <c r="C147" s="294">
        <f t="shared" si="7"/>
        <v>-33947.75341224781</v>
      </c>
    </row>
    <row r="148" spans="2:3" x14ac:dyDescent="0.25">
      <c r="B148" s="293">
        <v>37347</v>
      </c>
      <c r="C148" s="294">
        <f t="shared" si="7"/>
        <v>0</v>
      </c>
    </row>
    <row r="149" spans="2:3" x14ac:dyDescent="0.25">
      <c r="B149" s="293">
        <v>37377</v>
      </c>
      <c r="C149" s="294">
        <f t="shared" si="7"/>
        <v>0</v>
      </c>
    </row>
    <row r="150" spans="2:3" x14ac:dyDescent="0.25">
      <c r="B150" s="293">
        <v>37408</v>
      </c>
      <c r="C150" s="294">
        <f t="shared" si="7"/>
        <v>0</v>
      </c>
    </row>
    <row r="151" spans="2:3" x14ac:dyDescent="0.25">
      <c r="B151" s="293">
        <v>37438</v>
      </c>
      <c r="C151" s="294">
        <f t="shared" si="7"/>
        <v>0</v>
      </c>
    </row>
    <row r="152" spans="2:3" x14ac:dyDescent="0.25">
      <c r="B152" s="293">
        <v>37469</v>
      </c>
      <c r="C152" s="294">
        <f t="shared" si="7"/>
        <v>0</v>
      </c>
    </row>
    <row r="153" spans="2:3" x14ac:dyDescent="0.25">
      <c r="B153" s="293">
        <v>37500</v>
      </c>
      <c r="C153" s="294">
        <f t="shared" si="7"/>
        <v>0</v>
      </c>
    </row>
    <row r="154" spans="2:3" x14ac:dyDescent="0.25">
      <c r="B154" s="293">
        <v>37530</v>
      </c>
      <c r="C154" s="294">
        <f t="shared" si="7"/>
        <v>0</v>
      </c>
    </row>
    <row r="155" spans="2:3" x14ac:dyDescent="0.25">
      <c r="B155" s="293">
        <v>37561</v>
      </c>
      <c r="C155" s="294">
        <f t="shared" si="7"/>
        <v>0</v>
      </c>
    </row>
    <row r="156" spans="2:3" x14ac:dyDescent="0.25">
      <c r="B156" s="293">
        <v>37591</v>
      </c>
      <c r="C156" s="294">
        <f t="shared" si="7"/>
        <v>0</v>
      </c>
    </row>
    <row r="157" spans="2:3" x14ac:dyDescent="0.25">
      <c r="B157" s="293">
        <v>37622</v>
      </c>
      <c r="C157" s="294">
        <f t="shared" si="7"/>
        <v>0</v>
      </c>
    </row>
    <row r="158" spans="2:3" x14ac:dyDescent="0.25">
      <c r="B158" s="293">
        <v>37653</v>
      </c>
      <c r="C158" s="294">
        <f t="shared" si="7"/>
        <v>0</v>
      </c>
    </row>
    <row r="159" spans="2:3" x14ac:dyDescent="0.25">
      <c r="B159" s="293">
        <v>37681</v>
      </c>
      <c r="C159" s="294">
        <f t="shared" si="7"/>
        <v>0</v>
      </c>
    </row>
    <row r="160" spans="2:3" x14ac:dyDescent="0.25">
      <c r="B160" s="293">
        <v>37712</v>
      </c>
      <c r="C160" s="294">
        <f t="shared" si="7"/>
        <v>0</v>
      </c>
    </row>
    <row r="161" spans="2:3" x14ac:dyDescent="0.25">
      <c r="B161" s="293">
        <v>37742</v>
      </c>
      <c r="C161" s="294">
        <f t="shared" si="7"/>
        <v>0</v>
      </c>
    </row>
    <row r="162" spans="2:3" x14ac:dyDescent="0.25">
      <c r="B162" s="293">
        <v>37773</v>
      </c>
      <c r="C162" s="294">
        <f t="shared" si="7"/>
        <v>0</v>
      </c>
    </row>
    <row r="163" spans="2:3" x14ac:dyDescent="0.25">
      <c r="B163" s="293">
        <v>37803</v>
      </c>
      <c r="C163" s="294">
        <f t="shared" si="7"/>
        <v>0</v>
      </c>
    </row>
    <row r="164" spans="2:3" x14ac:dyDescent="0.25">
      <c r="B164" s="293">
        <v>37834</v>
      </c>
      <c r="C164" s="294">
        <f t="shared" si="7"/>
        <v>0</v>
      </c>
    </row>
    <row r="165" spans="2:3" x14ac:dyDescent="0.25">
      <c r="B165" s="293">
        <v>37865</v>
      </c>
      <c r="C165" s="294">
        <f t="shared" si="7"/>
        <v>0</v>
      </c>
    </row>
    <row r="166" spans="2:3" x14ac:dyDescent="0.25">
      <c r="B166" s="293">
        <v>37895</v>
      </c>
      <c r="C166" s="294">
        <f t="shared" si="7"/>
        <v>0</v>
      </c>
    </row>
    <row r="167" spans="2:3" x14ac:dyDescent="0.25">
      <c r="B167" s="293">
        <v>37926</v>
      </c>
      <c r="C167" s="294">
        <f t="shared" si="7"/>
        <v>0</v>
      </c>
    </row>
    <row r="168" spans="2:3" x14ac:dyDescent="0.25">
      <c r="B168" s="293">
        <v>37956</v>
      </c>
      <c r="C168" s="294">
        <f t="shared" si="7"/>
        <v>0</v>
      </c>
    </row>
    <row r="169" spans="2:3" x14ac:dyDescent="0.25">
      <c r="B169" s="293">
        <v>37987</v>
      </c>
      <c r="C169" s="294">
        <f t="shared" si="7"/>
        <v>0</v>
      </c>
    </row>
    <row r="170" spans="2:3" x14ac:dyDescent="0.25">
      <c r="B170" s="293">
        <v>38018</v>
      </c>
      <c r="C170" s="294">
        <f t="shared" si="7"/>
        <v>0</v>
      </c>
    </row>
    <row r="171" spans="2:3" x14ac:dyDescent="0.25">
      <c r="B171" s="293">
        <v>38047</v>
      </c>
      <c r="C171" s="294">
        <f t="shared" si="7"/>
        <v>0</v>
      </c>
    </row>
    <row r="172" spans="2:3" x14ac:dyDescent="0.25">
      <c r="B172" s="293">
        <v>38078</v>
      </c>
      <c r="C172" s="294">
        <f t="shared" si="7"/>
        <v>0</v>
      </c>
    </row>
    <row r="173" spans="2:3" x14ac:dyDescent="0.25">
      <c r="B173" s="293">
        <v>38108</v>
      </c>
      <c r="C173" s="294">
        <f t="shared" si="7"/>
        <v>0</v>
      </c>
    </row>
    <row r="174" spans="2:3" x14ac:dyDescent="0.25">
      <c r="B174" s="293">
        <v>38139</v>
      </c>
      <c r="C174" s="294">
        <f t="shared" si="7"/>
        <v>0</v>
      </c>
    </row>
    <row r="175" spans="2:3" x14ac:dyDescent="0.25">
      <c r="B175" s="293">
        <v>38169</v>
      </c>
      <c r="C175" s="294">
        <f t="shared" si="7"/>
        <v>0</v>
      </c>
    </row>
    <row r="176" spans="2:3" x14ac:dyDescent="0.25">
      <c r="B176" s="293">
        <v>38200</v>
      </c>
      <c r="C176" s="294">
        <f t="shared" si="7"/>
        <v>0</v>
      </c>
    </row>
    <row r="177" spans="2:3" x14ac:dyDescent="0.25">
      <c r="B177" s="293">
        <v>38231</v>
      </c>
      <c r="C177" s="294">
        <f t="shared" si="7"/>
        <v>0</v>
      </c>
    </row>
    <row r="178" spans="2:3" x14ac:dyDescent="0.25">
      <c r="B178" s="293">
        <v>38261</v>
      </c>
      <c r="C178" s="294">
        <f t="shared" si="7"/>
        <v>0</v>
      </c>
    </row>
    <row r="179" spans="2:3" x14ac:dyDescent="0.25">
      <c r="B179" s="293">
        <v>38292</v>
      </c>
      <c r="C179" s="294">
        <f t="shared" si="7"/>
        <v>0</v>
      </c>
    </row>
    <row r="180" spans="2:3" x14ac:dyDescent="0.25">
      <c r="B180" s="293">
        <v>38322</v>
      </c>
      <c r="C180" s="294">
        <f t="shared" si="7"/>
        <v>0</v>
      </c>
    </row>
    <row r="181" spans="2:3" x14ac:dyDescent="0.25">
      <c r="B181" s="293">
        <v>38353</v>
      </c>
      <c r="C181" s="294">
        <f t="shared" si="7"/>
        <v>0</v>
      </c>
    </row>
    <row r="182" spans="2:3" x14ac:dyDescent="0.25">
      <c r="B182" s="293">
        <v>38384</v>
      </c>
      <c r="C182" s="294">
        <f t="shared" si="7"/>
        <v>0</v>
      </c>
    </row>
    <row r="183" spans="2:3" x14ac:dyDescent="0.25">
      <c r="B183" s="293">
        <v>38412</v>
      </c>
      <c r="C183" s="294">
        <f t="shared" ref="C183:C246" si="8">VLOOKUP(B183,TotalPos,9)</f>
        <v>0</v>
      </c>
    </row>
    <row r="184" spans="2:3" x14ac:dyDescent="0.25">
      <c r="B184" s="293">
        <v>38443</v>
      </c>
      <c r="C184" s="294">
        <f t="shared" si="8"/>
        <v>0</v>
      </c>
    </row>
    <row r="185" spans="2:3" x14ac:dyDescent="0.25">
      <c r="B185" s="293">
        <v>38473</v>
      </c>
      <c r="C185" s="294">
        <f t="shared" si="8"/>
        <v>0</v>
      </c>
    </row>
    <row r="186" spans="2:3" x14ac:dyDescent="0.25">
      <c r="B186" s="293">
        <v>38504</v>
      </c>
      <c r="C186" s="294">
        <f t="shared" si="8"/>
        <v>0</v>
      </c>
    </row>
    <row r="187" spans="2:3" x14ac:dyDescent="0.25">
      <c r="B187" s="293">
        <v>38534</v>
      </c>
      <c r="C187" s="294">
        <f t="shared" si="8"/>
        <v>0</v>
      </c>
    </row>
    <row r="188" spans="2:3" x14ac:dyDescent="0.25">
      <c r="B188" s="293">
        <v>38565</v>
      </c>
      <c r="C188" s="294">
        <f t="shared" si="8"/>
        <v>0</v>
      </c>
    </row>
    <row r="189" spans="2:3" x14ac:dyDescent="0.25">
      <c r="B189" s="293">
        <v>38596</v>
      </c>
      <c r="C189" s="294">
        <f t="shared" si="8"/>
        <v>0</v>
      </c>
    </row>
    <row r="190" spans="2:3" x14ac:dyDescent="0.25">
      <c r="B190" s="293">
        <v>38626</v>
      </c>
      <c r="C190" s="294">
        <f t="shared" si="8"/>
        <v>0</v>
      </c>
    </row>
    <row r="191" spans="2:3" x14ac:dyDescent="0.25">
      <c r="B191" s="293">
        <v>38657</v>
      </c>
      <c r="C191" s="294">
        <f t="shared" si="8"/>
        <v>0</v>
      </c>
    </row>
    <row r="192" spans="2:3" x14ac:dyDescent="0.25">
      <c r="B192" s="293">
        <v>38687</v>
      </c>
      <c r="C192" s="294">
        <f t="shared" si="8"/>
        <v>0</v>
      </c>
    </row>
    <row r="193" spans="2:3" x14ac:dyDescent="0.25">
      <c r="B193" s="293">
        <v>38718</v>
      </c>
      <c r="C193" s="294">
        <f t="shared" si="8"/>
        <v>0</v>
      </c>
    </row>
    <row r="194" spans="2:3" x14ac:dyDescent="0.25">
      <c r="B194" s="293">
        <v>38749</v>
      </c>
      <c r="C194" s="294">
        <f t="shared" si="8"/>
        <v>0</v>
      </c>
    </row>
    <row r="195" spans="2:3" x14ac:dyDescent="0.25">
      <c r="B195" s="293">
        <v>38777</v>
      </c>
      <c r="C195" s="294">
        <f t="shared" si="8"/>
        <v>0</v>
      </c>
    </row>
    <row r="196" spans="2:3" x14ac:dyDescent="0.25">
      <c r="B196" s="293">
        <v>38808</v>
      </c>
      <c r="C196" s="294">
        <f t="shared" si="8"/>
        <v>0</v>
      </c>
    </row>
    <row r="197" spans="2:3" x14ac:dyDescent="0.25">
      <c r="B197" s="293">
        <v>38838</v>
      </c>
      <c r="C197" s="294">
        <f t="shared" si="8"/>
        <v>0</v>
      </c>
    </row>
    <row r="198" spans="2:3" x14ac:dyDescent="0.25">
      <c r="B198" s="293">
        <v>38869</v>
      </c>
      <c r="C198" s="294">
        <f t="shared" si="8"/>
        <v>0</v>
      </c>
    </row>
    <row r="199" spans="2:3" x14ac:dyDescent="0.25">
      <c r="B199" s="293">
        <v>38899</v>
      </c>
      <c r="C199" s="294">
        <f t="shared" si="8"/>
        <v>0</v>
      </c>
    </row>
    <row r="200" spans="2:3" x14ac:dyDescent="0.25">
      <c r="B200" s="293">
        <v>38930</v>
      </c>
      <c r="C200" s="294">
        <f t="shared" si="8"/>
        <v>0</v>
      </c>
    </row>
    <row r="201" spans="2:3" x14ac:dyDescent="0.25">
      <c r="B201" s="293">
        <v>38961</v>
      </c>
      <c r="C201" s="294">
        <f t="shared" si="8"/>
        <v>0</v>
      </c>
    </row>
    <row r="202" spans="2:3" x14ac:dyDescent="0.25">
      <c r="B202" s="293">
        <v>38991</v>
      </c>
      <c r="C202" s="294">
        <f t="shared" si="8"/>
        <v>0</v>
      </c>
    </row>
    <row r="203" spans="2:3" x14ac:dyDescent="0.25">
      <c r="B203" s="293">
        <v>39022</v>
      </c>
      <c r="C203" s="294">
        <f t="shared" si="8"/>
        <v>0</v>
      </c>
    </row>
    <row r="204" spans="2:3" x14ac:dyDescent="0.25">
      <c r="B204" s="293">
        <v>39052</v>
      </c>
      <c r="C204" s="294">
        <f t="shared" si="8"/>
        <v>0</v>
      </c>
    </row>
    <row r="205" spans="2:3" x14ac:dyDescent="0.25">
      <c r="B205" s="293">
        <v>39083</v>
      </c>
      <c r="C205" s="294">
        <f t="shared" si="8"/>
        <v>0</v>
      </c>
    </row>
    <row r="206" spans="2:3" x14ac:dyDescent="0.25">
      <c r="B206" s="293">
        <v>39114</v>
      </c>
      <c r="C206" s="294">
        <f t="shared" si="8"/>
        <v>0</v>
      </c>
    </row>
    <row r="207" spans="2:3" x14ac:dyDescent="0.25">
      <c r="B207" s="293">
        <v>39142</v>
      </c>
      <c r="C207" s="294">
        <f t="shared" si="8"/>
        <v>0</v>
      </c>
    </row>
    <row r="208" spans="2:3" x14ac:dyDescent="0.25">
      <c r="B208" s="293">
        <v>39173</v>
      </c>
      <c r="C208" s="294">
        <f t="shared" si="8"/>
        <v>0</v>
      </c>
    </row>
    <row r="209" spans="2:3" x14ac:dyDescent="0.25">
      <c r="B209" s="293">
        <v>39203</v>
      </c>
      <c r="C209" s="294">
        <f t="shared" si="8"/>
        <v>0</v>
      </c>
    </row>
    <row r="210" spans="2:3" x14ac:dyDescent="0.25">
      <c r="B210" s="293">
        <v>39234</v>
      </c>
      <c r="C210" s="294">
        <f t="shared" si="8"/>
        <v>0</v>
      </c>
    </row>
    <row r="211" spans="2:3" x14ac:dyDescent="0.25">
      <c r="B211" s="293">
        <v>39264</v>
      </c>
      <c r="C211" s="294">
        <f t="shared" si="8"/>
        <v>0</v>
      </c>
    </row>
    <row r="212" spans="2:3" x14ac:dyDescent="0.25">
      <c r="B212" s="293">
        <v>39295</v>
      </c>
      <c r="C212" s="294">
        <f t="shared" si="8"/>
        <v>0</v>
      </c>
    </row>
    <row r="213" spans="2:3" x14ac:dyDescent="0.25">
      <c r="B213" s="293">
        <v>39326</v>
      </c>
      <c r="C213" s="294">
        <f t="shared" si="8"/>
        <v>0</v>
      </c>
    </row>
    <row r="214" spans="2:3" x14ac:dyDescent="0.25">
      <c r="B214" s="293">
        <v>39356</v>
      </c>
      <c r="C214" s="294">
        <f t="shared" si="8"/>
        <v>0</v>
      </c>
    </row>
    <row r="215" spans="2:3" x14ac:dyDescent="0.25">
      <c r="B215" s="293">
        <v>39387</v>
      </c>
      <c r="C215" s="294">
        <f t="shared" si="8"/>
        <v>0</v>
      </c>
    </row>
    <row r="216" spans="2:3" x14ac:dyDescent="0.25">
      <c r="B216" s="293">
        <v>39417</v>
      </c>
      <c r="C216" s="294">
        <f t="shared" si="8"/>
        <v>0</v>
      </c>
    </row>
    <row r="217" spans="2:3" x14ac:dyDescent="0.25">
      <c r="B217" s="293">
        <v>39448</v>
      </c>
      <c r="C217" s="294">
        <f t="shared" si="8"/>
        <v>0</v>
      </c>
    </row>
    <row r="218" spans="2:3" x14ac:dyDescent="0.25">
      <c r="B218" s="293">
        <v>39479</v>
      </c>
      <c r="C218" s="294">
        <f t="shared" si="8"/>
        <v>0</v>
      </c>
    </row>
    <row r="219" spans="2:3" x14ac:dyDescent="0.25">
      <c r="B219" s="293">
        <v>39508</v>
      </c>
      <c r="C219" s="294">
        <f t="shared" si="8"/>
        <v>0</v>
      </c>
    </row>
    <row r="220" spans="2:3" x14ac:dyDescent="0.25">
      <c r="B220" s="293">
        <v>39539</v>
      </c>
      <c r="C220" s="294">
        <f t="shared" si="8"/>
        <v>0</v>
      </c>
    </row>
    <row r="221" spans="2:3" x14ac:dyDescent="0.25">
      <c r="B221" s="293">
        <v>39569</v>
      </c>
      <c r="C221" s="294">
        <f t="shared" si="8"/>
        <v>0</v>
      </c>
    </row>
    <row r="222" spans="2:3" x14ac:dyDescent="0.25">
      <c r="B222" s="293">
        <v>39600</v>
      </c>
      <c r="C222" s="294">
        <f t="shared" si="8"/>
        <v>0</v>
      </c>
    </row>
    <row r="223" spans="2:3" x14ac:dyDescent="0.25">
      <c r="B223" s="293">
        <v>39630</v>
      </c>
      <c r="C223" s="294">
        <f t="shared" si="8"/>
        <v>0</v>
      </c>
    </row>
    <row r="224" spans="2:3" x14ac:dyDescent="0.25">
      <c r="B224" s="293">
        <v>39661</v>
      </c>
      <c r="C224" s="294">
        <f t="shared" si="8"/>
        <v>0</v>
      </c>
    </row>
    <row r="225" spans="2:3" x14ac:dyDescent="0.25">
      <c r="B225" s="293">
        <v>39692</v>
      </c>
      <c r="C225" s="294">
        <f t="shared" si="8"/>
        <v>0</v>
      </c>
    </row>
    <row r="226" spans="2:3" x14ac:dyDescent="0.25">
      <c r="B226" s="293">
        <v>39722</v>
      </c>
      <c r="C226" s="294">
        <f t="shared" si="8"/>
        <v>0</v>
      </c>
    </row>
    <row r="227" spans="2:3" x14ac:dyDescent="0.25">
      <c r="B227" s="293">
        <v>39753</v>
      </c>
      <c r="C227" s="294">
        <f t="shared" si="8"/>
        <v>0</v>
      </c>
    </row>
    <row r="228" spans="2:3" x14ac:dyDescent="0.25">
      <c r="B228" s="293">
        <v>39783</v>
      </c>
      <c r="C228" s="294">
        <f t="shared" si="8"/>
        <v>0</v>
      </c>
    </row>
    <row r="229" spans="2:3" x14ac:dyDescent="0.25">
      <c r="B229" s="293">
        <v>39814</v>
      </c>
      <c r="C229" s="294">
        <f t="shared" si="8"/>
        <v>0</v>
      </c>
    </row>
    <row r="230" spans="2:3" x14ac:dyDescent="0.25">
      <c r="B230" s="293">
        <v>39845</v>
      </c>
      <c r="C230" s="294">
        <f t="shared" si="8"/>
        <v>0</v>
      </c>
    </row>
    <row r="231" spans="2:3" x14ac:dyDescent="0.25">
      <c r="B231" s="293">
        <v>39873</v>
      </c>
      <c r="C231" s="294">
        <f t="shared" si="8"/>
        <v>0</v>
      </c>
    </row>
    <row r="232" spans="2:3" x14ac:dyDescent="0.25">
      <c r="B232" s="293">
        <v>39904</v>
      </c>
      <c r="C232" s="294">
        <f t="shared" si="8"/>
        <v>0</v>
      </c>
    </row>
    <row r="233" spans="2:3" x14ac:dyDescent="0.25">
      <c r="B233" s="293">
        <v>39934</v>
      </c>
      <c r="C233" s="294">
        <f t="shared" si="8"/>
        <v>0</v>
      </c>
    </row>
    <row r="234" spans="2:3" x14ac:dyDescent="0.25">
      <c r="B234" s="293">
        <v>39965</v>
      </c>
      <c r="C234" s="294">
        <f t="shared" si="8"/>
        <v>0</v>
      </c>
    </row>
    <row r="235" spans="2:3" x14ac:dyDescent="0.25">
      <c r="B235" s="293">
        <v>39995</v>
      </c>
      <c r="C235" s="294">
        <f t="shared" si="8"/>
        <v>0</v>
      </c>
    </row>
    <row r="236" spans="2:3" x14ac:dyDescent="0.25">
      <c r="B236" s="293">
        <v>40026</v>
      </c>
      <c r="C236" s="294">
        <f t="shared" si="8"/>
        <v>0</v>
      </c>
    </row>
    <row r="237" spans="2:3" x14ac:dyDescent="0.25">
      <c r="B237" s="293">
        <v>40057</v>
      </c>
      <c r="C237" s="294">
        <f t="shared" si="8"/>
        <v>0</v>
      </c>
    </row>
    <row r="238" spans="2:3" x14ac:dyDescent="0.25">
      <c r="B238" s="293">
        <v>40087</v>
      </c>
      <c r="C238" s="294">
        <f t="shared" si="8"/>
        <v>0</v>
      </c>
    </row>
    <row r="239" spans="2:3" x14ac:dyDescent="0.25">
      <c r="B239" s="293">
        <v>40118</v>
      </c>
      <c r="C239" s="294">
        <f t="shared" si="8"/>
        <v>0</v>
      </c>
    </row>
    <row r="240" spans="2:3" x14ac:dyDescent="0.25">
      <c r="B240" s="293">
        <v>40148</v>
      </c>
      <c r="C240" s="294">
        <f t="shared" si="8"/>
        <v>0</v>
      </c>
    </row>
    <row r="241" spans="2:3" x14ac:dyDescent="0.25">
      <c r="B241" s="293">
        <v>40179</v>
      </c>
      <c r="C241" s="294">
        <f t="shared" si="8"/>
        <v>0</v>
      </c>
    </row>
    <row r="242" spans="2:3" x14ac:dyDescent="0.25">
      <c r="B242" s="293">
        <v>40210</v>
      </c>
      <c r="C242" s="294">
        <f t="shared" si="8"/>
        <v>0</v>
      </c>
    </row>
    <row r="243" spans="2:3" x14ac:dyDescent="0.25">
      <c r="B243" s="293">
        <v>40238</v>
      </c>
      <c r="C243" s="294">
        <f t="shared" si="8"/>
        <v>0</v>
      </c>
    </row>
    <row r="244" spans="2:3" x14ac:dyDescent="0.25">
      <c r="B244" s="293">
        <v>40269</v>
      </c>
      <c r="C244" s="294">
        <f t="shared" si="8"/>
        <v>0</v>
      </c>
    </row>
    <row r="245" spans="2:3" x14ac:dyDescent="0.25">
      <c r="B245" s="293">
        <v>40299</v>
      </c>
      <c r="C245" s="294">
        <f t="shared" si="8"/>
        <v>0</v>
      </c>
    </row>
    <row r="246" spans="2:3" x14ac:dyDescent="0.25">
      <c r="B246" s="293">
        <v>40330</v>
      </c>
      <c r="C246" s="294">
        <f t="shared" si="8"/>
        <v>0</v>
      </c>
    </row>
    <row r="247" spans="2:3" x14ac:dyDescent="0.25">
      <c r="B247" s="293">
        <v>40360</v>
      </c>
      <c r="C247" s="294">
        <f t="shared" ref="C247:C272" si="9">VLOOKUP(B247,TotalPos,9)</f>
        <v>0</v>
      </c>
    </row>
    <row r="248" spans="2:3" x14ac:dyDescent="0.25">
      <c r="B248" s="293">
        <v>40391</v>
      </c>
      <c r="C248" s="294">
        <f t="shared" si="9"/>
        <v>0</v>
      </c>
    </row>
    <row r="249" spans="2:3" x14ac:dyDescent="0.25">
      <c r="B249" s="293">
        <v>40422</v>
      </c>
      <c r="C249" s="294">
        <f t="shared" si="9"/>
        <v>0</v>
      </c>
    </row>
    <row r="250" spans="2:3" x14ac:dyDescent="0.25">
      <c r="B250" s="293">
        <v>40452</v>
      </c>
      <c r="C250" s="294">
        <f t="shared" si="9"/>
        <v>0</v>
      </c>
    </row>
    <row r="251" spans="2:3" x14ac:dyDescent="0.25">
      <c r="B251" s="293">
        <v>40483</v>
      </c>
      <c r="C251" s="294">
        <f t="shared" si="9"/>
        <v>0</v>
      </c>
    </row>
    <row r="252" spans="2:3" x14ac:dyDescent="0.25">
      <c r="B252" s="293">
        <v>40513</v>
      </c>
      <c r="C252" s="294">
        <f t="shared" si="9"/>
        <v>0</v>
      </c>
    </row>
    <row r="253" spans="2:3" x14ac:dyDescent="0.25">
      <c r="B253" s="293">
        <v>40544</v>
      </c>
      <c r="C253" s="294">
        <f t="shared" si="9"/>
        <v>0</v>
      </c>
    </row>
    <row r="254" spans="2:3" x14ac:dyDescent="0.25">
      <c r="B254" s="293">
        <v>40575</v>
      </c>
      <c r="C254" s="294">
        <f t="shared" si="9"/>
        <v>0</v>
      </c>
    </row>
    <row r="255" spans="2:3" x14ac:dyDescent="0.25">
      <c r="B255" s="293">
        <v>40603</v>
      </c>
      <c r="C255" s="294">
        <f t="shared" si="9"/>
        <v>0</v>
      </c>
    </row>
    <row r="256" spans="2:3" x14ac:dyDescent="0.25">
      <c r="B256" s="293">
        <v>40634</v>
      </c>
      <c r="C256" s="294">
        <f t="shared" si="9"/>
        <v>0</v>
      </c>
    </row>
    <row r="257" spans="2:3" x14ac:dyDescent="0.25">
      <c r="B257" s="293">
        <v>40664</v>
      </c>
      <c r="C257" s="294">
        <f t="shared" si="9"/>
        <v>0</v>
      </c>
    </row>
    <row r="258" spans="2:3" x14ac:dyDescent="0.25">
      <c r="B258" s="293">
        <v>40695</v>
      </c>
      <c r="C258" s="294">
        <f t="shared" si="9"/>
        <v>0</v>
      </c>
    </row>
    <row r="259" spans="2:3" x14ac:dyDescent="0.25">
      <c r="B259" s="293">
        <v>40725</v>
      </c>
      <c r="C259" s="294">
        <f t="shared" si="9"/>
        <v>0</v>
      </c>
    </row>
    <row r="260" spans="2:3" x14ac:dyDescent="0.25">
      <c r="B260" s="293">
        <v>40756</v>
      </c>
      <c r="C260" s="294">
        <f t="shared" si="9"/>
        <v>0</v>
      </c>
    </row>
    <row r="261" spans="2:3" x14ac:dyDescent="0.25">
      <c r="B261" s="293">
        <v>40787</v>
      </c>
      <c r="C261" s="294">
        <f t="shared" si="9"/>
        <v>0</v>
      </c>
    </row>
    <row r="262" spans="2:3" x14ac:dyDescent="0.25">
      <c r="B262" s="293">
        <v>40817</v>
      </c>
      <c r="C262" s="294">
        <f t="shared" si="9"/>
        <v>0</v>
      </c>
    </row>
    <row r="263" spans="2:3" x14ac:dyDescent="0.25">
      <c r="B263" s="293">
        <v>40848</v>
      </c>
      <c r="C263" s="294">
        <f t="shared" si="9"/>
        <v>0</v>
      </c>
    </row>
    <row r="264" spans="2:3" x14ac:dyDescent="0.25">
      <c r="B264" s="293">
        <v>40878</v>
      </c>
      <c r="C264" s="294">
        <f t="shared" si="9"/>
        <v>0</v>
      </c>
    </row>
    <row r="265" spans="2:3" x14ac:dyDescent="0.25">
      <c r="B265" s="293">
        <v>40909</v>
      </c>
      <c r="C265" s="294">
        <f t="shared" si="9"/>
        <v>0</v>
      </c>
    </row>
    <row r="266" spans="2:3" x14ac:dyDescent="0.25">
      <c r="B266" s="293">
        <v>40940</v>
      </c>
      <c r="C266" s="294">
        <f t="shared" si="9"/>
        <v>0</v>
      </c>
    </row>
    <row r="267" spans="2:3" x14ac:dyDescent="0.25">
      <c r="B267" s="293">
        <v>40969</v>
      </c>
      <c r="C267" s="294">
        <f t="shared" si="9"/>
        <v>0</v>
      </c>
    </row>
    <row r="268" spans="2:3" x14ac:dyDescent="0.25">
      <c r="B268" s="293">
        <v>41000</v>
      </c>
      <c r="C268" s="294">
        <f t="shared" si="9"/>
        <v>0</v>
      </c>
    </row>
    <row r="269" spans="2:3" x14ac:dyDescent="0.25">
      <c r="B269" s="293">
        <v>41030</v>
      </c>
      <c r="C269" s="294">
        <f t="shared" si="9"/>
        <v>0</v>
      </c>
    </row>
    <row r="270" spans="2:3" x14ac:dyDescent="0.25">
      <c r="B270" s="293">
        <v>41061</v>
      </c>
      <c r="C270" s="294">
        <f t="shared" si="9"/>
        <v>0</v>
      </c>
    </row>
    <row r="271" spans="2:3" x14ac:dyDescent="0.25">
      <c r="B271" s="293">
        <v>41091</v>
      </c>
      <c r="C271" s="294">
        <f t="shared" si="9"/>
        <v>0</v>
      </c>
    </row>
    <row r="272" spans="2:3" ht="13.8" thickBot="1" x14ac:dyDescent="0.3">
      <c r="B272" s="334">
        <v>41122</v>
      </c>
      <c r="C272" s="294">
        <f t="shared" si="9"/>
        <v>0</v>
      </c>
    </row>
  </sheetData>
  <pageMargins left="0.75" right="0.75" top="1" bottom="1" header="0.5" footer="0.5"/>
  <pageSetup scale="17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9" r:id="rId4" name="Button 5">
              <controlPr defaultSize="0" print="0" autoFill="0" autoPict="0" macro="[0]!PRINTEXOTIC">
                <anchor moveWithCells="1" sizeWithCells="1">
                  <from>
                    <xdr:col>15</xdr:col>
                    <xdr:colOff>419100</xdr:colOff>
                    <xdr:row>1</xdr:row>
                    <xdr:rowOff>114300</xdr:rowOff>
                  </from>
                  <to>
                    <xdr:col>18</xdr:col>
                    <xdr:colOff>365760</xdr:colOff>
                    <xdr:row>5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51</vt:i4>
      </vt:variant>
    </vt:vector>
  </HeadingPairs>
  <TitlesOfParts>
    <vt:vector size="66" baseType="lpstr">
      <vt:lpstr>Summary</vt:lpstr>
      <vt:lpstr>Extendible Collars</vt:lpstr>
      <vt:lpstr>Basket Options</vt:lpstr>
      <vt:lpstr>Pivot</vt:lpstr>
      <vt:lpstr>Basis Options</vt:lpstr>
      <vt:lpstr>Digital</vt:lpstr>
      <vt:lpstr>CashFlows</vt:lpstr>
      <vt:lpstr>Correllations</vt:lpstr>
      <vt:lpstr>POSITION</vt:lpstr>
      <vt:lpstr>Curves</vt:lpstr>
      <vt:lpstr>PREVCURVES</vt:lpstr>
      <vt:lpstr>pipe_opt</vt:lpstr>
      <vt:lpstr>DATA3</vt:lpstr>
      <vt:lpstr>DATA2</vt:lpstr>
      <vt:lpstr>Sheet1</vt:lpstr>
      <vt:lpstr>basisoptcount</vt:lpstr>
      <vt:lpstr>basisoptmonths</vt:lpstr>
      <vt:lpstr>basisoptpos</vt:lpstr>
      <vt:lpstr>BASISPRINT</vt:lpstr>
      <vt:lpstr>basketoptcount</vt:lpstr>
      <vt:lpstr>basketoptmonths</vt:lpstr>
      <vt:lpstr>basketoptpos</vt:lpstr>
      <vt:lpstr>BasOptPos</vt:lpstr>
      <vt:lpstr>BENCH</vt:lpstr>
      <vt:lpstr>BLAHBLAH</vt:lpstr>
      <vt:lpstr>BsktOptPos</vt:lpstr>
      <vt:lpstr>cella2</vt:lpstr>
      <vt:lpstr>COLLARPRINT</vt:lpstr>
      <vt:lpstr>CorMove</vt:lpstr>
      <vt:lpstr>Correllate</vt:lpstr>
      <vt:lpstr>CurveRange</vt:lpstr>
      <vt:lpstr>Curves!Curves</vt:lpstr>
      <vt:lpstr>Dates</vt:lpstr>
      <vt:lpstr>DBase</vt:lpstr>
      <vt:lpstr>digitaloptcount</vt:lpstr>
      <vt:lpstr>digitaloptmonths</vt:lpstr>
      <vt:lpstr>digitaloptpos</vt:lpstr>
      <vt:lpstr>discount</vt:lpstr>
      <vt:lpstr>discountmonths</vt:lpstr>
      <vt:lpstr>EffDt</vt:lpstr>
      <vt:lpstr>ExoticBenchPosition</vt:lpstr>
      <vt:lpstr>ExoticBenchPositionMonth</vt:lpstr>
      <vt:lpstr>ExtColPos</vt:lpstr>
      <vt:lpstr>extdcollarcount</vt:lpstr>
      <vt:lpstr>extendiblecollarmonths</vt:lpstr>
      <vt:lpstr>extendiblecollarpos</vt:lpstr>
      <vt:lpstr>INDEXPR</vt:lpstr>
      <vt:lpstr>move_down</vt:lpstr>
      <vt:lpstr>MOVE_DOWN2</vt:lpstr>
      <vt:lpstr>Multiplier</vt:lpstr>
      <vt:lpstr>NGPREVPRICES</vt:lpstr>
      <vt:lpstr>NGPrices</vt:lpstr>
      <vt:lpstr>NymEq</vt:lpstr>
      <vt:lpstr>NYMEXPrices</vt:lpstr>
      <vt:lpstr>Password</vt:lpstr>
      <vt:lpstr>PREVCURVES</vt:lpstr>
      <vt:lpstr>PREVVOLS</vt:lpstr>
      <vt:lpstr>Prices</vt:lpstr>
      <vt:lpstr>PRINT_AREA1</vt:lpstr>
      <vt:lpstr>PRINT_AREA2</vt:lpstr>
      <vt:lpstr>'Extendible Collars'!Print_Titles</vt:lpstr>
      <vt:lpstr>TotalPos</vt:lpstr>
      <vt:lpstr>TrueCor</vt:lpstr>
      <vt:lpstr>UpperLeftOfCurveTable</vt:lpstr>
      <vt:lpstr>UserName</vt:lpstr>
      <vt:lpstr>VOLS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Umbower, Denae</dc:creator>
  <cp:keywords/>
  <dc:description/>
  <cp:lastModifiedBy>Havlíček Jan</cp:lastModifiedBy>
  <cp:lastPrinted>2000-04-17T22:11:57Z</cp:lastPrinted>
  <dcterms:created xsi:type="dcterms:W3CDTF">1998-06-22T20:25:36Z</dcterms:created>
  <dcterms:modified xsi:type="dcterms:W3CDTF">2023-09-10T11:06:42Z</dcterms:modified>
</cp:coreProperties>
</file>